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APA &gt;&gt;" sheetId="27" state="visible" r:id="rId29"/>
    <sheet name="APA Inputs" sheetId="28" state="visible" r:id="rId30"/>
    <sheet name="APA Schedule" sheetId="29" state="visible" r:id="rId31"/>
    <sheet name="APA Summary" sheetId="30" state="visible" r:id="rId32"/>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0">
      <text>
        <r>
          <rPr>
            <sz val="10"/>
            <rFont val="Arial"/>
            <family val="2"/>
          </rPr>
          <t xml:space="preserve">Restored 27-Sep-26 to the HVN Round 2 ROM ($11,317,385). The 26-Sep rename had copied the in-construction Riverton contract ($14,337,010.80) onto this row.</t>
        </r>
      </text>
    </comment>
    <comment ref="B21" authorId="0">
      <text>
        <r>
          <rPr>
            <sz val="10"/>
            <rFont val="Arial"/>
            <family val="2"/>
          </rPr>
          <t xml:space="preserve">Plan consolidation 9 Oct 2026 (Chris). Actual GMP, 5614 Troost Ave (HVN 75 Troost), GMP budget end of September; signing week of 9 Oct. Was 15,189,509.</t>
        </r>
      </text>
    </comment>
    <comment ref="C13" authorId="0">
      <text>
        <r>
          <rPr>
            <sz val="10"/>
            <rFont val="Arial"/>
            <family val="2"/>
          </rPr>
          <t xml:space="preserve">Plan consolidation 9 Oct 2026 (Chris). Was 13 (Apr-27). Construction start May 2027, first billing Jun 2027 (month 15). Reseda is on in every plan.</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1" authorId="0">
      <text>
        <r>
          <rPr>
            <sz val="10"/>
            <rFont val="Arial"/>
            <family val="2"/>
          </rPr>
          <t xml:space="preserve">Plan consolidation 9 Oct 2026 (Chris). Was 10 (Jan-27). First billing Dec 2026 (month 9).</t>
        </r>
      </text>
    </comment>
    <comment ref="C22" authorId="0">
      <text>
        <r>
          <rPr>
            <sz val="10"/>
            <rFont val="Arial"/>
            <family val="2"/>
          </rPr>
          <t xml:space="preserve">HVN 2027 pipeline (Chris 6 Oct 2026; Matt Land call 6 Oct). Oct 2027 (month 19), matching HVN's sheet.</t>
        </r>
      </text>
    </comment>
    <comment ref="D9" authorId="0">
      <text>
        <r>
          <rPr>
            <sz val="10"/>
            <rFont val="Arial"/>
            <family val="2"/>
          </rPr>
          <t xml:space="preserve">26-Sep-26 (Chris): Riverton completion Feb-2028 (month 23) = start 5 + 19 months - 1. Curve 3 (19-month).</t>
        </r>
      </text>
    </comment>
    <comment ref="D21" authorId="0">
      <text>
        <r>
          <rPr>
            <sz val="10"/>
            <rFont val="Arial"/>
            <family val="2"/>
          </rPr>
          <t xml:space="preserve">Plan consolidation 9 Oct 2026 (Chris). Was 19. GMP carries 20 months of supervision; completion Jul 2028. Bills on Curves row 11 (curve 3 at 20 months).</t>
        </r>
      </text>
    </comment>
    <comment ref="E19" authorId="0">
      <text>
        <r>
          <rPr>
            <sz val="10"/>
            <rFont val="Arial"/>
            <family val="2"/>
          </rPr>
          <t xml:space="preserve">Claude 6 Oct 2026: Moorpark bills on Curves row 10 (curve 3 at 18 months); this column is a label only.</t>
        </r>
      </text>
    </comment>
    <comment ref="J11" authorId="0">
      <text>
        <r>
          <rPr>
            <sz val="10"/>
            <rFont val="Arial"/>
            <family val="2"/>
          </rPr>
          <t xml:space="preserve">Was Yes. Steyn no longer guarantees Klump &amp; Scott (Chris 3 Oct 2026).</t>
        </r>
      </text>
    </comment>
    <comment ref="L21" authorId="0">
      <text>
        <r>
          <rPr>
            <sz val="10"/>
            <rFont val="Arial"/>
            <family val="2"/>
          </rPr>
          <t xml:space="preserve">Plan consolidation 9 Oct 2026 (Chris). Third-party GC, not bonded, non-LIHTC.</t>
        </r>
      </tex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Subsidiaries 9 Oct 2026 (Chris). Linked to the 3rd Street contract start below (as in the Polk model).</t>
        </r>
      </text>
    </comment>
  </commentList>
</comments>
</file>

<file path=xl/sharedStrings.xml><?xml version="1.0" encoding="utf-8"?>
<sst xmlns="http://schemas.openxmlformats.org/spreadsheetml/2006/main" count="3605" uniqueCount="1402">
  <si>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</si>
  <si>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</si>
  <si>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</si>
  <si>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</si>
  <si>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</si>
  <si>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</si>
  <si>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</si>
  <si>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</si>
  <si>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</si>
  <si>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</si>
  <si>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</si>
  <si>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</si>
  <si>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</si>
  <si>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</si>
  <si>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</si>
  <si>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</si>
  <si>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</si>
  <si>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</si>
  <si>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</si>
  <si>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</si>
  <si>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</si>
  <si>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</si>
  <si>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</si>
  <si>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</si>
  <si>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</si>
  <si>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</si>
  <si>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</si>
  <si>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</si>
  <si>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</si>
  <si>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</si>
  <si>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</si>
  <si>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</si>
  <si>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</si>
  <si>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</si>
  <si>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</si>
  <si>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</si>
  <si>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</si>
  <si>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</si>
  <si>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</si>
  <si>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</si>
  <si>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</si>
  <si>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</si>
  <si>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</si>
  <si>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</si>
  <si>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</si>
  <si>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</si>
  <si>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</si>
  <si>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</si>
  <si>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</si>
  <si>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</si>
  <si>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</si>
  <si>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</si>
  <si>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</si>
  <si>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</si>
  <si>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</si>
  <si>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</si>
  <si>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</si>
  <si>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</si>
  <si>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</si>
  <si>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</si>
  <si>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</si>
  <si>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</si>
  <si>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</si>
  <si>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</si>
  <si>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</si>
  <si>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</si>
  <si>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</si>
  <si>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</si>
  <si>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</si>
  <si>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</si>
  <si>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</si>
  <si>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</si>
  <si>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</si>
  <si>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</si>
  <si>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</si>
  <si>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</si>
  <si>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</si>
  <si>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</si>
  <si>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</si>
  <si>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</si>
  <si>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</si>
  <si>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</si>
  <si>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</si>
  <si>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</si>
  <si>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</si>
  <si>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</si>
  <si>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</si>
  <si>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</si>
  <si>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</si>
  <si>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</si>
  <si>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</si>
  <si>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</si>
  <si>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</si>
  <si>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</si>
  <si>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</si>
  <si>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</si>
  <si>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</si>
  <si>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</si>
  <si>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</si>
  <si>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</si>
  <si>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</si>
  <si>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</si>
  <si>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</si>
  <si>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</si>
  <si>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</si>
  <si>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</si>
  <si>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</si>
  <si>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</si>
  <si>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</si>
  <si>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</si>
  <si>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</si>
  <si>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</si>
  <si>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</si>
  <si>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</si>
  <si>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</si>
  <si>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</si>
  <si>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</si>
  <si>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</si>
  <si>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</si>
  <si>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(not assumed)</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</si>
  <si>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</si>
  <si>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</si>
  <si>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</si>
  <si>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</si>
  <si>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</si>
  <si>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</si>
  <si>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</si>
  <si>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</si>
  <si>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</si>
  <si>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</si>
  <si>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</si>
  <si>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</si>
  <si>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</si>
  <si>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</si>
  <si>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</si>
  <si>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</si>
  <si>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</si>
  <si>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</si>
  <si>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</si>
  <si>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</si>
  <si>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</si>
  <si>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</si>
  <si>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</si>
  <si>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</si>
  <si>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</si>
  <si>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</si>
  <si>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</si>
  <si>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</si>
  <si>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</si>
  <si>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</si>
  <si>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</si>
  <si>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</si>
  <si>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</si>
  <si>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</si>
  <si>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</si>
  <si>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</si>
  <si>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</si>
  <si>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</si>
  <si>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</si>
  <si>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</si>
  <si>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</si>
  <si>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</si>
  <si>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</si>
  <si>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</si>
  <si>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</si>
  <si>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</si>
  <si>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</si>
  <si>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</si>
  <si>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</si>
  <si>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</si>
  <si>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</si>
  <si>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</si>
  <si>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</si>
  <si>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</si>
  <si>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</si>
  <si>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</si>
  <si>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</si>
  <si>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</si>
  <si>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</si>
  <si>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</si>
  <si>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</si>
  <si>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</si>
  <si>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</si>
  <si>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</si>
  <si>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</si>
  <si>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</si>
  <si>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</si>
  <si>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</si>
  <si>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</si>
  <si>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</si>
  <si>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</si>
  <si>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</si>
  <si>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</si>
  <si>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</si>
  <si>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</si>
  <si>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</si>
  <si>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</si>
  <si>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Subsidiaries Net Cash Flow (APA to Six Peak)</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</si>
  <si>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</si>
  <si>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</si>
  <si>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</si>
  <si>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</si>
  <si>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</si>
  <si>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</si>
  <si>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</si>
  <si>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</si>
  <si>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</si>
  <si>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</si>
  <si>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</si>
  <si>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</si>
  <si>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</si>
  <si>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</si>
  <si>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</si>
  <si>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</si>
  <si>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</si>
  <si>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</si>
  <si>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</si>
  <si>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</si>
  <si>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</si>
  <si>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</si>
  <si>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</si>
  <si>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</si>
  <si>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</si>
  <si>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</si>
  <si>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</si>
  <si>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</si>
  <si>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</si>
  <si>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</si>
  <si>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</si>
  <si>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</si>
  <si>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</si>
  <si>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</si>
  <si>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</si>
  <si>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</si>
  <si>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</si>
  <si>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</si>
  <si>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</si>
  <si>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</si>
  <si>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</si>
  <si>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</si>
  <si>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</si>
  <si>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</si>
  <si>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</si>
  <si>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</si>
  <si>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</si>
  <si>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</si>
  <si>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</si>
  <si>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</si>
  <si>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</si>
  <si>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</si>
  <si>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</si>
  <si>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</si>
  <si>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</si>
  <si>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</si>
  <si>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</si>
  <si>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</si>
  <si>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</si>
  <si>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</si>
  <si>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</si>
  <si>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</si>
  <si>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</si>
  <si>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</si>
  <si>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</si>
  <si>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</si>
  <si>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</si>
  <si>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</si>
  <si>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</si>
  <si>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</si>
  <si>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</si>
  <si>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</si>
  <si>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</si>
  <si>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</si>
  <si>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</si>
  <si>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</si>
  <si>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</si>
  <si>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</si>
  <si>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</si>
  <si>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</si>
  <si>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</si>
  <si>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</si>
  <si>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</si>
  <si>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</si>
  <si>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</si>
  <si>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</si>
  <si>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</si>
  <si>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</si>
  <si>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</si>
  <si>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</si>
  <si>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</si>
  <si>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</si>
  <si>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</si>
  <si>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</si>
  <si>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</si>
  <si>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</si>
  <si>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</si>
  <si>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</si>
  <si>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</si>
  <si>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</si>
  <si>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</si>
  <si>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</si>
  <si>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</si>
  <si>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</si>
  <si>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</si>
  <si>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</si>
  <si>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</si>
  <si>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</si>
  <si>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</si>
  <si>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</si>
  <si>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</si>
  <si>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</si>
  <si>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</si>
  <si>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</si>
  <si>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</si>
  <si>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</si>
  <si>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</si>
  <si>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</si>
  <si>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</si>
  <si>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</si>
  <si>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</si>
  <si>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</si>
  <si>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</si>
  <si>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</si>
  <si>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</si>
  <si>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</si>
  <si>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</si>
  <si>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</si>
  <si>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</si>
  <si>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</si>
  <si>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</si>
  <si>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</si>
  <si>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</si>
  <si>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</si>
  <si>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</si>
  <si>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</si>
  <si>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</si>
  <si>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</si>
  <si>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</si>
  <si>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</si>
  <si>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</si>
  <si>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</si>
  <si>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</si>
  <si>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</si>
  <si>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</si>
  <si>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</si>
  <si>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</si>
  <si>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</si>
  <si>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</si>
  <si>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</si>
  <si>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</si>
  <si>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</si>
  <si>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</si>
  <si>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</si>
  <si>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</si>
  <si>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</si>
  <si>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</si>
  <si>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</si>
  <si>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</si>
  <si>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</si>
  <si>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</si>
  <si>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</si>
  <si>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</si>
  <si>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</si>
  <si>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</si>
  <si>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</si>
  <si>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</si>
  <si>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</si>
  <si>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</si>
  <si>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</si>
  <si>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</si>
  <si>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</si>
  <si>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</si>
  <si>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</si>
  <si>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</si>
  <si>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</si>
  <si>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</si>
  <si>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</si>
  <si>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</si>
  <si>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</si>
  <si>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</si>
  <si>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</si>
  <si>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</si>
  <si>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</si>
  <si>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</si>
  <si>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</si>
  <si>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</si>
  <si>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</si>
  <si>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</si>
  <si>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</si>
  <si>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</si>
  <si>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</si>
  <si>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</si>
  <si>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</si>
  <si>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</si>
  <si>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</si>
  <si>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</si>
  <si>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</si>
  <si>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</si>
  <si>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</si>
  <si>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</si>
  <si>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</si>
  <si>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</si>
  <si>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</si>
  <si>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</si>
  <si>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</si>
  <si>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</si>
  <si>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</si>
  <si>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</si>
  <si>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</si>
  <si>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</si>
  <si>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</si>
  <si>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</si>
  <si>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</si>
  <si>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</si>
  <si>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</si>
  <si>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</si>
  <si>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</si>
  <si>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</si>
  <si>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</si>
  <si>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</si>
  <si>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</si>
  <si>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</si>
  <si>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</si>
  <si>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</si>
  <si>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</si>
  <si>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</si>
  <si>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</si>
  <si>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</si>
  <si>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</si>
  <si>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</si>
  <si>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</si>
  <si>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</si>
  <si>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</si>
  <si>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</si>
  <si>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</si>
  <si>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</si>
  <si>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</si>
  <si>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</si>
  <si>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</si>
  <si>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</si>
  <si>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</si>
  <si>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</si>
  <si>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</si>
  <si>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</si>
  <si>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</si>
  <si>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</si>
  <si>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</si>
  <si>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</si>
  <si>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</si>
  <si>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</si>
  <si>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</si>
  <si>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</si>
  <si>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</si>
  <si>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</si>
  <si>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</si>
  <si>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</si>
  <si>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</si>
  <si>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</si>
  <si>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</si>
  <si>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</si>
  <si>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</si>
  <si>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</si>
  <si>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</si>
  <si>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</si>
  <si>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</si>
  <si>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</si>
  <si>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</si>
  <si>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</si>
  <si>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</si>
  <si>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</si>
  <si>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</si>
  <si>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</si>
  <si>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</si>
  <si>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</si>
  <si>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</si>
  <si>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</si>
  <si>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</si>
  <si>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</si>
  <si>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</si>
  <si>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</si>
  <si>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</si>
  <si>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</si>
  <si>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</si>
  <si>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</si>
  <si>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</si>
  <si>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</si>
  <si>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</si>
  <si>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</si>
  <si>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</si>
  <si>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</si>
  <si>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</si>
  <si>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</si>
  <si>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</si>
  <si>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</si>
  <si>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</si>
  <si>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</si>
  <si>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</si>
  <si>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</si>
  <si>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</si>
  <si>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</si>
  <si>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</si>
  <si>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</si>
  <si>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</si>
  <si>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</si>
  <si>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</si>
  <si>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</si>
  <si>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</si>
  <si>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</si>
  <si>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</si>
  <si>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</si>
  <si>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</si>
  <si>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</si>
  <si>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</si>
  <si>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</si>
  <si>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</si>
  <si>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</si>
  <si>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</si>
  <si>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</si>
  <si>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</si>
  <si>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</si>
  <si>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</si>
  <si>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</si>
  <si>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</si>
  <si>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</si>
  <si>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</si>
  <si>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</si>
  <si>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</si>
  <si>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</si>
  <si>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</si>
  <si>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</si>
  <si>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</si>
  <si>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</si>
  <si>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</si>
  <si>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</si>
  <si>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</si>
  <si>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</si>
  <si>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</si>
  <si>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</si>
  <si>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</si>
  <si>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</si>
  <si>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</si>
  <si>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</si>
  <si>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</si>
  <si>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</si>
  <si>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</si>
  <si>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</si>
  <si>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</si>
  <si>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</si>
  <si>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</si>
  <si>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</si>
  <si>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</si>
  <si>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</si>
  <si>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</si>
  <si>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</si>
  <si>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</si>
  <si>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</si>
  <si>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</si>
  <si>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</si>
  <si>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</si>
  <si>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</si>
  <si>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</si>
  <si>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</si>
  <si>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</si>
  <si>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</si>
  <si>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</si>
  <si>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</si>
  <si>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</si>
  <si>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</si>
  <si>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</si>
  <si>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</si>
  <si>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</si>
  <si>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</si>
  <si>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</si>
  <si>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</si>
  <si>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</si>
  <si>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</si>
  <si>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</si>
  <si>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</si>
  <si>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</si>
  <si>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</si>
  <si>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</si>
  <si>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</si>
  <si>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</si>
  <si>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</si>
  <si>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</si>
  <si>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</si>
  <si>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</si>
  <si>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</si>
  <si>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</si>
  <si>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</si>
  <si>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</si>
  <si>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</si>
  <si>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</si>
  <si>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</si>
  <si>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</si>
  <si>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</si>
  <si>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</si>
  <si>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</si>
  <si>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</si>
  <si>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</si>
  <si>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</si>
  <si>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</si>
  <si>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</si>
  <si>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</si>
  <si>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</si>
  <si>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</si>
  <si>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</si>
  <si>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</si>
  <si>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</si>
  <si>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</si>
  <si>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</si>
  <si>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</si>
  <si>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</si>
  <si>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</si>
  <si>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</si>
  <si>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</si>
  <si>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</si>
  <si>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</si>
  <si>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</si>
  <si>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</si>
  <si>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</si>
  <si>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</si>
  <si>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</si>
  <si>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</si>
  <si>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</si>
  <si>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</si>
  <si>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</si>
  <si>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</si>
  <si>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</si>
  <si>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</si>
  <si>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</si>
  <si>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</si>
  <si>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</si>
  <si>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</si>
  <si>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</si>
  <si>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</si>
  <si>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</si>
  <si>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</si>
  <si>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</si>
  <si>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</si>
  <si>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</si>
  <si>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</si>
  <si>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</si>
  <si>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</si>
  <si>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</si>
  <si>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</si>
  <si>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</si>
  <si>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</si>
  <si>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</si>
  <si>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</si>
  <si>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</si>
  <si>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</si>
  <si>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</si>
  <si>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</si>
  <si>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</si>
  <si>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</si>
  <si>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</si>
  <si>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</si>
  <si>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</si>
  <si>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</si>
  <si>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</si>
  <si>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</si>
  <si>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</si>
  <si>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</si>
  <si>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</si>
  <si>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</si>
  <si>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</si>
  <si>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</si>
  <si>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</si>
  <si>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</si>
  <si>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</si>
  <si>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</si>
  <si>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</si>
  <si>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</si>
  <si>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</si>
  <si>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</si>
  <si>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</si>
  <si>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</si>
  <si>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</si>
  <si>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</si>
  <si>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</si>
  <si>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</si>
  <si>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</si>
  <si>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</si>
  <si>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</si>
  <si>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</si>
  <si>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</si>
  <si>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</si>
  <si>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</si>
  <si>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</si>
  <si>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</si>
  <si>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</si>
  <si>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</si>
  <si>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</si>
  <si>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</si>
  <si>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</si>
  <si>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</si>
  <si>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</si>
  <si>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</si>
  <si>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</si>
  <si>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</si>
  <si>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</si>
  <si>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</si>
  <si>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</si>
  <si>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</si>
  <si>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</si>
  <si>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</si>
  <si>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</si>
  <si>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</si>
  <si>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</si>
  <si>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</si>
  <si>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</si>
  <si>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</si>
  <si>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</si>
  <si>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</si>
  <si>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</si>
  <si>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</si>
  <si>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</si>
  <si>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</si>
  <si>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</si>
  <si>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</si>
  <si>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</si>
  <si>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</si>
  <si>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</si>
  <si>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</si>
  <si>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</si>
  <si>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</si>
  <si>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</si>
  <si>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</si>
  <si>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</si>
  <si>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</si>
  <si>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</si>
  <si>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</si>
  <si>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</si>
  <si>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</si>
  <si>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</si>
  <si>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</si>
  <si>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</si>
  <si>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</si>
  <si>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</si>
  <si>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</si>
  <si>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</si>
  <si>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</si>
  <si>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</si>
  <si>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</si>
  <si>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</si>
  <si>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</si>
  <si>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</si>
  <si>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</si>
  <si>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</si>
  <si>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</si>
  <si>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</si>
  <si>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</si>
  <si>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</si>
  <si>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</si>
  <si>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</si>
  <si>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</si>
  <si>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</si>
  <si>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</si>
  <si>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</si>
  <si>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</si>
  <si>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</si>
  <si>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</si>
  <si>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</si>
  <si>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</si>
  <si>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</si>
  <si>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</si>
  <si>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</si>
  <si>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</si>
  <si>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</si>
  <si>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</si>
  <si>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</si>
  <si>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</si>
  <si>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</si>
  <si>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</si>
  <si>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</si>
  <si>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</si>
  <si>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</si>
  <si>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</si>
  <si>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</si>
  <si>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</si>
  <si>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</si>
  <si>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</si>
  <si>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</si>
  <si>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</si>
  <si>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</si>
  <si>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</si>
  <si>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</si>
  <si>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</si>
  <si>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</si>
  <si>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</si>
  <si>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</si>
  <si>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</si>
  <si>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</si>
  <si>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</si>
  <si>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</si>
  <si>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</si>
  <si>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</si>
  <si>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</si>
  <si>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</si>
  <si>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</si>
  <si>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</si>
  <si>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</si>
  <si>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</si>
  <si>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</si>
  <si>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</si>
  <si>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</si>
  <si>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</si>
  <si>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</si>
  <si>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</si>
  <si>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</si>
  <si>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</si>
  <si>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</si>
  <si>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</si>
  <si>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</si>
  <si>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</si>
  <si>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</si>
  <si>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</si>
  <si>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</si>
  <si>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</si>
  <si>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</si>
  <si>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</si>
  <si>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</si>
  <si>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</si>
  <si>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</si>
  <si>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</si>
  <si>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</si>
  <si>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</si>
  <si>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</si>
  <si>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</si>
  <si>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</si>
  <si>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</si>
  <si>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</si>
  <si>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</si>
  <si>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</si>
  <si>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</si>
  <si>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</si>
  <si>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</si>
  <si>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</si>
  <si>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</si>
  <si>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</si>
  <si>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</si>
  <si>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</si>
  <si>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</si>
  <si>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</si>
  <si>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</si>
  <si>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</si>
  <si>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</si>
  <si>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</si>
  <si>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</si>
  <si>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</si>
  <si>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</si>
  <si>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</si>
  <si>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</si>
  <si>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</si>
  <si>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</si>
  <si>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</si>
  <si>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</si>
  <si>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</si>
  <si>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</si>
  <si>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</si>
  <si>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</si>
  <si>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</si>
  <si>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</si>
  <si>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</si>
  <si>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</si>
  <si>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</si>
  <si>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</si>
  <si>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</si>
  <si>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</si>
  <si>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</si>
  <si>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</si>
  <si>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</si>
  <si>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</si>
  <si>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</si>
  <si>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</si>
  <si>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</si>
  <si>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</si>
  <si>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</si>
  <si>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</si>
  <si>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</si>
  <si>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</si>
  <si>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</si>
  <si>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</si>
  <si>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</si>
  <si>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</si>
  <si>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</si>
  <si>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</si>
  <si>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</si>
  <si>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</si>
  <si>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</si>
  <si>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</si>
  <si>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</si>
  <si>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</si>
  <si>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</si>
  <si>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</si>
  <si>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</si>
  <si>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</si>
  <si>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</si>
  <si>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</si>
  <si>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</si>
  <si>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</si>
  <si>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</si>
  <si>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</si>
  <si>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</si>
  <si>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</si>
  <si>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</si>
  <si>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</si>
  <si>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</si>
  <si>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</si>
  <si>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</si>
  <si>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</si>
  <si>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</si>
  <si>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</si>
  <si>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</si>
  <si>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</si>
  <si>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</si>
  <si>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</si>
  <si>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</si>
  <si>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</si>
  <si>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</si>
  <si>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</si>
  <si>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</si>
  <si>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</si>
  <si>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</si>
  <si>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</si>
  <si>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</si>
  <si>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</si>
  <si>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</si>
  <si>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</si>
  <si>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</si>
  <si>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</si>
  <si>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</si>
  <si>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</si>
  <si>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</si>
  <si>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</si>
  <si>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</si>
  <si>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</si>
  <si>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</si>
  <si>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</si>
  <si>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</si>
  <si>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</si>
  <si>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</si>
  <si>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</si>
  <si>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</si>
  <si>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</si>
  <si>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</si>
  <si>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</si>
  <si>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</si>
  <si>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</si>
  <si>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</si>
  <si>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</si>
  <si>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</si>
  <si>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</si>
  <si>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</si>
  <si>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</si>
  <si>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</si>
  <si>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</si>
  <si>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</si>
  <si>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</si>
  <si>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</si>
  <si>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</si>
  <si>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</si>
  <si>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</si>
  <si>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</si>
  <si>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</si>
  <si>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</si>
  <si>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</si>
  <si>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</si>
  <si>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</si>
  <si>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</si>
  <si>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</si>
  <si>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</si>
  <si>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</si>
  <si>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</si>
  <si>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</si>
  <si>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</si>
  <si>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</si>
  <si>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</si>
  <si>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</si>
  <si>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</si>
  <si>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</si>
  <si>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</si>
  <si>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</si>
  <si>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</si>
  <si>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</si>
  <si>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</si>
  <si>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</si>
  <si>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</si>
  <si>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</si>
  <si>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</si>
  <si>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</si>
  <si>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</si>
  <si>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</si>
  <si>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</si>
  <si>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</si>
  <si>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</si>
  <si>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</si>
  <si>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</si>
  <si>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</si>
  <si>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</si>
  <si>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</si>
  <si>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</si>
  <si>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</si>
  <si>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</si>
  <si>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</si>
  <si>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</si>
  <si>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</si>
  <si>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</si>
  <si>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</si>
  <si>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</si>
  <si>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</si>
  <si>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</si>
  <si>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</si>
  <si>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</si>
  <si>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</si>
  <si>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</si>
  <si>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</si>
  <si>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</si>
  <si>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</si>
  <si>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</si>
  <si>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</si>
  <si>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</si>
  <si>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</si>
  <si>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</si>
  <si>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</si>
  <si>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</si>
  <si>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</si>
  <si>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</si>
  <si>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</si>
  <si>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</si>
  <si>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</si>
  <si>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</si>
  <si>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</si>
  <si>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</si>
  <si>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</si>
  <si>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</si>
  <si>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</si>
  <si>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</si>
  <si>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</si>
  <si>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</si>
  <si>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</si>
  <si>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</si>
  <si>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</si>
  <si>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</si>
  <si>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</si>
  <si>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</si>
  <si>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</si>
  <si>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</si>
  <si>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</si>
  <si>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</si>
  <si>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</si>
  <si>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</si>
  <si>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</si>
  <si>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</si>
  <si>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</si>
  <si>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</si>
  <si>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</si>
  <si>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</si>
  <si>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</si>
  <si>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</si>
  <si>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</si>
  <si>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</si>
  <si>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</si>
  <si>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</si>
  <si>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</si>
  <si>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</si>
  <si>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</si>
  <si>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</si>
  <si>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</si>
  <si>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</si>
  <si>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</si>
  <si>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</si>
  <si>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</si>
  <si>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</si>
  <si>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</si>
  <si>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</si>
  <si>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</si>
  <si>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</si>
  <si>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</si>
  <si>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</si>
  <si>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</si>
  <si>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</si>
  <si>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</si>
  <si>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</si>
  <si>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</si>
  <si>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</si>
  <si>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</si>
  <si>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</si>
  <si>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</si>
  <si>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</si>
  <si>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</si>
  <si>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</si>
  <si>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</si>
  <si>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</si>
  <si>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</si>
  <si>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</si>
  <si>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</si>
  <si>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</si>
  <si>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</si>
  <si>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</si>
  <si>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</si>
  <si>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</si>
  <si>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</si>
  <si>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</si>
  <si>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</si>
  <si>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</si>
  <si>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</si>
  <si>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</si>
  <si>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</si>
  <si>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</si>
  <si>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</si>
  <si>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</si>
  <si>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</si>
  <si>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</si>
  <si>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</si>
  <si>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</si>
  <si>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</si>
  <si>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</si>
  <si>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</si>
  <si>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</si>
  <si>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</si>
  <si>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</si>
  <si>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</si>
  <si>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</si>
  <si>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</si>
  <si>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</si>
  <si>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</si>
  <si>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</si>
  <si>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</si>
  <si>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</si>
  <si>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</si>
  <si>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</si>
  <si>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</si>
  <si>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</si>
  <si>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</si>
  <si>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</si>
  <si>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</si>
  <si>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</si>
  <si>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</si>
  <si>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</si>
  <si>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</si>
  <si>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</si>
  <si>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</si>
  <si>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</si>
  <si>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</si>
  <si>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</si>
  <si>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</si>
  <si>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</si>
  <si>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</si>
  <si>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</si>
  <si>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</si>
  <si>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</si>
  <si>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</si>
  <si>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</si>
  <si>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</si>
  <si>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</si>
  <si>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</si>
  <si>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</si>
  <si>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</si>
  <si>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</si>
  <si>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</si>
  <si>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</si>
  <si>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</si>
  <si>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</si>
  <si>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</si>
  <si>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</si>
  <si>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</si>
  <si>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</si>
  <si>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</si>
  <si>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</si>
  <si>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</si>
  <si>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</si>
  <si>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</si>
  <si>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</si>
  <si>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</si>
  <si>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</si>
  <si>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</si>
  <si>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</si>
  <si>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</si>
  <si>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</si>
  <si>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</si>
  <si>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</si>
  <si>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</si>
  <si>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</si>
  <si>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</si>
  <si>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</si>
  <si>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</si>
  <si>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</si>
  <si>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</si>
  <si>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</si>
  <si>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</si>
  <si>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</si>
  <si>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</si>
  <si>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</si>
  <si>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</si>
  <si>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</si>
  <si>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</si>
  <si>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</si>
  <si>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</si>
  <si>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</si>
  <si>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</si>
  <si>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</si>
  <si>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</si>
  <si>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</si>
  <si>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</si>
  <si>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</si>
  <si>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</si>
  <si>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</si>
  <si>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</si>
  <si>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</si>
  <si>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</si>
  <si>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</si>
  <si>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</si>
  <si>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</si>
  <si>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</si>
  <si>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</si>
  <si>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</si>
  <si>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</si>
  <si>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</si>
  <si>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</si>
  <si>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</si>
  <si>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</si>
  <si>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</si>
  <si>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</si>
  <si>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</si>
  <si>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</si>
  <si>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</si>
  <si>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</si>
  <si>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</si>
  <si>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</si>
  <si>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</si>
  <si>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</si>
  <si>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</si>
  <si>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</si>
  <si>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</si>
  <si>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</si>
  <si>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</si>
  <si>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</si>
  <si>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</si>
  <si>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</si>
  <si>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</si>
  <si>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</si>
  <si>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</si>
  <si>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</si>
  <si>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</si>
  <si>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</si>
  <si>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</si>
  <si>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</si>
  <si>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</si>
  <si>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</si>
  <si>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</si>
  <si>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</si>
  <si>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</si>
  <si>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</si>
  <si>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</si>
  <si>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</si>
  <si>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</si>
  <si>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</si>
  <si>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</si>
  <si>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</si>
  <si>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</si>
  <si>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</si>
  <si>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</si>
  <si>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</si>
  <si>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</si>
  <si>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</si>
  <si>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</si>
  <si>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</si>
  <si>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</si>
  <si>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</si>
  <si>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</si>
  <si>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</si>
  <si>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</si>
  <si>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</si>
  <si>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</si>
  <si>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</si>
  <si>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</si>
  <si>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</si>
  <si>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</si>
  <si>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</si>
  <si>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</si>
  <si>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</si>
  <si>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</si>
  <si>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</si>
  <si>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</si>
  <si>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</si>
  <si>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</si>
  <si>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</si>
  <si>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</si>
  <si>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</si>
  <si>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</si>
  <si>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</si>
  <si>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</si>
  <si>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</si>
  <si>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</si>
  <si>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</si>
  <si>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</si>
  <si>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</si>
  <si>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</si>
  <si>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</si>
  <si>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</si>
  <si>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</si>
  <si>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</si>
  <si>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</si>
  <si>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</si>
  <si>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</si>
  <si>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</si>
  <si>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</si>
  <si>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</si>
  <si>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Linked to the 3rd Street start date on the Revenue Schedule. Overwrite if the contract is signed earlier or later.</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</si>
  <si>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</si>
  <si>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</si>
  <si>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</si>
  <si>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</si>
  <si>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</si>
  <si>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</si>
  <si>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</si>
  <si>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</si>
  <si>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</si>
  <si>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</si>
  <si>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</si>
  <si>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</si>
  <si>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</si>
  <si>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</si>
  <si>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</si>
  <si>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</si>
  <si>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</si>
  <si>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</si>
  <si>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</si>
  <si>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</si>
  <si>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</si>
  <si>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</si>
  <si>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</si>
  <si>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</si>
  <si>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</si>
  <si>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</si>
  <si>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</si>
  <si>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</si>
  <si>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</si>
  <si>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</si>
  <si>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Pipeline 1</t>
  </si>
  <si>
    <t xml:space="preserve">Pipeline</t>
  </si>
  <si>
    <t xml:space="preserve">Pipeline 2</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</si>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</sst>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5">
    <font>
      <sz val="10"/>
      <color theme="1"/>
      <name val="Aptos"/>
      <family val="2"/>
      <charset val="1"/>
    </font>
    <font>
      <sz val="10"/>
      <name val="Aptos"/>
      <family val="0"/>
    </font>
    <font>
      <sz val="10"/>
      <name val="Aptos"/>
      <family val="0"/>
    </font>
    <font>
      <sz val="10"/>
      <name val="Aptos"/>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ptos"/>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34"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35"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2"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3" fillId="2" borderId="0" xfId="0" applyFont="true" applyBorder="false" applyAlignment="true" applyProtection="false">
      <alignment horizontal="general" vertical="bottom" textRotation="0" wrapText="false" indent="0" shrinkToFit="false"/>
      <protection locked="true" hidden="false"/>
    </xf>
    <xf numFmtId="170" fontId="43"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2"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35"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1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70" fontId="43"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46" fillId="20" borderId="0" xfId="0" applyFont="true" applyBorder="false" applyAlignment="true" applyProtection="false">
      <alignment horizontal="general" vertical="bottom" textRotation="0" wrapText="false" indent="0" shrinkToFit="false"/>
      <protection locked="true" hidden="false"/>
    </xf>
    <xf numFmtId="170" fontId="46"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46"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6" fillId="24" borderId="0" xfId="0" applyFont="true" applyBorder="false" applyAlignment="true" applyProtection="false">
      <alignment horizontal="general" vertical="bottom" textRotation="0" wrapText="false" indent="0" shrinkToFit="false"/>
      <protection locked="true" hidden="false"/>
    </xf>
    <xf numFmtId="170" fontId="46" fillId="24"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4"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4" fillId="3" borderId="0" xfId="0" applyFont="true" applyBorder="false" applyAlignment="true" applyProtection="false">
      <alignment horizontal="center"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3" fontId="22" fillId="18" borderId="13"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1"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4"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3"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4"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59" fillId="0" borderId="13" xfId="0" applyFont="true" applyBorder="true" applyAlignment="true" applyProtection="false">
      <alignment horizontal="general" vertical="bottom" textRotation="0" wrapText="false" indent="0" shrinkToFit="false"/>
      <protection locked="true" hidden="false"/>
    </xf>
    <xf numFmtId="173" fontId="59"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0066CC"/>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1484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ROW(Projects!$B$17:$B$46)&lt;&gt;21)*Assumptions!$B$12/Projects!$D$17:$D$46*0.95)+SUMPRODUCT((Projects!$G$17:$G$46="Yes")*(7=Projects!$C$17:$C$46+Projects!$D$17:$D$46-1)*Projects!$B$17:$B$46*(ROW(Projects!$B$17:$B$46)&lt;&gt;21)*Assumptions!$B$12*0.05)+197289.25+83126.03+IF(AND(Projects!$G$21="Yes",7&gt;=Projects!$C$21,7&lt;Projects!$C$21+Projects!$D$21),(Projects!$N$21+Projects!$P$21)/Projects!$D$21*0.95,0)+IF(AND(Projects!$G$21="Yes",7=Projects!$C$21+Projects!$D$21-1),(Projects!$N$21+Projects!$P$21)*0.05,0),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ROW(Projects!$B$17:$B$46)&lt;&gt;21)*Assumptions!$B$12/Projects!$D$17:$D$46*0.95)+SUMPRODUCT((Projects!$G$17:$G$46="Yes")*(8=Projects!$C$17:$C$46+Projects!$D$17:$D$46-1)*Projects!$B$17:$B$46*(ROW(Projects!$B$17:$B$46)&lt;&gt;21)*Assumptions!$B$12*0.05)+169595.35+54036.08+IF(AND(Projects!$G$21="Yes",8&gt;=Projects!$C$21,8&lt;Projects!$C$21+Projects!$D$21),(Projects!$N$21+Projects!$P$21)/Projects!$D$21*0.95,0)+IF(AND(Projects!$G$21="Yes",8=Projects!$C$21+Projects!$D$21-1),(Projects!$N$21+Projects!$P$21)*0.05,0),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ROW(Projects!$B$17:$B$46)&lt;&gt;21)*Assumptions!$B$12/Projects!$D$17:$D$46*0.95)+SUMPRODUCT((Projects!$G$17:$G$46="Yes")*(9=Projects!$C$17:$C$46+Projects!$D$17:$D$46-1)*Projects!$B$17:$B$46*(ROW(Projects!$B$17:$B$46)&lt;&gt;21)*Assumptions!$B$12*0.05)+185750.1+40497.24+IF(AND(Projects!$G$21="Yes",9&gt;=Projects!$C$21,9&lt;Projects!$C$21+Projects!$D$21),(Projects!$N$21+Projects!$P$21)/Projects!$D$21*0.95,0)+IF(AND(Projects!$G$21="Yes",9=Projects!$C$21+Projects!$D$21-1),(Projects!$N$21+Projects!$P$21)*0.05,0),Actuals!N8)</f>
        <v>421902.252801715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ROW(Projects!$B$17:$B$46)&lt;&gt;21)*Assumptions!$B$12/Projects!$D$17:$D$46*0.95)+SUMPRODUCT((Projects!$G$17:$G$46="Yes")*(10=Projects!$C$17:$C$46+Projects!$D$17:$D$46-1)*Projects!$B$17:$B$46*(ROW(Projects!$B$17:$B$46)&lt;&gt;21)*Assumptions!$B$12*0.05)+192704.46+51592+IF(AND(Projects!$G$21="Yes",10&gt;=Projects!$C$21,10&lt;Projects!$C$21+Projects!$D$21),(Projects!$N$21+Projects!$P$21)/Projects!$D$21*0.95,0)+IF(AND(Projects!$G$21="Yes",10=Projects!$C$21+Projects!$D$21-1),(Projects!$N$21+Projects!$P$21)*0.05,0),Actuals!O8)</f>
        <v>465904.984820965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ROW(Projects!$B$17:$B$46)&lt;&gt;21)*Assumptions!$B$12/Projects!$D$17:$D$46*0.95)+SUMPRODUCT((Projects!$G$17:$G$46="Yes")*(11=Projects!$C$17:$C$46+Projects!$D$17:$D$46-1)*Projects!$B$17:$B$46*(ROW(Projects!$B$17:$B$46)&lt;&gt;21)*Assumptions!$B$12*0.05)+167996.31+41736.77+IF(AND(Projects!$G$21="Yes",11&gt;=Projects!$C$21,11&lt;Projects!$C$21+Projects!$D$21),(Projects!$N$21+Projects!$P$21)/Projects!$D$21*0.95,0)+IF(AND(Projects!$G$21="Yes",11=Projects!$C$21+Projects!$D$21-1),(Projects!$N$21+Projects!$P$21)*0.05,0),Actuals!P8)</f>
        <v>464284.465503715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ROW(Projects!$B$17:$B$46)&lt;&gt;21)*Assumptions!$B$12/Projects!$D$17:$D$46*0.95)+SUMPRODUCT((Projects!$G$17:$G$46="Yes")*(12=Projects!$C$17:$C$46+Projects!$D$17:$D$46-1)*Projects!$B$17:$B$46*(ROW(Projects!$B$17:$B$46)&lt;&gt;21)*Assumptions!$B$12*0.05)+177880.09+50356.25+IF(AND(Projects!$G$21="Yes",12&gt;=Projects!$C$21,12&lt;Projects!$C$21+Projects!$D$21),(Projects!$N$21+Projects!$P$21)/Projects!$D$21*0.95,0)+IF(AND(Projects!$G$21="Yes",12=Projects!$C$21+Projects!$D$21-1),(Projects!$N$21+Projects!$P$21)*0.05,0),Actuals!Q8)</f>
        <v>482787.725503715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ROW(Projects!$B$17:$B$46)&lt;&gt;21)*Assumptions!$B$12/Projects!$D$17:$D$46*0.95)+SUMPRODUCT((Projects!$G$17:$G$46="Yes")*(13=Projects!$C$17:$C$46+Projects!$D$17:$D$46-1)*Projects!$B$17:$B$46*(ROW(Projects!$B$17:$B$46)&lt;&gt;21)*Assumptions!$B$12*0.05)+156532.47+42530.55+IF(AND(Projects!$G$21="Yes",13&gt;=Projects!$C$21,13&lt;Projects!$C$21+Projects!$D$21),(Projects!$N$21+Projects!$P$21)/Projects!$D$21*0.95,0)+IF(AND(Projects!$G$21="Yes",13=Projects!$C$21+Projects!$D$21-1),(Projects!$N$21+Projects!$P$21)*0.05,0),Actuals!R8)</f>
        <v>521745.746827117</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ROW(Projects!$B$17:$B$46)&lt;&gt;21)*Assumptions!$B$12/Projects!$D$17:$D$46*0.95)+SUMPRODUCT((Projects!$G$17:$G$46="Yes")*(14=Projects!$C$17:$C$46+Projects!$D$17:$D$46-1)*Projects!$B$17:$B$46*(ROW(Projects!$B$17:$B$46)&lt;&gt;21)*Assumptions!$B$12*0.05)+123894.47+52270.25+IF(AND(Projects!$G$21="Yes",14&gt;=Projects!$C$21,14&lt;Projects!$C$21+Projects!$D$21),(Projects!$N$21+Projects!$P$21)/Projects!$D$21*0.95,0)+IF(AND(Projects!$G$21="Yes",14=Projects!$C$21+Projects!$D$21-1),(Projects!$N$21+Projects!$P$21)*0.05,0),Actuals!S8)</f>
        <v>538533.786035867</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ROW(Projects!$B$17:$B$46)&lt;&gt;21)*Assumptions!$B$12/Projects!$D$17:$D$46*0.95)+SUMPRODUCT((Projects!$G$17:$G$46="Yes")*(15=Projects!$C$17:$C$46+Projects!$D$17:$D$46-1)*Projects!$B$17:$B$46*(ROW(Projects!$B$17:$B$46)&lt;&gt;21)*Assumptions!$B$12*0.05)+135161.17+49127.97+IF(AND(Projects!$G$21="Yes",15&gt;=Projects!$C$21,15&lt;Projects!$C$21+Projects!$D$21),(Projects!$N$21+Projects!$P$21)/Projects!$D$21*0.95,0)+IF(AND(Projects!$G$21="Yes",15=Projects!$C$21+Projects!$D$21-1),(Projects!$N$21+Projects!$P$21)*0.05,0),Actuals!T8)</f>
        <v>645272.241703951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ROW(Projects!$B$17:$B$46)&lt;&gt;21)*Assumptions!$B$12/Projects!$D$17:$D$46*0.95)+SUMPRODUCT((Projects!$G$17:$G$46="Yes")*(16=Projects!$C$17:$C$46+Projects!$D$17:$D$46-1)*Projects!$B$17:$B$46*(ROW(Projects!$B$17:$B$46)&lt;&gt;21)*Assumptions!$B$12*0.05)+149759.43+88120.25+IF(AND(Projects!$G$21="Yes",16&gt;=Projects!$C$21,16&lt;Projects!$C$21+Projects!$D$21),(Projects!$N$21+Projects!$P$21)/Projects!$D$21*0.95,0)+IF(AND(Projects!$G$21="Yes",16=Projects!$C$21+Projects!$D$21-1),(Projects!$N$21+Projects!$P$21)*0.05,0),Actuals!U8)</f>
        <v>698862.781703951</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ROW(Projects!$B$17:$B$46)&lt;&gt;21)*Assumptions!$B$12/Projects!$D$17:$D$46*0.95)+SUMPRODUCT((Projects!$G$17:$G$46="Yes")*(17=Projects!$C$17:$C$46+Projects!$D$17:$D$46-1)*Projects!$B$17:$B$46*(ROW(Projects!$B$17:$B$46)&lt;&gt;21)*Assumptions!$B$12*0.05)+119578.88+56313.11+IF(AND(Projects!$G$21="Yes",17&gt;=Projects!$C$21,17&lt;Projects!$C$21+Projects!$D$21),(Projects!$N$21+Projects!$P$21)/Projects!$D$21*0.95,0)+IF(AND(Projects!$G$21="Yes",17=Projects!$C$21+Projects!$D$21-1),(Projects!$N$21+Projects!$P$21)*0.05,0),Actuals!V8)</f>
        <v>636875.091703951</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ROW(Projects!$B$17:$B$46)&lt;&gt;21)*Assumptions!$B$12/Projects!$D$17:$D$46*0.95)+SUMPRODUCT((Projects!$G$17:$G$46="Yes")*(18=Projects!$C$17:$C$46+Projects!$D$17:$D$46-1)*Projects!$B$17:$B$46*(ROW(Projects!$B$17:$B$46)&lt;&gt;21)*Assumptions!$B$12*0.05)+51829.51+167929.79+IF(AND(Projects!$G$21="Yes",18&gt;=Projects!$C$21,18&lt;Projects!$C$21+Projects!$D$21),(Projects!$N$21+Projects!$P$21)/Projects!$D$21*0.95,0)+IF(AND(Projects!$G$21="Yes",18=Projects!$C$21+Projects!$D$21-1),(Projects!$N$21+Projects!$P$21)*0.05,0),Actuals!W8)</f>
        <v>729654.081617701</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ROW(Projects!$B$17:$B$46)&lt;&gt;21)*Assumptions!$B$12/Projects!$D$17:$D$46*0.95)+SUMPRODUCT((Projects!$G$17:$G$46="Yes")*(19=Projects!$C$17:$C$46+Projects!$D$17:$D$46-1)*Projects!$B$17:$B$46*(ROW(Projects!$B$17:$B$46)&lt;&gt;21)*Assumptions!$B$12*0.05)+12036.71+106082.83+IF(AND(Projects!$G$21="Yes",19&gt;=Projects!$C$21,19&lt;Projects!$C$21+Projects!$D$21),(Projects!$N$21+Projects!$P$21)/Projects!$D$21*0.95,0)+IF(AND(Projects!$G$21="Yes",19=Projects!$C$21+Projects!$D$21-1),(Projects!$N$21+Projects!$P$21)*0.05,0),Actuals!X8)</f>
        <v>675159.535117701</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ROW(Projects!$B$17:$B$46)&lt;&gt;21)*Assumptions!$B$12/Projects!$D$17:$D$46*0.95)+SUMPRODUCT((Projects!$G$17:$G$46="Yes")*(20=Projects!$C$17:$C$46+Projects!$D$17:$D$46-1)*Projects!$B$17:$B$46*(ROW(Projects!$B$17:$B$46)&lt;&gt;21)*Assumptions!$B$12*0.05)+0+217899.85+IF(AND(Projects!$G$21="Yes",20&gt;=Projects!$C$21,20&lt;Projects!$C$21+Projects!$D$21),(Projects!$N$21+Projects!$P$21)/Projects!$D$21*0.95,0)+IF(AND(Projects!$G$21="Yes",20=Projects!$C$21+Projects!$D$21-1),(Projects!$N$21+Projects!$P$21)*0.05,0),Actuals!Y8)</f>
        <v>774939.845117701</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ROW(Projects!$B$17:$B$46)&lt;&gt;21)*Assumptions!$B$12/Projects!$D$17:$D$46*0.95)+SUMPRODUCT((Projects!$G$17:$G$46="Yes")*(21=Projects!$C$17:$C$46+Projects!$D$17:$D$46-1)*Projects!$B$17:$B$46*(ROW(Projects!$B$17:$B$46)&lt;&gt;21)*Assumptions!$B$12*0.05)+0+125465.1+IF(AND(Projects!$G$21="Yes",21&gt;=Projects!$C$21,21&lt;Projects!$C$21+Projects!$D$21),(Projects!$N$21+Projects!$P$21)/Projects!$D$21*0.95,0)+IF(AND(Projects!$G$21="Yes",21=Projects!$C$21+Projects!$D$21-1),(Projects!$N$21+Projects!$P$21)*0.05,0),Actuals!Z8)</f>
        <v>682505.095117701</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ROW(Projects!$B$17:$B$46)&lt;&gt;21)*Assumptions!$B$12/Projects!$D$17:$D$46*0.95)+SUMPRODUCT((Projects!$G$17:$G$46="Yes")*(22=Projects!$C$17:$C$46+Projects!$D$17:$D$46-1)*Projects!$B$17:$B$46*(ROW(Projects!$B$17:$B$46)&lt;&gt;21)*Assumptions!$B$12*0.05)+0+197662.91+IF(AND(Projects!$G$21="Yes",22&gt;=Projects!$C$21,22&lt;Projects!$C$21+Projects!$D$21),(Projects!$N$21+Projects!$P$21)/Projects!$D$21*0.95,0)+IF(AND(Projects!$G$21="Yes",22=Projects!$C$21+Projects!$D$21-1),(Projects!$N$21+Projects!$P$21)*0.05,0),Actuals!AA8)</f>
        <v>754702.905117701</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ROW(Projects!$B$17:$B$46)&lt;&gt;21)*Assumptions!$B$12/Projects!$D$17:$D$46*0.95)+SUMPRODUCT((Projects!$G$17:$G$46="Yes")*(23=Projects!$C$17:$C$46+Projects!$D$17:$D$46-1)*Projects!$B$17:$B$46*(ROW(Projects!$B$17:$B$46)&lt;&gt;21)*Assumptions!$B$12*0.05)+0+165055.08+IF(AND(Projects!$G$21="Yes",23&gt;=Projects!$C$21,23&lt;Projects!$C$21+Projects!$D$21),(Projects!$N$21+Projects!$P$21)/Projects!$D$21*0.95,0)+IF(AND(Projects!$G$21="Yes",23=Projects!$C$21+Projects!$D$21-1),(Projects!$N$21+Projects!$P$21)*0.05,0),Actuals!AB8)</f>
        <v>771410.808017001</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ROW(Projects!$B$17:$B$46)&lt;&gt;21)*Assumptions!$B$12/Projects!$D$17:$D$46*0.95)+SUMPRODUCT((Projects!$G$17:$G$46="Yes")*(24=Projects!$C$17:$C$46+Projects!$D$17:$D$46-1)*Projects!$B$17:$B$46*(ROW(Projects!$B$17:$B$46)&lt;&gt;21)*Assumptions!$B$12*0.05)+0+112515.83+IF(AND(Projects!$G$21="Yes",24&gt;=Projects!$C$21,24&lt;Projects!$C$21+Projects!$D$21),(Projects!$N$21+Projects!$P$21)/Projects!$D$21*0.95,0)+IF(AND(Projects!$G$21="Yes",24=Projects!$C$21+Projects!$D$21-1),(Projects!$N$21+Projects!$P$21)*0.05,0),Actuals!AC8)</f>
        <v>664935.433386388</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ROW(Projects!$B$17:$B$46)&lt;&gt;21)*Assumptions!$B$12/Projects!$D$17:$D$46*0.95)+SUMPRODUCT((Projects!$G$17:$G$46="Yes")*(25=Projects!$C$17:$C$46+Projects!$D$17:$D$46-1)*Projects!$B$17:$B$46*(ROW(Projects!$B$17:$B$46)&lt;&gt;21)*Assumptions!$B$12*0.05)+0+71206.06+IF(AND(Projects!$G$21="Yes",25&gt;=Projects!$C$21,25&lt;Projects!$C$21+Projects!$D$21),(Projects!$N$21+Projects!$P$21)/Projects!$D$21*0.95,0)+IF(AND(Projects!$G$21="Yes",25=Projects!$C$21+Projects!$D$21-1),(Projects!$N$21+Projects!$P$21)*0.05,0),Actuals!AD8)</f>
        <v>534234.981050413</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ROW(Projects!$B$17:$B$46)&lt;&gt;21)*Assumptions!$B$12/Projects!$D$17:$D$46*0.95)+SUMPRODUCT((Projects!$G$17:$G$46="Yes")*(26=Projects!$C$17:$C$46+Projects!$D$17:$D$46-1)*Projects!$B$17:$B$46*(ROW(Projects!$B$17:$B$46)&lt;&gt;21)*Assumptions!$B$12*0.05)+0+84320.29+IF(AND(Projects!$G$21="Yes",26&gt;=Projects!$C$21,26&lt;Projects!$C$21+Projects!$D$21),(Projects!$N$21+Projects!$P$21)/Projects!$D$21*0.95,0)+IF(AND(Projects!$G$21="Yes",26=Projects!$C$21+Projects!$D$21-1),(Projects!$N$21+Projects!$P$21)*0.05,0),Actuals!AE8)</f>
        <v>547349.211050413</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ROW(Projects!$B$17:$B$46)&lt;&gt;21)*Assumptions!$B$12/Projects!$D$17:$D$46*0.95)+SUMPRODUCT((Projects!$G$17:$G$46="Yes")*(27=Projects!$C$17:$C$46+Projects!$D$17:$D$46-1)*Projects!$B$17:$B$46*(ROW(Projects!$B$17:$B$46)&lt;&gt;21)*Assumptions!$B$12*0.05)+0+79138.58+IF(AND(Projects!$G$21="Yes",27&gt;=Projects!$C$21,27&lt;Projects!$C$21+Projects!$D$21),(Projects!$N$21+Projects!$P$21)/Projects!$D$21*0.95,0)+IF(AND(Projects!$G$21="Yes",27=Projects!$C$21+Projects!$D$21-1),(Projects!$N$21+Projects!$P$21)*0.05,0),Actuals!AF8)</f>
        <v>632258.911484347</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ROW(Projects!$B$17:$B$46)&lt;&gt;21)*Assumptions!$B$12/Projects!$D$17:$D$46*0.95)+SUMPRODUCT((Projects!$G$17:$G$46="Yes")*(28=Projects!$C$17:$C$46+Projects!$D$17:$D$46-1)*Projects!$B$17:$B$46*(ROW(Projects!$B$17:$B$46)&lt;&gt;21)*Assumptions!$B$12*0.05)+0+97862.63+IF(AND(Projects!$G$21="Yes",28&gt;=Projects!$C$21,28&lt;Projects!$C$21+Projects!$D$21),(Projects!$N$21+Projects!$P$21)/Projects!$D$21*0.95,0)+IF(AND(Projects!$G$21="Yes",28=Projects!$C$21+Projects!$D$21-1),(Projects!$N$21+Projects!$P$21)*0.05,0),Actuals!AG8)</f>
        <v>722979.423503597</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ROW(Projects!$B$17:$B$46)&lt;&gt;21)*Assumptions!$B$12/Projects!$D$17:$D$46*0.95)+SUMPRODUCT((Projects!$G$17:$G$46="Yes")*(29=Projects!$C$17:$C$46+Projects!$D$17:$D$46-1)*Projects!$B$17:$B$46*(ROW(Projects!$B$17:$B$46)&lt;&gt;21)*Assumptions!$B$12*0.05)+0+169949.87+IF(AND(Projects!$G$21="Yes",29&gt;=Projects!$C$21,29&lt;Projects!$C$21+Projects!$D$21),(Projects!$N$21+Projects!$P$21)/Projects!$D$21*0.95,0)+IF(AND(Projects!$G$21="Yes",29=Projects!$C$21+Projects!$D$21-1),(Projects!$N$21+Projects!$P$21)*0.05,0),Actuals!AH8)</f>
        <v>686318.742647847</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ROW(Projects!$B$17:$B$46)&lt;&gt;21)*Assumptions!$B$12/Projects!$D$17:$D$46*0.95)+SUMPRODUCT((Projects!$G$17:$G$46="Yes")*(30=Projects!$C$17:$C$46+Projects!$D$17:$D$46-1)*Projects!$B$17:$B$46*(ROW(Projects!$B$17:$B$46)&lt;&gt;21)*Assumptions!$B$12*0.05)+0+157724.98+IF(AND(Projects!$G$21="Yes",30&gt;=Projects!$C$21,30&lt;Projects!$C$21+Projects!$D$21),(Projects!$N$21+Projects!$P$21)/Projects!$D$21*0.95,0)+IF(AND(Projects!$G$21="Yes",30=Projects!$C$21+Projects!$D$21-1),(Projects!$N$21+Projects!$P$21)*0.05,0),Actuals!AI8)</f>
        <v>672753.612536097</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ROW(Projects!$B$17:$B$46)&lt;&gt;21)*Assumptions!$B$12/Projects!$D$17:$D$46*0.95)+SUMPRODUCT((Projects!$G$17:$G$46="Yes")*(31=Projects!$C$17:$C$46+Projects!$D$17:$D$46-1)*Projects!$B$17:$B$46*(ROW(Projects!$B$17:$B$46)&lt;&gt;21)*Assumptions!$B$12*0.05)+0+154201.06+IF(AND(Projects!$G$21="Yes",31&gt;=Projects!$C$21,31&lt;Projects!$C$21+Projects!$D$21),(Projects!$N$21+Projects!$P$21)/Projects!$D$21*0.95,0)+IF(AND(Projects!$G$21="Yes",31=Projects!$C$21+Projects!$D$21-1),(Projects!$N$21+Projects!$P$21)*0.05,0),Actuals!AJ8)</f>
        <v>536552.869958944</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ROW(Projects!$B$17:$B$46)&lt;&gt;21)*Assumptions!$B$12/Projects!$D$17:$D$46*0.95)+SUMPRODUCT((Projects!$G$17:$G$46="Yes")*(32=Projects!$C$17:$C$46+Projects!$D$17:$D$46-1)*Projects!$B$17:$B$46*(ROW(Projects!$B$17:$B$46)&lt;&gt;21)*Assumptions!$B$12*0.05)+0+84129.61+IF(AND(Projects!$G$21="Yes",32&gt;=Projects!$C$21,32&lt;Projects!$C$21+Projects!$D$21),(Projects!$N$21+Projects!$P$21)/Projects!$D$21*0.95,0)+IF(AND(Projects!$G$21="Yes",32=Projects!$C$21+Projects!$D$21-1),(Projects!$N$21+Projects!$P$21)*0.05,0),Actuals!AK8)</f>
        <v>579308.556516444</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ROW(Projects!$B$17:$B$46)&lt;&gt;21)*Assumptions!$B$12/Projects!$D$17:$D$46*0.95)+SUMPRODUCT((Projects!$G$17:$G$46="Yes")*(33=Projects!$C$17:$C$46+Projects!$D$17:$D$46-1)*Projects!$B$17:$B$46*(ROW(Projects!$B$17:$B$46)&lt;&gt;21)*Assumptions!$B$12*0.05)+0+69839.32+IF(AND(Projects!$G$21="Yes",33&gt;=Projects!$C$21,33&lt;Projects!$C$21+Projects!$D$21),(Projects!$N$21+Projects!$P$21)/Projects!$D$21*0.95,0)+IF(AND(Projects!$G$21="Yes",33=Projects!$C$21+Projects!$D$21-1),(Projects!$N$21+Projects!$P$21)*0.05,0),Actuals!AL8)</f>
        <v>354601.659515767</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ROW(Projects!$B$17:$B$46)&lt;&gt;21)*Assumptions!$B$12/Projects!$D$17:$D$46*0.95)+SUMPRODUCT((Projects!$G$17:$G$46="Yes")*(34=Projects!$C$17:$C$46+Projects!$D$17:$D$46-1)*Projects!$B$17:$B$46*(ROW(Projects!$B$17:$B$46)&lt;&gt;21)*Assumptions!$B$12*0.05)+0+78016.5+IF(AND(Projects!$G$21="Yes",34&gt;=Projects!$C$21,34&lt;Projects!$C$21+Projects!$D$21),(Projects!$N$21+Projects!$P$21)/Projects!$D$21*0.95,0)+IF(AND(Projects!$G$21="Yes",34=Projects!$C$21+Projects!$D$21-1),(Projects!$N$21+Projects!$P$21)*0.05,0),Actuals!AM8)</f>
        <v>362778.839515767</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ROW(Projects!$B$17:$B$46)&lt;&gt;21)*Assumptions!$B$12/Projects!$D$17:$D$46*0.95)+SUMPRODUCT((Projects!$G$17:$G$46="Yes")*(35=Projects!$C$17:$C$46+Projects!$D$17:$D$46-1)*Projects!$B$17:$B$46*(ROW(Projects!$B$17:$B$46)&lt;&gt;21)*Assumptions!$B$12*0.05)+0+84806.09+IF(AND(Projects!$G$21="Yes",35&gt;=Projects!$C$21,35&lt;Projects!$C$21+Projects!$D$21),(Projects!$N$21+Projects!$P$21)/Projects!$D$21*0.95,0)+IF(AND(Projects!$G$21="Yes",35=Projects!$C$21+Projects!$D$21-1),(Projects!$N$21+Projects!$P$21)*0.05,0),Actuals!AN8)</f>
        <v>369568.429515767</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ROW(Projects!$B$17:$B$46)&lt;&gt;21)*Assumptions!$B$12/Projects!$D$17:$D$46*0.95)+SUMPRODUCT((Projects!$G$17:$G$46="Yes")*(36=Projects!$C$17:$C$46+Projects!$D$17:$D$46-1)*Projects!$B$17:$B$46*(ROW(Projects!$B$17:$B$46)&lt;&gt;21)*Assumptions!$B$12*0.05)+0+22816.35+IF(AND(Projects!$G$21="Yes",36&gt;=Projects!$C$21,36&lt;Projects!$C$21+Projects!$D$21),(Projects!$N$21+Projects!$P$21)/Projects!$D$21*0.95,0)+IF(AND(Projects!$G$21="Yes",36=Projects!$C$21+Projects!$D$21-1),(Projects!$N$21+Projects!$P$21)*0.05,0),Actuals!AO8)</f>
        <v>356490.369429517</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282995.873102017</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188705.446102017</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188705.446102017</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188705.446102017</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188705.446102017</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188705.446102017</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188705.446102017</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344411.818209517</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ROW(Projects!$B$17:$B$46)&lt;&gt;21)*Assumptions!$B$11/Projects!$D$17:$D$46*0.95)+SUMPRODUCT((Projects!$G$17:$G$46="Yes")*(7=Projects!$C$17:$C$46+Projects!$D$17:$D$46-1)*Projects!$B$17:$B$46*(ROW(Projects!$B$17:$B$46)&lt;&gt;21)*Assumptions!$B$11*0.05)+170438.71+62344.53+IF(AND(Projects!$G$21="Yes",7&gt;=Projects!$C$21,7&lt;Projects!$C$21+Projects!$D$21),(Projects!$O$21)/Projects!$D$21*0.95,0)+IF(AND(Projects!$G$21="Yes",7=Projects!$C$21+Projects!$D$21-1),(Projects!$O$21)*0.05,0),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ROW(Projects!$B$17:$B$46)&lt;&gt;21)*Assumptions!$B$11/Projects!$D$17:$D$46*0.95)+SUMPRODUCT((Projects!$G$17:$G$46="Yes")*(8=Projects!$C$17:$C$46+Projects!$D$17:$D$46-1)*Projects!$B$17:$B$46*(ROW(Projects!$B$17:$B$46)&lt;&gt;21)*Assumptions!$B$11*0.05)+140981.69+40527.07+IF(AND(Projects!$G$21="Yes",8&gt;=Projects!$C$21,8&lt;Projects!$C$21+Projects!$D$21),(Projects!$O$21)/Projects!$D$21*0.95,0)+IF(AND(Projects!$G$21="Yes",8=Projects!$C$21+Projects!$D$21-1),(Projects!$O$21)*0.05,0),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ROW(Projects!$B$17:$B$46)&lt;&gt;21)*Assumptions!$B$11/Projects!$D$17:$D$46*0.95)+SUMPRODUCT((Projects!$G$17:$G$46="Yes")*(9=Projects!$C$17:$C$46+Projects!$D$17:$D$46-1)*Projects!$B$17:$B$46*(ROW(Projects!$B$17:$B$46)&lt;&gt;21)*Assumptions!$B$11*0.05)+151633.52+30372.93+IF(AND(Projects!$G$21="Yes",9&gt;=Projects!$C$21,9&lt;Projects!$C$21+Projects!$D$21),(Projects!$O$21)/Projects!$D$21*0.95,0)+IF(AND(Projects!$G$21="Yes",9=Projects!$C$21+Projects!$D$21-1),(Projects!$O$21)*0.05,0),Actuals!N10)</f>
        <v>328909.924422338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ROW(Projects!$B$17:$B$46)&lt;&gt;21)*Assumptions!$B$11/Projects!$D$17:$D$46*0.95)+SUMPRODUCT((Projects!$G$17:$G$46="Yes")*(10=Projects!$C$17:$C$46+Projects!$D$17:$D$46-1)*Projects!$B$17:$B$46*(ROW(Projects!$B$17:$B$46)&lt;&gt;21)*Assumptions!$B$11*0.05)+160688.12+38694.01+IF(AND(Projects!$G$21="Yes",10&gt;=Projects!$C$21,10&lt;Projects!$C$21+Projects!$D$21),(Projects!$O$21)/Projects!$D$21*0.95,0)+IF(AND(Projects!$G$21="Yes",10=Projects!$C$21+Projects!$D$21-1),(Projects!$O$21)*0.05,0),Actuals!O10)</f>
        <v>365750.719121738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ROW(Projects!$B$17:$B$46)&lt;&gt;21)*Assumptions!$B$11/Projects!$D$17:$D$46*0.95)+SUMPRODUCT((Projects!$G$17:$G$46="Yes")*(11=Projects!$C$17:$C$46+Projects!$D$17:$D$46-1)*Projects!$B$17:$B$46*(ROW(Projects!$B$17:$B$46)&lt;&gt;21)*Assumptions!$B$11*0.05)+139809.39+31302.58+IF(AND(Projects!$G$21="Yes",11&gt;=Projects!$C$21,11&lt;Projects!$C$21+Projects!$D$21),(Projects!$O$21)/Projects!$D$21*0.95,0)+IF(AND(Projects!$G$21="Yes",11=Projects!$C$21+Projects!$D$21-1),(Projects!$O$21)*0.05,0),Actuals!P10)</f>
        <v>362187.584919938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ROW(Projects!$B$17:$B$46)&lt;&gt;21)*Assumptions!$B$11/Projects!$D$17:$D$46*0.95)+SUMPRODUCT((Projects!$G$17:$G$46="Yes")*(12=Projects!$C$17:$C$46+Projects!$D$17:$D$46-1)*Projects!$B$17:$B$46*(ROW(Projects!$B$17:$B$46)&lt;&gt;21)*Assumptions!$B$11*0.05)+142239.09+37767.2+IF(AND(Projects!$G$21="Yes",12&gt;=Projects!$C$21,12&lt;Projects!$C$21+Projects!$D$21),(Projects!$O$21)/Projects!$D$21*0.95,0)+IF(AND(Projects!$G$21="Yes",12=Projects!$C$21+Projects!$D$21-1),(Projects!$O$21)*0.05,0),Actuals!Q10)</f>
        <v>371081.904919938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ROW(Projects!$B$17:$B$46)&lt;&gt;21)*Assumptions!$B$11/Projects!$D$17:$D$46*0.95)+SUMPRODUCT((Projects!$G$17:$G$46="Yes")*(13=Projects!$C$17:$C$46+Projects!$D$17:$D$46-1)*Projects!$B$17:$B$46*(ROW(Projects!$B$17:$B$46)&lt;&gt;21)*Assumptions!$B$11*0.05)+125821.33+31897.91+IF(AND(Projects!$G$21="Yes",13&gt;=Projects!$C$21,13&lt;Projects!$C$21+Projects!$D$21),(Projects!$O$21)/Projects!$D$21*0.95,0)+IF(AND(Projects!$G$21="Yes",13=Projects!$C$21+Projects!$D$21-1),(Projects!$O$21)*0.05,0),Actuals!R10)</f>
        <v>399893.113324216</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ROW(Projects!$B$17:$B$46)&lt;&gt;21)*Assumptions!$B$11/Projects!$D$17:$D$46*0.95)+SUMPRODUCT((Projects!$G$17:$G$46="Yes")*(14=Projects!$C$17:$C$46+Projects!$D$17:$D$46-1)*Projects!$B$17:$B$46*(ROW(Projects!$B$17:$B$46)&lt;&gt;21)*Assumptions!$B$11*0.05)+98095.58+39202.69+IF(AND(Projects!$G$21="Yes",14&gt;=Projects!$C$21,14&lt;Projects!$C$21+Projects!$D$21),(Projects!$O$21)/Projects!$D$21*0.95,0)+IF(AND(Projects!$G$21="Yes",14=Projects!$C$21+Projects!$D$21-1),(Projects!$O$21)*0.05,0),Actuals!S10)</f>
        <v>409236.753511216</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ROW(Projects!$B$17:$B$46)&lt;&gt;21)*Assumptions!$B$11/Projects!$D$17:$D$46*0.95)+SUMPRODUCT((Projects!$G$17:$G$46="Yes")*(15=Projects!$C$17:$C$46+Projects!$D$17:$D$46-1)*Projects!$B$17:$B$46*(ROW(Projects!$B$17:$B$46)&lt;&gt;21)*Assumptions!$B$11*0.05)+104710.45+36845.99+IF(AND(Projects!$G$21="Yes",15&gt;=Projects!$C$21,15&lt;Projects!$C$21+Projects!$D$21),(Projects!$O$21)/Projects!$D$21*0.95,0)+IF(AND(Projects!$G$21="Yes",15=Projects!$C$21+Projects!$D$21-1),(Projects!$O$21)*0.05,0),Actuals!T10)</f>
        <v>487455.091900349</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ROW(Projects!$B$17:$B$46)&lt;&gt;21)*Assumptions!$B$11/Projects!$D$17:$D$46*0.95)+SUMPRODUCT((Projects!$G$17:$G$46="Yes")*(16=Projects!$C$17:$C$46+Projects!$D$17:$D$46-1)*Projects!$B$17:$B$46*(ROW(Projects!$B$17:$B$46)&lt;&gt;21)*Assumptions!$B$11*0.05)+115950.51+66090.19+IF(AND(Projects!$G$21="Yes",16&gt;=Projects!$C$21,16&lt;Projects!$C$21+Projects!$D$21),(Projects!$O$21)/Projects!$D$21*0.95,0)+IF(AND(Projects!$G$21="Yes",16=Projects!$C$21+Projects!$D$21-1),(Projects!$O$21)*0.05,0),Actuals!U10)</f>
        <v>527939.351900349</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ROW(Projects!$B$17:$B$46)&lt;&gt;21)*Assumptions!$B$11/Projects!$D$17:$D$46*0.95)+SUMPRODUCT((Projects!$G$17:$G$46="Yes")*(17=Projects!$C$17:$C$46+Projects!$D$17:$D$46-1)*Projects!$B$17:$B$46*(ROW(Projects!$B$17:$B$46)&lt;&gt;21)*Assumptions!$B$11*0.05)+93352.59+42234.83+IF(AND(Projects!$G$21="Yes",17&gt;=Projects!$C$21,17&lt;Projects!$C$21+Projects!$D$21),(Projects!$O$21)/Projects!$D$21*0.95,0)+IF(AND(Projects!$G$21="Yes",17=Projects!$C$21+Projects!$D$21-1),(Projects!$O$21)*0.05,0),Actuals!V10)</f>
        <v>481486.071900349</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ROW(Projects!$B$17:$B$46)&lt;&gt;21)*Assumptions!$B$11/Projects!$D$17:$D$46*0.95)+SUMPRODUCT((Projects!$G$17:$G$46="Yes")*(18=Projects!$C$17:$C$46+Projects!$D$17:$D$46-1)*Projects!$B$17:$B$46*(ROW(Projects!$B$17:$B$46)&lt;&gt;21)*Assumptions!$B$11*0.05)+40060.13+125947.35+IF(AND(Projects!$G$21="Yes",18&gt;=Projects!$C$21,18&lt;Projects!$C$21+Projects!$D$21),(Projects!$O$21)/Projects!$D$21*0.95,0)+IF(AND(Projects!$G$21="Yes",18=Projects!$C$21+Projects!$D$21-1),(Projects!$O$21)*0.05,0),Actuals!W10)</f>
        <v>548589.714091349</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ROW(Projects!$B$17:$B$46)&lt;&gt;21)*Assumptions!$B$11/Projects!$D$17:$D$46*0.95)+SUMPRODUCT((Projects!$G$17:$G$46="Yes")*(19=Projects!$C$17:$C$46+Projects!$D$17:$D$46-1)*Projects!$B$17:$B$46*(ROW(Projects!$B$17:$B$46)&lt;&gt;21)*Assumptions!$B$11*0.05)+9027.54+79562.13+IF(AND(Projects!$G$21="Yes",19&gt;=Projects!$C$21,19&lt;Projects!$C$21+Projects!$D$21),(Projects!$O$21)/Projects!$D$21*0.95,0)+IF(AND(Projects!$G$21="Yes",19=Projects!$C$21+Projects!$D$21-1),(Projects!$O$21)*0.05,0),Actuals!X10)</f>
        <v>506530.642891349</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ROW(Projects!$B$17:$B$46)&lt;&gt;21)*Assumptions!$B$11/Projects!$D$17:$D$46*0.95)+SUMPRODUCT((Projects!$G$17:$G$46="Yes")*(20=Projects!$C$17:$C$46+Projects!$D$17:$D$46-1)*Projects!$B$17:$B$46*(ROW(Projects!$B$17:$B$46)&lt;&gt;21)*Assumptions!$B$11*0.05)+0+163424.9+IF(AND(Projects!$G$21="Yes",20&gt;=Projects!$C$21,20&lt;Projects!$C$21+Projects!$D$21),(Projects!$O$21)/Projects!$D$21*0.95,0)+IF(AND(Projects!$G$21="Yes",20=Projects!$C$21+Projects!$D$21-1),(Projects!$O$21)*0.05,0),Actuals!Y10)</f>
        <v>581365.87289135</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ROW(Projects!$B$17:$B$46)&lt;&gt;21)*Assumptions!$B$11/Projects!$D$17:$D$46*0.95)+SUMPRODUCT((Projects!$G$17:$G$46="Yes")*(21=Projects!$C$17:$C$46+Projects!$D$17:$D$46-1)*Projects!$B$17:$B$46*(ROW(Projects!$B$17:$B$46)&lt;&gt;21)*Assumptions!$B$11*0.05)+0+94098.83+IF(AND(Projects!$G$21="Yes",21&gt;=Projects!$C$21,21&lt;Projects!$C$21+Projects!$D$21),(Projects!$O$21)/Projects!$D$21*0.95,0)+IF(AND(Projects!$G$21="Yes",21=Projects!$C$21+Projects!$D$21-1),(Projects!$O$21)*0.05,0),Actuals!Z10)</f>
        <v>512039.802891349</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ROW(Projects!$B$17:$B$46)&lt;&gt;21)*Assumptions!$B$11/Projects!$D$17:$D$46*0.95)+SUMPRODUCT((Projects!$G$17:$G$46="Yes")*(22=Projects!$C$17:$C$46+Projects!$D$17:$D$46-1)*Projects!$B$17:$B$46*(ROW(Projects!$B$17:$B$46)&lt;&gt;21)*Assumptions!$B$11*0.05)+0+148247.2+IF(AND(Projects!$G$21="Yes",22&gt;=Projects!$C$21,22&lt;Projects!$C$21+Projects!$D$21),(Projects!$O$21)/Projects!$D$21*0.95,0)+IF(AND(Projects!$G$21="Yes",22=Projects!$C$21+Projects!$D$21-1),(Projects!$O$21)*0.05,0),Actuals!AA10)</f>
        <v>566188.17289135</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ROW(Projects!$B$17:$B$46)&lt;&gt;21)*Assumptions!$B$11/Projects!$D$17:$D$46*0.95)+SUMPRODUCT((Projects!$G$17:$G$46="Yes")*(23=Projects!$C$17:$C$46+Projects!$D$17:$D$46-1)*Projects!$B$17:$B$46*(ROW(Projects!$B$17:$B$46)&lt;&gt;21)*Assumptions!$B$11*0.05)+0+123791.33+IF(AND(Projects!$G$21="Yes",23&gt;=Projects!$C$21,23&lt;Projects!$C$21+Projects!$D$21),(Projects!$O$21)/Projects!$D$21*0.95,0)+IF(AND(Projects!$G$21="Yes",23=Projects!$C$21+Projects!$D$21-1),(Projects!$O$21)*0.05,0),Actuals!AB10)</f>
        <v>578718.923353189</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ROW(Projects!$B$17:$B$46)&lt;&gt;21)*Assumptions!$B$11/Projects!$D$17:$D$46*0.95)+SUMPRODUCT((Projects!$G$17:$G$46="Yes")*(24=Projects!$C$17:$C$46+Projects!$D$17:$D$46-1)*Projects!$B$17:$B$46*(ROW(Projects!$B$17:$B$46)&lt;&gt;21)*Assumptions!$B$11*0.05)+0+84386.88+IF(AND(Projects!$G$21="Yes",24&gt;=Projects!$C$21,24&lt;Projects!$C$21+Projects!$D$21),(Projects!$O$21)/Projects!$D$21*0.95,0)+IF(AND(Projects!$G$21="Yes",24=Projects!$C$21+Projects!$D$21-1),(Projects!$O$21)*0.05,0),Actuals!AC10)</f>
        <v>498862.575883299</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ROW(Projects!$B$17:$B$46)&lt;&gt;21)*Assumptions!$B$11/Projects!$D$17:$D$46*0.95)+SUMPRODUCT((Projects!$G$17:$G$46="Yes")*(25=Projects!$C$17:$C$46+Projects!$D$17:$D$46-1)*Projects!$B$17:$B$46*(ROW(Projects!$B$17:$B$46)&lt;&gt;21)*Assumptions!$B$11*0.05)+0+53404.55+IF(AND(Projects!$G$21="Yes",25&gt;=Projects!$C$21,25&lt;Projects!$C$21+Projects!$D$21),(Projects!$O$21)/Projects!$D$21*0.95,0)+IF(AND(Projects!$G$21="Yes",25=Projects!$C$21+Projects!$D$21-1),(Projects!$O$21)*0.05,0),Actuals!AD10)</f>
        <v>400837.558975719</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ROW(Projects!$B$17:$B$46)&lt;&gt;21)*Assumptions!$B$11/Projects!$D$17:$D$46*0.95)+SUMPRODUCT((Projects!$G$17:$G$46="Yes")*(26=Projects!$C$17:$C$46+Projects!$D$17:$D$46-1)*Projects!$B$17:$B$46*(ROW(Projects!$B$17:$B$46)&lt;&gt;21)*Assumptions!$B$11*0.05)+0+63240.23+IF(AND(Projects!$G$21="Yes",26&gt;=Projects!$C$21,26&lt;Projects!$C$21+Projects!$D$21),(Projects!$O$21)/Projects!$D$21*0.95,0)+IF(AND(Projects!$G$21="Yes",26=Projects!$C$21+Projects!$D$21-1),(Projects!$O$21)*0.05,0),Actuals!AE10)</f>
        <v>410673.238975719</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ROW(Projects!$B$17:$B$46)&lt;&gt;21)*Assumptions!$B$11/Projects!$D$17:$D$46*0.95)+SUMPRODUCT((Projects!$G$17:$G$46="Yes")*(27=Projects!$C$17:$C$46+Projects!$D$17:$D$46-1)*Projects!$B$17:$B$46*(ROW(Projects!$B$17:$B$46)&lt;&gt;21)*Assumptions!$B$11*0.05)+0+59353.95+IF(AND(Projects!$G$21="Yes",27&gt;=Projects!$C$21,27&lt;Projects!$C$21+Projects!$D$21),(Projects!$O$21)/Projects!$D$21*0.95,0)+IF(AND(Projects!$G$21="Yes",27=Projects!$C$21+Projects!$D$21-1),(Projects!$O$21)*0.05,0),Actuals!AF10)</f>
        <v>474355.189410333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ROW(Projects!$B$17:$B$46)&lt;&gt;21)*Assumptions!$B$11/Projects!$D$17:$D$46*0.95)+SUMPRODUCT((Projects!$G$17:$G$46="Yes")*(28=Projects!$C$17:$C$46+Projects!$D$17:$D$46-1)*Projects!$B$17:$B$46*(ROW(Projects!$B$17:$B$46)&lt;&gt;21)*Assumptions!$B$11*0.05)+0+73396.98+IF(AND(Projects!$G$21="Yes",28&gt;=Projects!$C$21,28&lt;Projects!$C$21+Projects!$D$21),(Projects!$O$21)/Projects!$D$21*0.95,0)+IF(AND(Projects!$G$21="Yes",28=Projects!$C$21+Projects!$D$21-1),(Projects!$O$21)*0.05,0),Actuals!AG10)</f>
        <v>542566.884109733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ROW(Projects!$B$17:$B$46)&lt;&gt;21)*Assumptions!$B$11/Projects!$D$17:$D$46*0.95)+SUMPRODUCT((Projects!$G$17:$G$46="Yes")*(29=Projects!$C$17:$C$46+Projects!$D$17:$D$46-1)*Projects!$B$17:$B$46*(ROW(Projects!$B$17:$B$46)&lt;&gt;21)*Assumptions!$B$11*0.05)+0+127462.41+IF(AND(Projects!$G$21="Yes",29&gt;=Projects!$C$21,29&lt;Projects!$C$21+Projects!$D$21),(Projects!$O$21)/Projects!$D$21*0.95,0)+IF(AND(Projects!$G$21="Yes",29=Projects!$C$21+Projects!$D$21-1),(Projects!$O$21)*0.05,0),Actuals!AH10)</f>
        <v>514737.188009133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ROW(Projects!$B$17:$B$46)&lt;&gt;21)*Assumptions!$B$11/Projects!$D$17:$D$46*0.95)+SUMPRODUCT((Projects!$G$17:$G$46="Yes")*(30=Projects!$C$17:$C$46+Projects!$D$17:$D$46-1)*Projects!$B$17:$B$46*(ROW(Projects!$B$17:$B$46)&lt;&gt;21)*Assumptions!$B$11*0.05)+0+118293.75+IF(AND(Projects!$G$21="Yes",30&gt;=Projects!$C$21,30&lt;Projects!$C$21+Projects!$D$21),(Projects!$O$21)/Projects!$D$21*0.95,0)+IF(AND(Projects!$G$21="Yes",30=Projects!$C$21+Projects!$D$21-1),(Projects!$O$21)*0.05,0),Actuals!AI10)</f>
        <v>504563.352795733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ROW(Projects!$B$17:$B$46)&lt;&gt;21)*Assumptions!$B$11/Projects!$D$17:$D$46*0.95)+SUMPRODUCT((Projects!$G$17:$G$46="Yes")*(31=Projects!$C$17:$C$46+Projects!$D$17:$D$46-1)*Projects!$B$17:$B$46*(ROW(Projects!$B$17:$B$46)&lt;&gt;21)*Assumptions!$B$11*0.05)+0+115650.8+IF(AND(Projects!$G$21="Yes",31&gt;=Projects!$C$21,31&lt;Projects!$C$21+Projects!$D$21),(Projects!$O$21)/Projects!$D$21*0.95,0)+IF(AND(Projects!$G$21="Yes",31=Projects!$C$21+Projects!$D$21-1),(Projects!$O$21)*0.05,0),Actuals!AJ10)</f>
        <v>402413.268008455</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ROW(Projects!$B$17:$B$46)&lt;&gt;21)*Assumptions!$B$11/Projects!$D$17:$D$46*0.95)+SUMPRODUCT((Projects!$G$17:$G$46="Yes")*(32=Projects!$C$17:$C$46+Projects!$D$17:$D$46-1)*Projects!$B$17:$B$46*(ROW(Projects!$B$17:$B$46)&lt;&gt;21)*Assumptions!$B$11*0.05)+0+63097.22+IF(AND(Projects!$G$21="Yes",32&gt;=Projects!$C$21,32&lt;Projects!$C$21+Projects!$D$21),(Projects!$O$21)/Projects!$D$21*0.95,0)+IF(AND(Projects!$G$21="Yes",32=Projects!$C$21+Projects!$D$21-1),(Projects!$O$21)*0.05,0),Actuals!AK10)</f>
        <v>434479.630414455</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ROW(Projects!$B$17:$B$46)&lt;&gt;21)*Assumptions!$B$11/Projects!$D$17:$D$46*0.95)+SUMPRODUCT((Projects!$G$17:$G$46="Yes")*(33=Projects!$C$17:$C$46+Projects!$D$17:$D$46-1)*Projects!$B$17:$B$46*(ROW(Projects!$B$17:$B$46)&lt;&gt;21)*Assumptions!$B$11*0.05)+0+52379.49+IF(AND(Projects!$G$21="Yes",33&gt;=Projects!$C$21,33&lt;Projects!$C$21+Projects!$D$21),(Projects!$O$21)/Projects!$D$21*0.95,0)+IF(AND(Projects!$G$21="Yes",33=Projects!$C$21+Projects!$D$21-1),(Projects!$O$21)*0.05,0),Actuals!AL10)</f>
        <v>265950.209814747</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ROW(Projects!$B$17:$B$46)&lt;&gt;21)*Assumptions!$B$11/Projects!$D$17:$D$46*0.95)+SUMPRODUCT((Projects!$G$17:$G$46="Yes")*(34=Projects!$C$17:$C$46+Projects!$D$17:$D$46-1)*Projects!$B$17:$B$46*(ROW(Projects!$B$17:$B$46)&lt;&gt;21)*Assumptions!$B$11*0.05)+0+58512.38+IF(AND(Projects!$G$21="Yes",34&gt;=Projects!$C$21,34&lt;Projects!$C$21+Projects!$D$21),(Projects!$O$21)/Projects!$D$21*0.95,0)+IF(AND(Projects!$G$21="Yes",34=Projects!$C$21+Projects!$D$21-1),(Projects!$O$21)*0.05,0),Actuals!AM10)</f>
        <v>272083.099814747</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ROW(Projects!$B$17:$B$46)&lt;&gt;21)*Assumptions!$B$11/Projects!$D$17:$D$46*0.95)+SUMPRODUCT((Projects!$G$17:$G$46="Yes")*(35=Projects!$C$17:$C$46+Projects!$D$17:$D$46-1)*Projects!$B$17:$B$46*(ROW(Projects!$B$17:$B$46)&lt;&gt;21)*Assumptions!$B$11*0.05)+0+63604.57+IF(AND(Projects!$G$21="Yes",35&gt;=Projects!$C$21,35&lt;Projects!$C$21+Projects!$D$21),(Projects!$O$21)/Projects!$D$21*0.95,0)+IF(AND(Projects!$G$21="Yes",35=Projects!$C$21+Projects!$D$21-1),(Projects!$O$21)*0.05,0),Actuals!AN10)</f>
        <v>277175.289814747</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ROW(Projects!$B$17:$B$46)&lt;&gt;21)*Assumptions!$B$11/Projects!$D$17:$D$46*0.95)+SUMPRODUCT((Projects!$G$17:$G$46="Yes")*(36=Projects!$C$17:$C$46+Projects!$D$17:$D$46-1)*Projects!$B$17:$B$46*(ROW(Projects!$B$17:$B$46)&lt;&gt;21)*Assumptions!$B$11*0.05)+0+17112.26+IF(AND(Projects!$G$21="Yes",36&gt;=Projects!$C$21,36&lt;Projects!$C$21+Projects!$D$21),(Projects!$O$21)/Projects!$D$21*0.95,0)+IF(AND(Projects!$G$21="Yes",36=Projects!$C$21+Projects!$D$21-1),(Projects!$O$21)*0.05,0),Actuals!AO10)</f>
        <v>267366.562005747</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212245.876423747</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141528.398823747</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141528.398823747</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141528.398823747</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141528.398823747</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141528.398823747</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141528.398823747</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258307.612069747</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4851164.3908473</v>
      </c>
      <c r="N57" s="30" t="n">
        <f aca="false">SUM(N13:N56)</f>
        <v>5722919.65057148</v>
      </c>
      <c r="O57" s="30" t="n">
        <f aca="false">SUM(O13:O56)</f>
        <v>5744985.63175644</v>
      </c>
      <c r="P57" s="30" t="n">
        <f aca="false">SUM(P13:P56)</f>
        <v>6426342.5905063</v>
      </c>
      <c r="Q57" s="30" t="n">
        <f aca="false">SUM(Q13:Q56)</f>
        <v>6824646.96078818</v>
      </c>
      <c r="R57" s="30" t="n">
        <f aca="false">SUM(R13:R56)</f>
        <v>7154639.17272873</v>
      </c>
      <c r="S57" s="30" t="n">
        <f aca="false">SUM(S13:S56)</f>
        <v>8219184.31290486</v>
      </c>
      <c r="T57" s="30" t="n">
        <f aca="false">SUM(T13:T56)</f>
        <v>9473183.15651883</v>
      </c>
      <c r="U57" s="30" t="n">
        <f aca="false">SUM(U13:U56)</f>
        <v>9153758.33308217</v>
      </c>
      <c r="V57" s="30" t="n">
        <f aca="false">SUM(V13:V56)</f>
        <v>10207947.6278564</v>
      </c>
      <c r="W57" s="30" t="n">
        <f aca="false">SUM(W13:W56)</f>
        <v>9534652.97508471</v>
      </c>
      <c r="X57" s="30" t="n">
        <f aca="false">SUM(X13:X56)</f>
        <v>11027061.4742295</v>
      </c>
      <c r="Y57" s="30" t="n">
        <f aca="false">SUM(Y13:Y56)</f>
        <v>10022211.9274375</v>
      </c>
      <c r="Z57" s="30" t="n">
        <f aca="false">SUM(Z13:Z56)</f>
        <v>10937444.9578956</v>
      </c>
      <c r="AA57" s="30" t="n">
        <f aca="false">SUM(AA13:AA56)</f>
        <v>10343666.3527431</v>
      </c>
      <c r="AB57" s="30" t="n">
        <f aca="false">SUM(AB13:AB56)</f>
        <v>9267947.56132331</v>
      </c>
      <c r="AC57" s="30" t="n">
        <f aca="false">SUM(AC13:AC56)</f>
        <v>8386329.43929859</v>
      </c>
      <c r="AD57" s="30" t="n">
        <f aca="false">SUM(AD13:AD56)</f>
        <v>8256679.31897962</v>
      </c>
      <c r="AE57" s="30" t="n">
        <f aca="false">SUM(AE13:AE56)</f>
        <v>8312889.68182884</v>
      </c>
      <c r="AF57" s="30" t="n">
        <f aca="false">SUM(AF13:AF56)</f>
        <v>8057457.85603828</v>
      </c>
      <c r="AG57" s="30" t="n">
        <f aca="false">SUM(AG13:AG56)</f>
        <v>8271227.60139634</v>
      </c>
      <c r="AH57" s="30" t="n">
        <f aca="false">SUM(AH13:AH56)</f>
        <v>7580962.61486186</v>
      </c>
      <c r="AI57" s="30" t="n">
        <f aca="false">SUM(AI13:AI56)</f>
        <v>7034440.7156976</v>
      </c>
      <c r="AJ57" s="30" t="n">
        <f aca="false">SUM(AJ13:AJ56)</f>
        <v>5724208.7484151</v>
      </c>
      <c r="AK57" s="30" t="n">
        <f aca="false">SUM(AK13:AK56)</f>
        <v>5044525.78218349</v>
      </c>
      <c r="AL57" s="30" t="n">
        <f aca="false">SUM(AL13:AL56)</f>
        <v>4987850.93485349</v>
      </c>
      <c r="AM57" s="30" t="n">
        <f aca="false">SUM(AM13:AM56)</f>
        <v>4893913.36886249</v>
      </c>
      <c r="AN57" s="30" t="n">
        <f aca="false">SUM(AN13:AN56)</f>
        <v>3848910.83796374</v>
      </c>
      <c r="AO57" s="30" t="n">
        <f aca="false">SUM(AO13:AO56)</f>
        <v>3161622.38008224</v>
      </c>
      <c r="AP57" s="30" t="n">
        <f aca="false">SUM(AP13:AP56)</f>
        <v>2912463.46265424</v>
      </c>
      <c r="AQ57" s="30" t="n">
        <f aca="false">SUM(AQ13:AQ56)</f>
        <v>2842077.84920024</v>
      </c>
      <c r="AR57" s="30" t="n">
        <f aca="false">SUM(AR13:AR56)</f>
        <v>2753093.26324024</v>
      </c>
      <c r="AS57" s="30" t="n">
        <f aca="false">SUM(AS13:AS56)</f>
        <v>2646965.51132424</v>
      </c>
      <c r="AT57" s="30" t="n">
        <f aca="false">SUM(AT13:AT56)</f>
        <v>2525378.96710424</v>
      </c>
      <c r="AU57" s="30" t="n">
        <f aca="false">SUM(AU13:AU56)</f>
        <v>2390189.56815024</v>
      </c>
      <c r="AV57" s="30" t="n">
        <f aca="false">SUM(AV13:AV56)</f>
        <v>1971075.03090674</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5601976.56807136</v>
      </c>
      <c r="N58" s="30" t="n">
        <f aca="false">N10+N11+N57</f>
        <v>6554575.35451418</v>
      </c>
      <c r="O58" s="30" t="n">
        <f aca="false">O10+O11+O57</f>
        <v>6571457.6821801</v>
      </c>
      <c r="P58" s="30" t="n">
        <f aca="false">P10+P11+P57</f>
        <v>7280212.22092995</v>
      </c>
      <c r="Q58" s="30" t="n">
        <f aca="false">Q10+Q11+Q57</f>
        <v>7746285.82093952</v>
      </c>
      <c r="R58" s="30" t="n">
        <f aca="false">R10+R11+R57</f>
        <v>8102409.71227581</v>
      </c>
      <c r="S58" s="30" t="n">
        <f aca="false">S10+S11+S57</f>
        <v>9351911.64650916</v>
      </c>
      <c r="T58" s="30" t="n">
        <f aca="false">T10+T11+T57</f>
        <v>10699985.2901231</v>
      </c>
      <c r="U58" s="30" t="n">
        <f aca="false">U10+U11+U57</f>
        <v>10272119.4966865</v>
      </c>
      <c r="V58" s="30" t="n">
        <f aca="false">V10+V11+V57</f>
        <v>11486191.4235654</v>
      </c>
      <c r="W58" s="30" t="n">
        <f aca="false">W10+W11+W57</f>
        <v>10716343.1530938</v>
      </c>
      <c r="X58" s="30" t="n">
        <f aca="false">X10+X11+X57</f>
        <v>12383367.1922385</v>
      </c>
      <c r="Y58" s="30" t="n">
        <f aca="false">Y10+Y11+Y57</f>
        <v>11216756.8254466</v>
      </c>
      <c r="Z58" s="30" t="n">
        <f aca="false">Z10+Z11+Z57</f>
        <v>12258336.0359046</v>
      </c>
      <c r="AA58" s="30" t="n">
        <f aca="false">AA10+AA11+AA57</f>
        <v>11693796.0841133</v>
      </c>
      <c r="AB58" s="30" t="n">
        <f aca="false">AB10+AB11+AB57</f>
        <v>10431745.570593</v>
      </c>
      <c r="AC58" s="30" t="n">
        <f aca="false">AC10+AC11+AC57</f>
        <v>9321401.97932472</v>
      </c>
      <c r="AD58" s="30" t="n">
        <f aca="false">AD10+AD11+AD57</f>
        <v>9214701.76900575</v>
      </c>
      <c r="AE58" s="30" t="n">
        <f aca="false">AE10+AE11+AE57</f>
        <v>9419503.78272352</v>
      </c>
      <c r="AF58" s="30" t="n">
        <f aca="false">AF10+AF11+AF57</f>
        <v>9323004.16365161</v>
      </c>
      <c r="AG58" s="30" t="n">
        <f aca="false">AG10+AG11+AG57</f>
        <v>9472283.53205332</v>
      </c>
      <c r="AH58" s="30" t="n">
        <f aca="false">AH10+AH11+AH57</f>
        <v>8758279.58019369</v>
      </c>
      <c r="AI58" s="30" t="n">
        <f aca="false">AI10+AI11+AI57</f>
        <v>7973406.853665</v>
      </c>
      <c r="AJ58" s="30" t="n">
        <f aca="false">AJ10+AJ11+AJ57</f>
        <v>6737996.935346</v>
      </c>
      <c r="AK58" s="30" t="n">
        <f aca="false">AK10+AK11+AK57</f>
        <v>5665077.651514</v>
      </c>
      <c r="AL58" s="30" t="n">
        <f aca="false">AL10+AL11+AL57</f>
        <v>5622712.874184</v>
      </c>
      <c r="AM58" s="30" t="n">
        <f aca="false">AM10+AM11+AM57</f>
        <v>5540657.088193</v>
      </c>
      <c r="AN58" s="30" t="n">
        <f aca="false">AN10+AN11+AN57</f>
        <v>4472767.769399</v>
      </c>
      <c r="AO58" s="30" t="n">
        <f aca="false">AO10+AO11+AO57</f>
        <v>3656864.129608</v>
      </c>
      <c r="AP58" s="30" t="n">
        <f aca="false">AP10+AP11+AP57</f>
        <v>3242697.30758</v>
      </c>
      <c r="AQ58" s="30" t="n">
        <f aca="false">AQ10+AQ11+AQ57</f>
        <v>3172311.694126</v>
      </c>
      <c r="AR58" s="30" t="n">
        <f aca="false">AR10+AR11+AR57</f>
        <v>3083327.108166</v>
      </c>
      <c r="AS58" s="30" t="n">
        <f aca="false">AS10+AS11+AS57</f>
        <v>2977199.35625</v>
      </c>
      <c r="AT58" s="30" t="n">
        <f aca="false">AT10+AT11+AT57</f>
        <v>2855612.81203</v>
      </c>
      <c r="AU58" s="30" t="n">
        <f aca="false">AU10+AU11+AU57</f>
        <v>2720423.413076</v>
      </c>
      <c r="AV58" s="30" t="n">
        <f aca="false">AV10+AV11+AV57</f>
        <v>2573794.461186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-4870919.4308473</v>
      </c>
      <c r="N104" s="30" t="n">
        <f aca="false">SUM(N60:N103)</f>
        <v>-5639479.82057148</v>
      </c>
      <c r="O104" s="30" t="n">
        <f aca="false">SUM(O60:O103)</f>
        <v>-5739873.34175644</v>
      </c>
      <c r="P104" s="30" t="n">
        <f aca="false">SUM(P60:P103)</f>
        <v>-6434352.8605063</v>
      </c>
      <c r="Q104" s="30" t="n">
        <f aca="false">SUM(Q60:Q103)</f>
        <v>-6829282.97078818</v>
      </c>
      <c r="R104" s="30" t="n">
        <f aca="false">SUM(R60:R103)</f>
        <v>-7202152.18272873</v>
      </c>
      <c r="S104" s="30" t="n">
        <f aca="false">SUM(S60:S103)</f>
        <v>-8336227.77290486</v>
      </c>
      <c r="T104" s="30" t="n">
        <f aca="false">SUM(T60:T103)</f>
        <v>-9568430.44651883</v>
      </c>
      <c r="U104" s="30" t="n">
        <f aca="false">SUM(U60:U103)</f>
        <v>-9228723.29308217</v>
      </c>
      <c r="V104" s="30" t="n">
        <f aca="false">SUM(V60:V103)</f>
        <v>-10271885.9278564</v>
      </c>
      <c r="W104" s="30" t="n">
        <f aca="false">SUM(W60:W103)</f>
        <v>-9528867.65508471</v>
      </c>
      <c r="X104" s="30" t="n">
        <f aca="false">SUM(X60:X103)</f>
        <v>-11027061.4742295</v>
      </c>
      <c r="Y104" s="30" t="n">
        <f aca="false">SUM(Y60:Y103)</f>
        <v>-10022211.9274375</v>
      </c>
      <c r="Z104" s="30" t="n">
        <f aca="false">SUM(Z60:Z103)</f>
        <v>-10937444.9578956</v>
      </c>
      <c r="AA104" s="30" t="n">
        <f aca="false">SUM(AA60:AA103)</f>
        <v>-10343666.3527431</v>
      </c>
      <c r="AB104" s="30" t="n">
        <f aca="false">SUM(AB60:AB103)</f>
        <v>-9267947.56132331</v>
      </c>
      <c r="AC104" s="30" t="n">
        <f aca="false">SUM(AC60:AC103)</f>
        <v>-8386329.43929859</v>
      </c>
      <c r="AD104" s="30" t="n">
        <f aca="false">SUM(AD60:AD103)</f>
        <v>-8256679.31897962</v>
      </c>
      <c r="AE104" s="30" t="n">
        <f aca="false">SUM(AE60:AE103)</f>
        <v>-8312889.68182884</v>
      </c>
      <c r="AF104" s="30" t="n">
        <f aca="false">SUM(AF60:AF103)</f>
        <v>-8057457.85603828</v>
      </c>
      <c r="AG104" s="30" t="n">
        <f aca="false">SUM(AG60:AG103)</f>
        <v>-8271227.60139634</v>
      </c>
      <c r="AH104" s="30" t="n">
        <f aca="false">SUM(AH60:AH103)</f>
        <v>-7580962.61486186</v>
      </c>
      <c r="AI104" s="30" t="n">
        <f aca="false">SUM(AI60:AI103)</f>
        <v>-7034440.7156976</v>
      </c>
      <c r="AJ104" s="30" t="n">
        <f aca="false">SUM(AJ60:AJ103)</f>
        <v>-5724208.7484151</v>
      </c>
      <c r="AK104" s="30" t="n">
        <f aca="false">SUM(AK60:AK103)</f>
        <v>-5044525.78218349</v>
      </c>
      <c r="AL104" s="30" t="n">
        <f aca="false">SUM(AL60:AL103)</f>
        <v>-4987850.93485349</v>
      </c>
      <c r="AM104" s="30" t="n">
        <f aca="false">SUM(AM60:AM103)</f>
        <v>-4893913.36886249</v>
      </c>
      <c r="AN104" s="30" t="n">
        <f aca="false">SUM(AN60:AN103)</f>
        <v>-3848910.83796374</v>
      </c>
      <c r="AO104" s="30" t="n">
        <f aca="false">SUM(AO60:AO103)</f>
        <v>-3161622.38008224</v>
      </c>
      <c r="AP104" s="30" t="n">
        <f aca="false">SUM(AP60:AP103)</f>
        <v>-2912463.46265424</v>
      </c>
      <c r="AQ104" s="30" t="n">
        <f aca="false">SUM(AQ60:AQ103)</f>
        <v>-2842077.84920024</v>
      </c>
      <c r="AR104" s="30" t="n">
        <f aca="false">SUM(AR60:AR103)</f>
        <v>-2753093.26324024</v>
      </c>
      <c r="AS104" s="30" t="n">
        <f aca="false">SUM(AS60:AS103)</f>
        <v>-2646965.51132424</v>
      </c>
      <c r="AT104" s="30" t="n">
        <f aca="false">SUM(AT60:AT103)</f>
        <v>-2525378.96710424</v>
      </c>
      <c r="AU104" s="30" t="n">
        <f aca="false">SUM(AU60:AU103)</f>
        <v>-2390189.56815024</v>
      </c>
      <c r="AV104" s="30" t="n">
        <f aca="false">SUM(AV60:AV103)</f>
        <v>-1971075.03090674</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668967.044334975</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-802202.980665025</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279259.311435549</v>
      </c>
      <c r="N199" s="32" t="n">
        <f aca="false">N197+N198+N10+N11+N57+N104+N196</f>
        <v>906473.093942704</v>
      </c>
      <c r="O199" s="32" t="n">
        <f aca="false">O197+O198+O10+O11+O57+O104+O196</f>
        <v>817258.570423652</v>
      </c>
      <c r="P199" s="32" t="n">
        <f aca="false">P197+P198+P10+P11+P57+P104+P196</f>
        <v>838082.060423654</v>
      </c>
      <c r="Q199" s="32" t="n">
        <f aca="false">Q197+Q198+Q10+Q11+Q57+Q104+Q196</f>
        <v>571021.255582368</v>
      </c>
      <c r="R199" s="32" t="n">
        <f aca="false">R197+R198+R10+R11+R57+R104+R196</f>
        <v>712629.063746591</v>
      </c>
      <c r="S199" s="32" t="n">
        <f aca="false">S197+S198+S10+S11+S57+S104+S196</f>
        <v>273246.202939276</v>
      </c>
      <c r="T199" s="32" t="n">
        <f aca="false">T197+T198+T10+T11+T57+T104+T196</f>
        <v>1152427.4636043</v>
      </c>
      <c r="U199" s="32" t="n">
        <f aca="false">U197+U198+U10+U11+U57+U104+U196</f>
        <v>1046698.1736043</v>
      </c>
      <c r="V199" s="32" t="n">
        <f aca="false">V197+V198+V10+V11+V57+V104+V196</f>
        <v>958878.372322348</v>
      </c>
      <c r="W199" s="32" t="n">
        <f aca="false">W197+W198+W10+W11+W57+W104+W196</f>
        <v>938796.902146981</v>
      </c>
      <c r="X199" s="32" t="n">
        <f aca="false">X197+X198+X10+X11+X57+X104+X196</f>
        <v>1356305.71800905</v>
      </c>
      <c r="Y199" s="32" t="n">
        <f aca="false">Y197+Y198+Y10+Y11+Y57+Y104+Y196</f>
        <v>1194544.89800905</v>
      </c>
      <c r="Z199" s="32" t="n">
        <f aca="false">Z197+Z198+Z10+Z11+Z57+Z104+Z196</f>
        <v>1320891.07800905</v>
      </c>
      <c r="AA199" s="32" t="n">
        <f aca="false">AA197+AA198+AA10+AA11+AA57+AA104+AA196</f>
        <v>1350129.73137019</v>
      </c>
      <c r="AB199" s="32" t="n">
        <f aca="false">AB197+AB198+AB10+AB11+AB57+AB104+AB196</f>
        <v>1163798.00926969</v>
      </c>
      <c r="AC199" s="32" t="n">
        <f aca="false">AC197+AC198+AC10+AC11+AC57+AC104+AC196</f>
        <v>935072.540026132</v>
      </c>
      <c r="AD199" s="32" t="n">
        <f aca="false">AD197+AD198+AD10+AD11+AD57+AD104+AD196</f>
        <v>958022.450026133</v>
      </c>
      <c r="AE199" s="32" t="n">
        <f aca="false">AE197+AE198+AE10+AE11+AE57+AE104+AE196</f>
        <v>373740.757939015</v>
      </c>
      <c r="AF199" s="32" t="n">
        <f aca="false">AF197+AF198+AF10+AF11+AF57+AF104+AF196</f>
        <v>1265546.30761333</v>
      </c>
      <c r="AG199" s="32" t="n">
        <f aca="false">AG197+AG198+AG10+AG11+AG57+AG104+AG196</f>
        <v>1201055.93065698</v>
      </c>
      <c r="AH199" s="32" t="n">
        <f aca="false">AH197+AH198+AH10+AH11+AH57+AH104+AH196</f>
        <v>1177316.96533183</v>
      </c>
      <c r="AI199" s="32" t="n">
        <f aca="false">AI197+AI198+AI10+AI11+AI57+AI104+AI196</f>
        <v>938966.137967398</v>
      </c>
      <c r="AJ199" s="32" t="n">
        <f aca="false">AJ197+AJ198+AJ10+AJ11+AJ57+AJ104+AJ196</f>
        <v>1013788.1869309</v>
      </c>
      <c r="AK199" s="32" t="n">
        <f aca="false">AK197+AK198+AK10+AK11+AK57+AK104+AK196</f>
        <v>620551.869330513</v>
      </c>
      <c r="AL199" s="32" t="n">
        <f aca="false">AL197+AL198+AL10+AL11+AL57+AL104+AL196</f>
        <v>634861.939330514</v>
      </c>
      <c r="AM199" s="32" t="n">
        <f aca="false">AM197+AM198+AM10+AM11+AM57+AM104+AM196</f>
        <v>646743.719330514</v>
      </c>
      <c r="AN199" s="32" t="n">
        <f aca="false">AN197+AN198+AN10+AN11+AN57+AN104+AN196</f>
        <v>623856.931435263</v>
      </c>
      <c r="AO199" s="32" t="n">
        <f aca="false">AO197+AO198+AO10+AO11+AO57+AO104+AO196</f>
        <v>495241.749525764</v>
      </c>
      <c r="AP199" s="32" t="n">
        <f aca="false">AP197+AP198+AP10+AP11+AP57+AP104+AP196</f>
        <v>330233.844925763</v>
      </c>
      <c r="AQ199" s="32" t="n">
        <f aca="false">AQ197+AQ198+AQ10+AQ11+AQ57+AQ104+AQ196</f>
        <v>330233.844925763</v>
      </c>
      <c r="AR199" s="32" t="n">
        <f aca="false">AR197+AR198+AR10+AR11+AR57+AR104+AR196</f>
        <v>330233.844925763</v>
      </c>
      <c r="AS199" s="32" t="n">
        <f aca="false">AS197+AS198+AS10+AS11+AS57+AS104+AS196</f>
        <v>330233.844925763</v>
      </c>
      <c r="AT199" s="32" t="n">
        <f aca="false">AT197+AT198+AT10+AT11+AT57+AT104+AT196</f>
        <v>330233.844925763</v>
      </c>
      <c r="AU199" s="32" t="n">
        <f aca="false">AU197+AU198+AU10+AU11+AU57+AU104+AU196</f>
        <v>330233.844925764</v>
      </c>
      <c r="AV199" s="32" t="n">
        <f aca="false">AV197+AV198+AV10+AV11+AV57+AV104+AV196</f>
        <v>602719.430279263</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0.0498501391503842</v>
      </c>
      <c r="N200" s="33" t="n">
        <f aca="false">IFERROR(N199/N58,0)</f>
        <v>0.13829623505944</v>
      </c>
      <c r="O200" s="33" t="n">
        <f aca="false">IFERROR(O199/O58,0)</f>
        <v>0.124364883706065</v>
      </c>
      <c r="P200" s="33" t="n">
        <f aca="false">IFERROR(P199/P58,0)</f>
        <v>0.115117806320844</v>
      </c>
      <c r="Q200" s="33" t="n">
        <f aca="false">IFERROR(Q199/Q58,0)</f>
        <v>0.0737154900789745</v>
      </c>
      <c r="R200" s="33" t="n">
        <f aca="false">IFERROR(R199/R58,0)</f>
        <v>0.0879527312309201</v>
      </c>
      <c r="S200" s="33" t="n">
        <f aca="false">IFERROR(S199/S58,0)</f>
        <v>0.0292182190409458</v>
      </c>
      <c r="T200" s="33" t="n">
        <f aca="false">IFERROR(T199/T58,0)</f>
        <v>0.107703649337544</v>
      </c>
      <c r="U200" s="33" t="n">
        <f aca="false">IFERROR(U199/U58,0)</f>
        <v>0.101897001289942</v>
      </c>
      <c r="V200" s="33" t="n">
        <f aca="false">IFERROR(V199/V58,0)</f>
        <v>0.0834809674471457</v>
      </c>
      <c r="W200" s="33" t="n">
        <f aca="false">IFERROR(W199/W58,0)</f>
        <v>0.0876042217699939</v>
      </c>
      <c r="X200" s="33" t="n">
        <f aca="false">IFERROR(X199/X58,0)</f>
        <v>0.10952640723269</v>
      </c>
      <c r="Y200" s="33" t="n">
        <f aca="false">IFERROR(Y199/Y58,0)</f>
        <v>0.106496460304736</v>
      </c>
      <c r="Z200" s="33" t="n">
        <f aca="false">IFERROR(Z199/Z58,0)</f>
        <v>0.107754516937712</v>
      </c>
      <c r="AA200" s="33" t="n">
        <f aca="false">IFERROR(AA199/AA58,0)</f>
        <v>0.115456924480189</v>
      </c>
      <c r="AB200" s="33" t="n">
        <f aca="false">IFERROR(AB199/AB58,0)</f>
        <v>0.11156311294156</v>
      </c>
      <c r="AC200" s="33" t="n">
        <f aca="false">IFERROR(AC199/AC58,0)</f>
        <v>0.100314581658442</v>
      </c>
      <c r="AD200" s="33" t="n">
        <f aca="false">IFERROR(AD199/AD58,0)</f>
        <v>0.103966734251618</v>
      </c>
      <c r="AE200" s="33" t="n">
        <f aca="false">IFERROR(AE199/AE58,0)</f>
        <v>0.0396773297787193</v>
      </c>
      <c r="AF200" s="33" t="n">
        <f aca="false">IFERROR(AF199/AF58,0)</f>
        <v>0.135744475214054</v>
      </c>
      <c r="AG200" s="33" t="n">
        <f aca="false">IFERROR(AG199/AG58,0)</f>
        <v>0.126796872854652</v>
      </c>
      <c r="AH200" s="33" t="n">
        <f aca="false">IFERROR(AH199/AH58,0)</f>
        <v>0.13442331391136</v>
      </c>
      <c r="AI200" s="33" t="n">
        <f aca="false">IFERROR(AI199/AI58,0)</f>
        <v>0.117762225758717</v>
      </c>
      <c r="AJ200" s="33" t="n">
        <f aca="false">IFERROR(AJ199/AJ58,0)</f>
        <v>0.150458392406324</v>
      </c>
      <c r="AK200" s="33" t="n">
        <f aca="false">IFERROR(AK199/AK58,0)</f>
        <v>0.109539869972421</v>
      </c>
      <c r="AL200" s="33" t="n">
        <f aca="false">IFERROR(AL199/AL58,0)</f>
        <v>0.112910254095564</v>
      </c>
      <c r="AM200" s="33" t="n">
        <f aca="false">IFERROR(AM199/AM58,0)</f>
        <v>0.116726898820125</v>
      </c>
      <c r="AN200" s="33" t="n">
        <f aca="false">IFERROR(AN199/AN58,0)</f>
        <v>0.139478945386671</v>
      </c>
      <c r="AO200" s="33" t="n">
        <f aca="false">IFERROR(AO199/AO58,0)</f>
        <v>0.13542798747047</v>
      </c>
      <c r="AP200" s="33" t="n">
        <f aca="false">IFERROR(AP199/AP58,0)</f>
        <v>0.101839244802104</v>
      </c>
      <c r="AQ200" s="33" t="n">
        <f aca="false">IFERROR(AQ199/AQ58,0)</f>
        <v>0.104098801368491</v>
      </c>
      <c r="AR200" s="33" t="n">
        <f aca="false">IFERROR(AR199/AR58,0)</f>
        <v>0.107103084862829</v>
      </c>
      <c r="AS200" s="33" t="n">
        <f aca="false">IFERROR(AS199/AS58,0)</f>
        <v>0.110920971493732</v>
      </c>
      <c r="AT200" s="33" t="n">
        <f aca="false">IFERROR(AT199/AT58,0)</f>
        <v>0.115643774791375</v>
      </c>
      <c r="AU200" s="33" t="n">
        <f aca="false">IFERROR(AU199/AU58,0)</f>
        <v>0.121390605351527</v>
      </c>
      <c r="AV200" s="33" t="n">
        <f aca="false">IFERROR(AV199/AV58,0)</f>
        <v>0.234175432175548</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-370648.62</v>
      </c>
      <c r="R203" s="13" t="n">
        <f aca="false">IF(ISBLANK(Actuals!S21),(-(SUMPRODUCT((Personnel!$O$9:$O$100="GC")*(Personnel!$G$9:$G$100="Yes")*(14&gt;=Personnel!$E$9:$E$100)*((Personnel!$K$9:$K$100="")+(14&lt;=Personnel!$K$9:$K$100)&gt;0)*Personnel!$D$9:$D$100*(1-Personnel!$H$9:$H$100))+Staffing!R81))*Escalation!$B$15,Actuals!S21)</f>
        <v>-401673.62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-414042.0924</v>
      </c>
      <c r="AD203" s="13" t="n">
        <f aca="false">IF(ISBLANK(Actuals!AE21),(-(SUMPRODUCT((Personnel!$O$9:$O$100="GC")*(Personnel!$G$9:$G$100="Yes")*(26&gt;=Personnel!$E$9:$E$100)*((Personnel!$K$9:$K$100="")+(26&lt;=Personnel!$K$9:$K$100)&gt;0)*Personnel!$D$9:$D$100*(1-Personnel!$H$9:$H$100))+Staffing!AD81))*Escalation!$B$27,Actuals!AE21)</f>
        <v>-388899.0924</v>
      </c>
      <c r="AE203" s="13" t="n">
        <f aca="false">IF(ISBLANK(Actuals!AF21),(-(SUMPRODUCT((Personnel!$O$9:$O$100="GC")*(Personnel!$G$9:$G$100="Yes")*(27&gt;=Personnel!$E$9:$E$100)*((Personnel!$K$9:$K$100="")+(27&lt;=Personnel!$K$9:$K$100)&gt;0)*Personnel!$D$9:$D$100*(1-Personnel!$H$9:$H$100))+Staffing!AE81))*Escalation!$B$28,Actuals!AF21)</f>
        <v>-388899.0924</v>
      </c>
      <c r="AF203" s="13" t="n">
        <f aca="false">IF(ISBLANK(Actuals!AG21),(-(SUMPRODUCT((Personnel!$O$9:$O$100="GC")*(Personnel!$G$9:$G$100="Yes")*(28&gt;=Personnel!$E$9:$E$100)*((Personnel!$K$9:$K$100="")+(28&lt;=Personnel!$K$9:$K$100)&gt;0)*Personnel!$D$9:$D$100*(1-Personnel!$H$9:$H$100))+Staffing!AF81))*Escalation!$B$29,Actuals!AG21)</f>
        <v>-388899.0924</v>
      </c>
      <c r="AG203" s="13" t="n">
        <f aca="false">IF(ISBLANK(Actuals!AH21),(-(SUMPRODUCT((Personnel!$O$9:$O$100="GC")*(Personnel!$G$9:$G$100="Yes")*(29&gt;=Personnel!$E$9:$E$100)*((Personnel!$K$9:$K$100="")+(29&lt;=Personnel!$K$9:$K$100)&gt;0)*Personnel!$D$9:$D$100*(1-Personnel!$H$9:$H$100))+Staffing!AG81))*Escalation!$B$30,Actuals!AH21)</f>
        <v>-388899.0924</v>
      </c>
      <c r="AH203" s="13" t="n">
        <f aca="false">IF(ISBLANK(Actuals!AI21),(-(SUMPRODUCT((Personnel!$O$9:$O$100="GC")*(Personnel!$G$9:$G$100="Yes")*(30&gt;=Personnel!$E$9:$E$100)*((Personnel!$K$9:$K$100="")+(30&lt;=Personnel!$K$9:$K$100)&gt;0)*Personnel!$D$9:$D$100*(1-Personnel!$H$9:$H$100))+Staffing!AH81))*Escalation!$B$31,Actuals!AI21)</f>
        <v>-375027.0924</v>
      </c>
      <c r="AI203" s="13" t="n">
        <f aca="false">IF(ISBLANK(Actuals!AJ21),(-(SUMPRODUCT((Personnel!$O$9:$O$100="GC")*(Personnel!$G$9:$G$100="Yes")*(31&gt;=Personnel!$E$9:$E$100)*((Personnel!$K$9:$K$100="")+(31&lt;=Personnel!$K$9:$K$100)&gt;0)*Personnel!$D$9:$D$100*(1-Personnel!$H$9:$H$100))+Staffing!AI81))*Escalation!$B$32,Actuals!AJ21)</f>
        <v>-359421.0924</v>
      </c>
      <c r="AJ203" s="13" t="n">
        <f aca="false">IF(ISBLANK(Actuals!AK21),(-(SUMPRODUCT((Personnel!$O$9:$O$100="GC")*(Personnel!$G$9:$G$100="Yes")*(32&gt;=Personnel!$E$9:$E$100)*((Personnel!$K$9:$K$100="")+(32&lt;=Personnel!$K$9:$K$100)&gt;0)*Personnel!$D$9:$D$100*(1-Personnel!$H$9:$H$100))+Staffing!AJ81))*Escalation!$B$33,Actuals!AK21)</f>
        <v>-359421.0924</v>
      </c>
      <c r="AK203" s="13" t="n">
        <f aca="false">IF(ISBLANK(Actuals!AL21),(-(SUMPRODUCT((Personnel!$O$9:$O$100="GC")*(Personnel!$G$9:$G$100="Yes")*(33&gt;=Personnel!$E$9:$E$100)*((Personnel!$K$9:$K$100="")+(33&lt;=Personnel!$K$9:$K$100)&gt;0)*Personnel!$D$9:$D$100*(1-Personnel!$H$9:$H$100))+Staffing!AK81))*Escalation!$B$34,Actuals!AL21)</f>
        <v>-359421.0924</v>
      </c>
      <c r="AL203" s="13" t="n">
        <f aca="false">IF(ISBLANK(Actuals!AM21),(-(SUMPRODUCT((Personnel!$O$9:$O$100="GC")*(Personnel!$G$9:$G$100="Yes")*(34&gt;=Personnel!$E$9:$E$100)*((Personnel!$K$9:$K$100="")+(34&lt;=Personnel!$K$9:$K$100)&gt;0)*Personnel!$D$9:$D$100*(1-Personnel!$H$9:$H$100))+Staffing!AL81))*Escalation!$B$35,Actuals!AM21)</f>
        <v>-352485.0924</v>
      </c>
      <c r="AM203" s="13" t="n">
        <f aca="false">IF(ISBLANK(Actuals!AN21),(-(SUMPRODUCT((Personnel!$O$9:$O$100="GC")*(Personnel!$G$9:$G$100="Yes")*(35&gt;=Personnel!$E$9:$E$100)*((Personnel!$K$9:$K$100="")+(35&lt;=Personnel!$K$9:$K$100)&gt;0)*Personnel!$D$9:$D$100*(1-Personnel!$H$9:$H$100))+Staffing!AM81))*Escalation!$B$36,Actuals!AN21)</f>
        <v>-313903.5924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-283481.554248</v>
      </c>
      <c r="AP203" s="13" t="n">
        <f aca="false">IF(ISBLANK(Actuals!AQ21),(-(SUMPRODUCT((Personnel!$O$9:$O$100="GC")*(Personnel!$G$9:$G$100="Yes")*(38&gt;=Personnel!$E$9:$E$100)*((Personnel!$K$9:$K$100="")+(38&lt;=Personnel!$K$9:$K$100)&gt;0)*Personnel!$D$9:$D$100*(1-Personnel!$H$9:$H$100))+Staffing!AP81))*Escalation!$B$39,Actuals!AQ21)</f>
        <v>-283481.554248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-29812.9034</v>
      </c>
      <c r="R204" s="13" t="n">
        <f aca="false">IF(ISBLANK(Actuals!S22),-Helpers!P4*Assumptions!$B$20,Actuals!S22)</f>
        <v>-31984.6534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-32927.796468</v>
      </c>
      <c r="AD204" s="13" t="n">
        <f aca="false">IF(ISBLANK(Actuals!AE22),-Helpers!AB4*Assumptions!$B$20,Actuals!AE22)</f>
        <v>-31167.786468</v>
      </c>
      <c r="AE204" s="13" t="n">
        <f aca="false">IF(ISBLANK(Actuals!AF22),-Helpers!AC4*Assumptions!$B$20,Actuals!AF22)</f>
        <v>-31167.786468</v>
      </c>
      <c r="AF204" s="13" t="n">
        <f aca="false">IF(ISBLANK(Actuals!AG22),-Helpers!AD4*Assumptions!$B$20,Actuals!AG22)</f>
        <v>-31167.786468</v>
      </c>
      <c r="AG204" s="13" t="n">
        <f aca="false">IF(ISBLANK(Actuals!AH22),-Helpers!AE4*Assumptions!$B$20,Actuals!AH22)</f>
        <v>-31167.786468</v>
      </c>
      <c r="AH204" s="13" t="n">
        <f aca="false">IF(ISBLANK(Actuals!AI22),-Helpers!AF4*Assumptions!$B$20,Actuals!AI22)</f>
        <v>-30196.746468</v>
      </c>
      <c r="AI204" s="13" t="n">
        <f aca="false">IF(ISBLANK(Actuals!AJ22),-Helpers!AG4*Assumptions!$B$20,Actuals!AJ22)</f>
        <v>-29104.326468</v>
      </c>
      <c r="AJ204" s="13" t="n">
        <f aca="false">IF(ISBLANK(Actuals!AK22),-Helpers!AH4*Assumptions!$B$20,Actuals!AK22)</f>
        <v>-29104.326468</v>
      </c>
      <c r="AK204" s="13" t="n">
        <f aca="false">IF(ISBLANK(Actuals!AL22),-Helpers!AI4*Assumptions!$B$20,Actuals!AL22)</f>
        <v>-29104.326468</v>
      </c>
      <c r="AL204" s="13" t="n">
        <f aca="false">IF(ISBLANK(Actuals!AM22),-Helpers!AJ4*Assumptions!$B$20,Actuals!AM22)</f>
        <v>-28618.806468</v>
      </c>
      <c r="AM204" s="13" t="n">
        <f aca="false">IF(ISBLANK(Actuals!AN22),-Helpers!AK4*Assumptions!$B$20,Actuals!AN22)</f>
        <v>-25918.101468</v>
      </c>
      <c r="AN204" s="13" t="n">
        <f aca="false">IF(ISBLANK(Actuals!AO22),-Helpers!AL4*Assumptions!$B$20,Actuals!AO22)</f>
        <v>-24947.061468</v>
      </c>
      <c r="AO204" s="13" t="n">
        <f aca="false">IF(ISBLANK(Actuals!AP22),-Helpers!AM4*Assumptions!$B$20,Actuals!AP22)</f>
        <v>-23867.45579736</v>
      </c>
      <c r="AP204" s="13" t="n">
        <f aca="false">IF(ISBLANK(Actuals!AQ22),-Helpers!AN4*Assumptions!$B$20,Actuals!AQ22)</f>
        <v>-23867.45579736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-10982.9183333333</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-14906.4517</v>
      </c>
      <c r="R206" s="13" t="n">
        <f aca="false">IF(ISBLANK(Actuals!S24),-Helpers!P4*Assumptions!$B$24,Actuals!S24)</f>
        <v>-15992.3267</v>
      </c>
      <c r="S206" s="13" t="n">
        <f aca="false">IF(ISBLANK(Actuals!T24),-Helpers!Q4*Assumptions!$B$24,Actuals!T24)</f>
        <v>-16750.9517</v>
      </c>
      <c r="T206" s="13" t="n">
        <f aca="false">IF(ISBLANK(Actuals!U24),-Helpers!R4*Assumptions!$B$24,Actuals!U24)</f>
        <v>-16750.9517</v>
      </c>
      <c r="U206" s="13" t="n">
        <f aca="false">IF(ISBLANK(Actuals!V24),-Helpers!S4*Assumptions!$B$24,Actuals!V24)</f>
        <v>-16750.9517</v>
      </c>
      <c r="V206" s="13" t="n">
        <f aca="false">IF(ISBLANK(Actuals!W24),-Helpers!T4*Assumptions!$B$24,Actuals!W24)</f>
        <v>-16750.9517</v>
      </c>
      <c r="W206" s="13" t="n">
        <f aca="false">IF(ISBLANK(Actuals!X24),-Helpers!U4*Assumptions!$B$24,Actuals!X24)</f>
        <v>-16750.9517</v>
      </c>
      <c r="X206" s="13" t="n">
        <f aca="false">IF(ISBLANK(Actuals!Y24),-Helpers!V4*Assumptions!$B$24,Actuals!Y24)</f>
        <v>-16750.9517</v>
      </c>
      <c r="Y206" s="13" t="n">
        <f aca="false">IF(ISBLANK(Actuals!Z24),-Helpers!W4*Assumptions!$B$24,Actuals!Z24)</f>
        <v>-16750.9517</v>
      </c>
      <c r="Z206" s="13" t="n">
        <f aca="false">IF(ISBLANK(Actuals!AA24),-Helpers!X4*Assumptions!$B$24,Actuals!AA24)</f>
        <v>-16750.9517</v>
      </c>
      <c r="AA206" s="13" t="n">
        <f aca="false">IF(ISBLANK(Actuals!AB24),-Helpers!Y4*Assumptions!$B$24,Actuals!AB24)</f>
        <v>-16750.9517</v>
      </c>
      <c r="AB206" s="13" t="n">
        <f aca="false">IF(ISBLANK(Actuals!AC24),-Helpers!Z4*Assumptions!$B$24,Actuals!AC24)</f>
        <v>-16750.9517</v>
      </c>
      <c r="AC206" s="13" t="n">
        <f aca="false">IF(ISBLANK(Actuals!AD24),-Helpers!AA4*Assumptions!$B$24,Actuals!AD24)</f>
        <v>-16463.898234</v>
      </c>
      <c r="AD206" s="13" t="n">
        <f aca="false">IF(ISBLANK(Actuals!AE24),-Helpers!AB4*Assumptions!$B$24,Actuals!AE24)</f>
        <v>-15583.893234</v>
      </c>
      <c r="AE206" s="13" t="n">
        <f aca="false">IF(ISBLANK(Actuals!AF24),-Helpers!AC4*Assumptions!$B$24,Actuals!AF24)</f>
        <v>-15583.893234</v>
      </c>
      <c r="AF206" s="13" t="n">
        <f aca="false">IF(ISBLANK(Actuals!AG24),-Helpers!AD4*Assumptions!$B$24,Actuals!AG24)</f>
        <v>-15583.893234</v>
      </c>
      <c r="AG206" s="13" t="n">
        <f aca="false">IF(ISBLANK(Actuals!AH24),-Helpers!AE4*Assumptions!$B$24,Actuals!AH24)</f>
        <v>-15583.893234</v>
      </c>
      <c r="AH206" s="13" t="n">
        <f aca="false">IF(ISBLANK(Actuals!AI24),-Helpers!AF4*Assumptions!$B$24,Actuals!AI24)</f>
        <v>-15098.373234</v>
      </c>
      <c r="AI206" s="13" t="n">
        <f aca="false">IF(ISBLANK(Actuals!AJ24),-Helpers!AG4*Assumptions!$B$24,Actuals!AJ24)</f>
        <v>-14552.163234</v>
      </c>
      <c r="AJ206" s="13" t="n">
        <f aca="false">IF(ISBLANK(Actuals!AK24),-Helpers!AH4*Assumptions!$B$24,Actuals!AK24)</f>
        <v>-14552.163234</v>
      </c>
      <c r="AK206" s="13" t="n">
        <f aca="false">IF(ISBLANK(Actuals!AL24),-Helpers!AI4*Assumptions!$B$24,Actuals!AL24)</f>
        <v>-14552.163234</v>
      </c>
      <c r="AL206" s="13" t="n">
        <f aca="false">IF(ISBLANK(Actuals!AM24),-Helpers!AJ4*Assumptions!$B$24,Actuals!AM24)</f>
        <v>-14309.403234</v>
      </c>
      <c r="AM206" s="13" t="n">
        <f aca="false">IF(ISBLANK(Actuals!AN24),-Helpers!AK4*Assumptions!$B$24,Actuals!AN24)</f>
        <v>-12959.050734</v>
      </c>
      <c r="AN206" s="13" t="n">
        <f aca="false">IF(ISBLANK(Actuals!AO24),-Helpers!AL4*Assumptions!$B$24,Actuals!AO24)</f>
        <v>-12473.530734</v>
      </c>
      <c r="AO206" s="13" t="n">
        <f aca="false">IF(ISBLANK(Actuals!AP24),-Helpers!AM4*Assumptions!$B$24,Actuals!AP24)</f>
        <v>-11933.72789868</v>
      </c>
      <c r="AP206" s="13" t="n">
        <f aca="false">IF(ISBLANK(Actuals!AQ24),-Helpers!AN4*Assumptions!$B$24,Actuals!AQ24)</f>
        <v>-11933.72789868</v>
      </c>
      <c r="AQ206" s="13" t="n">
        <f aca="false">IF(ISBLANK(Actuals!AR24),-Helpers!AO4*Assumptions!$B$24,Actuals!AR24)</f>
        <v>-11546.82914868</v>
      </c>
      <c r="AR206" s="13" t="n">
        <f aca="false">IF(ISBLANK(Actuals!AS24),-Helpers!AP4*Assumptions!$B$24,Actuals!AS24)</f>
        <v>-11546.82914868</v>
      </c>
      <c r="AS206" s="13" t="n">
        <f aca="false">IF(ISBLANK(Actuals!AT24),-Helpers!AQ4*Assumptions!$B$24,Actuals!AT24)</f>
        <v>-11546.82914868</v>
      </c>
      <c r="AT206" s="13" t="n">
        <f aca="false">IF(ISBLANK(Actuals!AU24),-Helpers!AR4*Assumptions!$B$24,Actuals!AU24)</f>
        <v>-11546.82914868</v>
      </c>
      <c r="AU206" s="13" t="n">
        <f aca="false">IF(ISBLANK(Actuals!AV24),-Helpers!AS4*Assumptions!$B$24,Actuals!AV24)</f>
        <v>-11546.82914868</v>
      </c>
      <c r="AV206" s="13" t="n">
        <f aca="false">IF(ISBLANK(Actuals!AW24),-Helpers!AT4*Assumptions!$B$24,Actuals!AW24)</f>
        <v>-11546.82914868</v>
      </c>
      <c r="AW206" s="13" t="n">
        <f aca="false">IF(ISBLANK(Actuals!AX24),-Helpers!AU4*Assumptions!$B$24,Actuals!AX24)</f>
        <v>-11546.82914868</v>
      </c>
      <c r="AX206" s="13" t="n">
        <f aca="false">IF(ISBLANK(Actuals!AY24),-Helpers!AV4*Assumptions!$B$24,Actuals!AY24)</f>
        <v>-11546.82914868</v>
      </c>
      <c r="AY206" s="13" t="n">
        <f aca="false">IF(ISBLANK(Actuals!AZ24),-Helpers!AW4*Assumptions!$B$24,Actuals!AZ24)</f>
        <v>-11546.82914868</v>
      </c>
      <c r="AZ206" s="13" t="n">
        <f aca="false">IF(ISBLANK(Actuals!BA24),-Helpers!AX4*Assumptions!$B$24,Actuals!BA24)</f>
        <v>-11546.82914868</v>
      </c>
      <c r="BA206" s="13" t="n">
        <f aca="false">IF(ISBLANK(Actuals!BB24),-Helpers!AY4*Assumptions!$B$24,Actuals!BB24)</f>
        <v>-11777.7657316536</v>
      </c>
      <c r="BB206" s="13" t="n">
        <f aca="false">IF(ISBLANK(Actuals!BC24),-Helpers!AZ4*Assumptions!$B$24,Actuals!BC24)</f>
        <v>-11777.7657316536</v>
      </c>
      <c r="BC206" s="13" t="n">
        <f aca="false">IF(ISBLANK(Actuals!BD24),-Helpers!BA4*Assumptions!$B$24,Actuals!BD24)</f>
        <v>-11777.7657316536</v>
      </c>
      <c r="BD206" s="13" t="n">
        <f aca="false">IF(ISBLANK(Actuals!BE24),-Helpers!BB4*Assumptions!$B$24,Actuals!BE24)</f>
        <v>-11777.7657316536</v>
      </c>
      <c r="BE206" s="13" t="n">
        <f aca="false">IF(ISBLANK(Actuals!BF24),-Helpers!BC4*Assumptions!$B$24,Actuals!BF24)</f>
        <v>-11777.7657316536</v>
      </c>
      <c r="BF206" s="13" t="n">
        <f aca="false">IF(ISBLANK(Actuals!BG24),-Helpers!BD4*Assumptions!$B$24,Actuals!BG24)</f>
        <v>-11777.7657316536</v>
      </c>
      <c r="BG206" s="13" t="n">
        <f aca="false">IF(ISBLANK(Actuals!BH24),-Helpers!BE4*Assumptions!$B$24,Actuals!BH24)</f>
        <v>-11777.7657316536</v>
      </c>
      <c r="BH206" s="13" t="n">
        <f aca="false">IF(ISBLANK(Actuals!BI24),-Helpers!BF4*Assumptions!$B$24,Actuals!BI24)</f>
        <v>-11777.7657316536</v>
      </c>
      <c r="BI206" s="13" t="n">
        <f aca="false">IF(ISBLANK(Actuals!BJ24),-Helpers!BG4*Assumptions!$B$24,Actuals!BJ24)</f>
        <v>-11777.7657316536</v>
      </c>
      <c r="BJ206" s="13" t="n">
        <f aca="false">IF(ISBLANK(Actuals!BK24),-Helpers!BH4*Assumptions!$B$24,Actuals!BK24)</f>
        <v>-11777.7657316536</v>
      </c>
      <c r="BK206" s="13" t="n">
        <f aca="false">IF(ISBLANK(Actuals!BL24),-Helpers!BI4*Assumptions!$B$24,Actuals!BL24)</f>
        <v>-11777.7657316536</v>
      </c>
      <c r="BL206" s="13" t="n">
        <f aca="false">IF(ISBLANK(Actuals!BM24),-Helpers!BJ4*Assumptions!$B$24,Actuals!BM24)</f>
        <v>-11777.7657316536</v>
      </c>
      <c r="BM206" s="13" t="n">
        <f aca="false">IF(ISBLANK(Actuals!BN24),-Helpers!BK4*Assumptions!$B$24,Actuals!BN24)</f>
        <v>-12013.3210462867</v>
      </c>
      <c r="BN206" s="13" t="n">
        <f aca="false">IF(ISBLANK(Actuals!BO24),-Helpers!BL4*Assumptions!$B$24,Actuals!BO24)</f>
        <v>-12013.3210462867</v>
      </c>
      <c r="BO206" s="13" t="n">
        <f aca="false">IF(ISBLANK(Actuals!BP24),-Helpers!BM4*Assumptions!$B$24,Actuals!BP24)</f>
        <v>-12013.3210462867</v>
      </c>
      <c r="BP206" s="13" t="n">
        <f aca="false">IF(ISBLANK(Actuals!BQ24),-Helpers!BN4*Assumptions!$B$24,Actuals!BQ24)</f>
        <v>-12013.3210462867</v>
      </c>
      <c r="BQ206" s="13" t="n">
        <f aca="false">IF(ISBLANK(Actuals!BR24),-Helpers!BO4*Assumptions!$B$24,Actuals!BR24)</f>
        <v>-12013.3210462867</v>
      </c>
      <c r="BR206" s="13" t="n">
        <f aca="false">IF(ISBLANK(Actuals!BS24),-Helpers!BP4*Assumptions!$B$24,Actuals!BS24)</f>
        <v>-12013.3210462867</v>
      </c>
      <c r="BS206" s="13" t="n">
        <f aca="false">IF(ISBLANK(Actuals!BT24),-Helpers!BQ4*Assumptions!$B$24,Actuals!BT24)</f>
        <v>-12013.3210462867</v>
      </c>
      <c r="BT206" s="13" t="n">
        <f aca="false">IF(ISBLANK(Actuals!BU24),-Helpers!BR4*Assumptions!$B$24,Actuals!BU24)</f>
        <v>-12013.3210462867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-941.393</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-1277.69586</v>
      </c>
      <c r="R207" s="13" t="n">
        <f aca="false">IF(ISBLANK(Actuals!S25),-Helpers!P4*Assumptions!$B$27,Actuals!S25)</f>
        <v>-1370.77086</v>
      </c>
      <c r="S207" s="13" t="n">
        <f aca="false">IF(ISBLANK(Actuals!T25),-Helpers!Q4*Assumptions!$B$27,Actuals!T25)</f>
        <v>-1435.79586</v>
      </c>
      <c r="T207" s="13" t="n">
        <f aca="false">IF(ISBLANK(Actuals!U25),-Helpers!R4*Assumptions!$B$27,Actuals!U25)</f>
        <v>-1435.79586</v>
      </c>
      <c r="U207" s="13" t="n">
        <f aca="false">IF(ISBLANK(Actuals!V25),-Helpers!S4*Assumptions!$B$27,Actuals!V25)</f>
        <v>-1435.79586</v>
      </c>
      <c r="V207" s="13" t="n">
        <f aca="false">IF(ISBLANK(Actuals!W25),-Helpers!T4*Assumptions!$B$27,Actuals!W25)</f>
        <v>-1435.79586</v>
      </c>
      <c r="W207" s="13" t="n">
        <f aca="false">IF(ISBLANK(Actuals!X25),-Helpers!U4*Assumptions!$B$27,Actuals!X25)</f>
        <v>-1435.79586</v>
      </c>
      <c r="X207" s="13" t="n">
        <f aca="false">IF(ISBLANK(Actuals!Y25),-Helpers!V4*Assumptions!$B$27,Actuals!Y25)</f>
        <v>-1435.79586</v>
      </c>
      <c r="Y207" s="13" t="n">
        <f aca="false">IF(ISBLANK(Actuals!Z25),-Helpers!W4*Assumptions!$B$27,Actuals!Z25)</f>
        <v>-1435.79586</v>
      </c>
      <c r="Z207" s="13" t="n">
        <f aca="false">IF(ISBLANK(Actuals!AA25),-Helpers!X4*Assumptions!$B$27,Actuals!AA25)</f>
        <v>-1435.79586</v>
      </c>
      <c r="AA207" s="13" t="n">
        <f aca="false">IF(ISBLANK(Actuals!AB25),-Helpers!Y4*Assumptions!$B$27,Actuals!AB25)</f>
        <v>-1435.79586</v>
      </c>
      <c r="AB207" s="13" t="n">
        <f aca="false">IF(ISBLANK(Actuals!AC25),-Helpers!Z4*Assumptions!$B$27,Actuals!AC25)</f>
        <v>-1435.79586</v>
      </c>
      <c r="AC207" s="13" t="n">
        <f aca="false">IF(ISBLANK(Actuals!AD25),-Helpers!AA4*Assumptions!$B$27,Actuals!AD25)</f>
        <v>-1411.1912772</v>
      </c>
      <c r="AD207" s="13" t="n">
        <f aca="false">IF(ISBLANK(Actuals!AE25),-Helpers!AB4*Assumptions!$B$27,Actuals!AE25)</f>
        <v>-1335.7622772</v>
      </c>
      <c r="AE207" s="13" t="n">
        <f aca="false">IF(ISBLANK(Actuals!AF25),-Helpers!AC4*Assumptions!$B$27,Actuals!AF25)</f>
        <v>-1335.7622772</v>
      </c>
      <c r="AF207" s="13" t="n">
        <f aca="false">IF(ISBLANK(Actuals!AG25),-Helpers!AD4*Assumptions!$B$27,Actuals!AG25)</f>
        <v>-1335.7622772</v>
      </c>
      <c r="AG207" s="13" t="n">
        <f aca="false">IF(ISBLANK(Actuals!AH25),-Helpers!AE4*Assumptions!$B$27,Actuals!AH25)</f>
        <v>-1335.7622772</v>
      </c>
      <c r="AH207" s="13" t="n">
        <f aca="false">IF(ISBLANK(Actuals!AI25),-Helpers!AF4*Assumptions!$B$27,Actuals!AI25)</f>
        <v>-1294.1462772</v>
      </c>
      <c r="AI207" s="13" t="n">
        <f aca="false">IF(ISBLANK(Actuals!AJ25),-Helpers!AG4*Assumptions!$B$27,Actuals!AJ25)</f>
        <v>-1247.3282772</v>
      </c>
      <c r="AJ207" s="13" t="n">
        <f aca="false">IF(ISBLANK(Actuals!AK25),-Helpers!AH4*Assumptions!$B$27,Actuals!AK25)</f>
        <v>-1247.3282772</v>
      </c>
      <c r="AK207" s="13" t="n">
        <f aca="false">IF(ISBLANK(Actuals!AL25),-Helpers!AI4*Assumptions!$B$27,Actuals!AL25)</f>
        <v>-1247.3282772</v>
      </c>
      <c r="AL207" s="13" t="n">
        <f aca="false">IF(ISBLANK(Actuals!AM25),-Helpers!AJ4*Assumptions!$B$27,Actuals!AM25)</f>
        <v>-1226.5202772</v>
      </c>
      <c r="AM207" s="13" t="n">
        <f aca="false">IF(ISBLANK(Actuals!AN25),-Helpers!AK4*Assumptions!$B$27,Actuals!AN25)</f>
        <v>-1110.7757772</v>
      </c>
      <c r="AN207" s="13" t="n">
        <f aca="false">IF(ISBLANK(Actuals!AO25),-Helpers!AL4*Assumptions!$B$27,Actuals!AO25)</f>
        <v>-1069.1597772</v>
      </c>
      <c r="AO207" s="13" t="n">
        <f aca="false">IF(ISBLANK(Actuals!AP25),-Helpers!AM4*Assumptions!$B$27,Actuals!AP25)</f>
        <v>-1022.890962744</v>
      </c>
      <c r="AP207" s="13" t="n">
        <f aca="false">IF(ISBLANK(Actuals!AQ25),-Helpers!AN4*Assumptions!$B$27,Actuals!AQ25)</f>
        <v>-1022.890962744</v>
      </c>
      <c r="AQ207" s="13" t="n">
        <f aca="false">IF(ISBLANK(Actuals!AR25),-Helpers!AO4*Assumptions!$B$27,Actuals!AR25)</f>
        <v>-989.728212744</v>
      </c>
      <c r="AR207" s="13" t="n">
        <f aca="false">IF(ISBLANK(Actuals!AS25),-Helpers!AP4*Assumptions!$B$27,Actuals!AS25)</f>
        <v>-989.728212744</v>
      </c>
      <c r="AS207" s="13" t="n">
        <f aca="false">IF(ISBLANK(Actuals!AT25),-Helpers!AQ4*Assumptions!$B$27,Actuals!AT25)</f>
        <v>-989.728212744</v>
      </c>
      <c r="AT207" s="13" t="n">
        <f aca="false">IF(ISBLANK(Actuals!AU25),-Helpers!AR4*Assumptions!$B$27,Actuals!AU25)</f>
        <v>-989.728212744</v>
      </c>
      <c r="AU207" s="13" t="n">
        <f aca="false">IF(ISBLANK(Actuals!AV25),-Helpers!AS4*Assumptions!$B$27,Actuals!AV25)</f>
        <v>-989.728212744</v>
      </c>
      <c r="AV207" s="13" t="n">
        <f aca="false">IF(ISBLANK(Actuals!AW25),-Helpers!AT4*Assumptions!$B$27,Actuals!AW25)</f>
        <v>-989.728212744</v>
      </c>
      <c r="AW207" s="13" t="n">
        <f aca="false">IF(ISBLANK(Actuals!AX25),-Helpers!AU4*Assumptions!$B$27,Actuals!AX25)</f>
        <v>-989.728212744</v>
      </c>
      <c r="AX207" s="13" t="n">
        <f aca="false">IF(ISBLANK(Actuals!AY25),-Helpers!AV4*Assumptions!$B$27,Actuals!AY25)</f>
        <v>-989.728212744</v>
      </c>
      <c r="AY207" s="13" t="n">
        <f aca="false">IF(ISBLANK(Actuals!AZ25),-Helpers!AW4*Assumptions!$B$27,Actuals!AZ25)</f>
        <v>-989.728212744</v>
      </c>
      <c r="AZ207" s="13" t="n">
        <f aca="false">IF(ISBLANK(Actuals!BA25),-Helpers!AX4*Assumptions!$B$27,Actuals!BA25)</f>
        <v>-989.728212744</v>
      </c>
      <c r="BA207" s="13" t="n">
        <f aca="false">IF(ISBLANK(Actuals!BB25),-Helpers!AY4*Assumptions!$B$27,Actuals!BB25)</f>
        <v>-1009.52277699888</v>
      </c>
      <c r="BB207" s="13" t="n">
        <f aca="false">IF(ISBLANK(Actuals!BC25),-Helpers!AZ4*Assumptions!$B$27,Actuals!BC25)</f>
        <v>-1009.52277699888</v>
      </c>
      <c r="BC207" s="13" t="n">
        <f aca="false">IF(ISBLANK(Actuals!BD25),-Helpers!BA4*Assumptions!$B$27,Actuals!BD25)</f>
        <v>-1009.52277699888</v>
      </c>
      <c r="BD207" s="13" t="n">
        <f aca="false">IF(ISBLANK(Actuals!BE25),-Helpers!BB4*Assumptions!$B$27,Actuals!BE25)</f>
        <v>-1009.52277699888</v>
      </c>
      <c r="BE207" s="13" t="n">
        <f aca="false">IF(ISBLANK(Actuals!BF25),-Helpers!BC4*Assumptions!$B$27,Actuals!BF25)</f>
        <v>-1009.52277699888</v>
      </c>
      <c r="BF207" s="13" t="n">
        <f aca="false">IF(ISBLANK(Actuals!BG25),-Helpers!BD4*Assumptions!$B$27,Actuals!BG25)</f>
        <v>-1009.52277699888</v>
      </c>
      <c r="BG207" s="13" t="n">
        <f aca="false">IF(ISBLANK(Actuals!BH25),-Helpers!BE4*Assumptions!$B$27,Actuals!BH25)</f>
        <v>-1009.52277699888</v>
      </c>
      <c r="BH207" s="13" t="n">
        <f aca="false">IF(ISBLANK(Actuals!BI25),-Helpers!BF4*Assumptions!$B$27,Actuals!BI25)</f>
        <v>-1009.52277699888</v>
      </c>
      <c r="BI207" s="13" t="n">
        <f aca="false">IF(ISBLANK(Actuals!BJ25),-Helpers!BG4*Assumptions!$B$27,Actuals!BJ25)</f>
        <v>-1009.52277699888</v>
      </c>
      <c r="BJ207" s="13" t="n">
        <f aca="false">IF(ISBLANK(Actuals!BK25),-Helpers!BH4*Assumptions!$B$27,Actuals!BK25)</f>
        <v>-1009.52277699888</v>
      </c>
      <c r="BK207" s="13" t="n">
        <f aca="false">IF(ISBLANK(Actuals!BL25),-Helpers!BI4*Assumptions!$B$27,Actuals!BL25)</f>
        <v>-1009.52277699888</v>
      </c>
      <c r="BL207" s="13" t="n">
        <f aca="false">IF(ISBLANK(Actuals!BM25),-Helpers!BJ4*Assumptions!$B$27,Actuals!BM25)</f>
        <v>-1009.52277699888</v>
      </c>
      <c r="BM207" s="13" t="n">
        <f aca="false">IF(ISBLANK(Actuals!BN25),-Helpers!BK4*Assumptions!$B$27,Actuals!BN25)</f>
        <v>-1029.71323253886</v>
      </c>
      <c r="BN207" s="13" t="n">
        <f aca="false">IF(ISBLANK(Actuals!BO25),-Helpers!BL4*Assumptions!$B$27,Actuals!BO25)</f>
        <v>-1029.71323253886</v>
      </c>
      <c r="BO207" s="13" t="n">
        <f aca="false">IF(ISBLANK(Actuals!BP25),-Helpers!BM4*Assumptions!$B$27,Actuals!BP25)</f>
        <v>-1029.71323253886</v>
      </c>
      <c r="BP207" s="13" t="n">
        <f aca="false">IF(ISBLANK(Actuals!BQ25),-Helpers!BN4*Assumptions!$B$27,Actuals!BQ25)</f>
        <v>-1029.71323253886</v>
      </c>
      <c r="BQ207" s="13" t="n">
        <f aca="false">IF(ISBLANK(Actuals!BR25),-Helpers!BO4*Assumptions!$B$27,Actuals!BR25)</f>
        <v>-1029.71323253886</v>
      </c>
      <c r="BR207" s="13" t="n">
        <f aca="false">IF(ISBLANK(Actuals!BS25),-Helpers!BP4*Assumptions!$B$27,Actuals!BS25)</f>
        <v>-1029.71323253886</v>
      </c>
      <c r="BS207" s="13" t="n">
        <f aca="false">IF(ISBLANK(Actuals!BT25),-Helpers!BQ4*Assumptions!$B$27,Actuals!BT25)</f>
        <v>-1029.71323253886</v>
      </c>
      <c r="BT207" s="13" t="n">
        <f aca="false">IF(ISBLANK(Actuals!BU25),-Helpers!BR4*Assumptions!$B$27,Actuals!BU25)</f>
        <v>-1029.71323253886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-2129.4931</v>
      </c>
      <c r="R208" s="13" t="n">
        <f aca="false">IF(ISBLANK(Actuals!S26),-Helpers!P4*Assumptions!$B$21,Actuals!S26)</f>
        <v>-2284.6181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-2351.985462</v>
      </c>
      <c r="AD208" s="13" t="n">
        <f aca="false">IF(ISBLANK(Actuals!AE26),-Helpers!AB4*Assumptions!$B$21,Actuals!AE26)</f>
        <v>-2226.270462</v>
      </c>
      <c r="AE208" s="13" t="n">
        <f aca="false">IF(ISBLANK(Actuals!AF26),-Helpers!AC4*Assumptions!$B$21,Actuals!AF26)</f>
        <v>-2226.270462</v>
      </c>
      <c r="AF208" s="13" t="n">
        <f aca="false">IF(ISBLANK(Actuals!AG26),-Helpers!AD4*Assumptions!$B$21,Actuals!AG26)</f>
        <v>-2226.270462</v>
      </c>
      <c r="AG208" s="13" t="n">
        <f aca="false">IF(ISBLANK(Actuals!AH26),-Helpers!AE4*Assumptions!$B$21,Actuals!AH26)</f>
        <v>-2226.270462</v>
      </c>
      <c r="AH208" s="13" t="n">
        <f aca="false">IF(ISBLANK(Actuals!AI26),-Helpers!AF4*Assumptions!$B$21,Actuals!AI26)</f>
        <v>-2156.910462</v>
      </c>
      <c r="AI208" s="13" t="n">
        <f aca="false">IF(ISBLANK(Actuals!AJ26),-Helpers!AG4*Assumptions!$B$21,Actuals!AJ26)</f>
        <v>-2078.880462</v>
      </c>
      <c r="AJ208" s="13" t="n">
        <f aca="false">IF(ISBLANK(Actuals!AK26),-Helpers!AH4*Assumptions!$B$21,Actuals!AK26)</f>
        <v>-2078.880462</v>
      </c>
      <c r="AK208" s="13" t="n">
        <f aca="false">IF(ISBLANK(Actuals!AL26),-Helpers!AI4*Assumptions!$B$21,Actuals!AL26)</f>
        <v>-2078.880462</v>
      </c>
      <c r="AL208" s="13" t="n">
        <f aca="false">IF(ISBLANK(Actuals!AM26),-Helpers!AJ4*Assumptions!$B$21,Actuals!AM26)</f>
        <v>-2044.200462</v>
      </c>
      <c r="AM208" s="13" t="n">
        <f aca="false">IF(ISBLANK(Actuals!AN26),-Helpers!AK4*Assumptions!$B$21,Actuals!AN26)</f>
        <v>-1851.292962</v>
      </c>
      <c r="AN208" s="13" t="n">
        <f aca="false">IF(ISBLANK(Actuals!AO26),-Helpers!AL4*Assumptions!$B$21,Actuals!AO26)</f>
        <v>-1781.932962</v>
      </c>
      <c r="AO208" s="13" t="n">
        <f aca="false">IF(ISBLANK(Actuals!AP26),-Helpers!AM4*Assumptions!$B$21,Actuals!AP26)</f>
        <v>-1704.81827124</v>
      </c>
      <c r="AP208" s="13" t="n">
        <f aca="false">IF(ISBLANK(Actuals!AQ26),-Helpers!AN4*Assumptions!$B$21,Actuals!AQ26)</f>
        <v>-1704.81827124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-15000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-27375</v>
      </c>
      <c r="S223" s="13" t="n">
        <f aca="false">IF(ISBLANK(Actuals!T41),-(SUMPRODUCT((Personnel!$O$9:$O$100="GC")*(Personnel!$G$9:$G$100="Yes")*(Personnel!$E$9:$E$100&gt;=2)*(Personnel!$Q$9:$Q$100&lt;&gt;"No")*(Personnel!$E$9:$E$100=15)*Personnel!$C$9:$C$100)*Staffing!$B$21+Staffing!S84),Actuals!T41)</f>
        <v>-19125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-15769.2307692308</v>
      </c>
      <c r="AD223" s="13" t="n">
        <f aca="false">IF(ISBLANK(Actuals!AE41),-(SUMPRODUCT((Personnel!$O$9:$O$100="GC")*(Personnel!$G$9:$G$100="Yes")*(Personnel!$E$9:$E$100&gt;=2)*(Personnel!$Q$9:$Q$100&lt;&gt;"No")*(Personnel!$E$9:$E$100=26)*Personnel!$C$9:$C$100)*Staffing!$B$21+Staffing!AD84),Actuals!AE41)</f>
        <v>-22307.6923076923</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-13846.1538461538</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-34230.7692307692</v>
      </c>
      <c r="AN223" s="13" t="n">
        <f aca="false">IF(ISBLANK(Actuals!AO41),-(SUMPRODUCT((Personnel!$O$9:$O$100="GC")*(Personnel!$G$9:$G$100="Yes")*(Personnel!$E$9:$E$100&gt;=2)*(Personnel!$Q$9:$Q$100&lt;&gt;"No")*(Personnel!$E$9:$E$100=36)*Personnel!$C$9:$C$100)*Staffing!$B$21+Staffing!AN84),Actuals!AO41)</f>
        <v>-12307.6923076923</v>
      </c>
      <c r="AO223" s="13" t="n">
        <f aca="false">IF(ISBLANK(Actuals!AP41),-(SUMPRODUCT((Personnel!$O$9:$O$100="GC")*(Personnel!$G$9:$G$100="Yes")*(Personnel!$E$9:$E$100&gt;=2)*(Personnel!$Q$9:$Q$100&lt;&gt;"No")*(Personnel!$E$9:$E$100=37)*Personnel!$C$9:$C$100)*Staffing!$B$21+Staffing!AO84),Actuals!AP41)</f>
        <v>-19615.3846153846</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-9615.38461538462</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-1250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-396472.629666667</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-513060.30726</v>
      </c>
      <c r="R236" s="30" t="n">
        <f aca="false">SUM(R202:R235)+Actuals!S54</f>
        <v>-562966.13226</v>
      </c>
      <c r="S236" s="30" t="n">
        <f aca="false">SUM(S202:S235)+Actuals!T54</f>
        <v>-578840.40726</v>
      </c>
      <c r="T236" s="30" t="n">
        <f aca="false">SUM(T202:T235)+Actuals!U54</f>
        <v>-559715.40726</v>
      </c>
      <c r="U236" s="30" t="n">
        <f aca="false">SUM(U202:U235)+Actuals!V54</f>
        <v>-559715.40726</v>
      </c>
      <c r="V236" s="30" t="n">
        <f aca="false">SUM(V202:V235)+Actuals!W54</f>
        <v>-559715.40726</v>
      </c>
      <c r="W236" s="30" t="n">
        <f aca="false">SUM(W202:W235)+Actuals!X54</f>
        <v>-559715.40726</v>
      </c>
      <c r="X236" s="30" t="n">
        <f aca="false">SUM(X202:X235)+Actuals!Y54</f>
        <v>-559715.40726</v>
      </c>
      <c r="Y236" s="30" t="n">
        <f aca="false">SUM(Y202:Y235)+Actuals!Z54</f>
        <v>-559715.40726</v>
      </c>
      <c r="Z236" s="30" t="n">
        <f aca="false">SUM(Z202:Z235)+Actuals!AA54</f>
        <v>-559715.40726</v>
      </c>
      <c r="AA236" s="30" t="n">
        <f aca="false">SUM(AA202:AA235)+Actuals!AB54</f>
        <v>-559715.40726</v>
      </c>
      <c r="AB236" s="30" t="n">
        <f aca="false">SUM(AB202:AB235)+Actuals!AC54</f>
        <v>-559715.40726</v>
      </c>
      <c r="AC236" s="30" t="n">
        <f aca="false">SUM(AC202:AC235)+Actuals!AD54</f>
        <v>-566597.040674431</v>
      </c>
      <c r="AD236" s="30" t="n">
        <f aca="false">SUM(AD202:AD235)+Actuals!AE54</f>
        <v>-545151.343212892</v>
      </c>
      <c r="AE236" s="30" t="n">
        <f aca="false">SUM(AE202:AE235)+Actuals!AF54</f>
        <v>-522843.6509052</v>
      </c>
      <c r="AF236" s="30" t="n">
        <f aca="false">SUM(AF202:AF235)+Actuals!AG54</f>
        <v>-522843.6509052</v>
      </c>
      <c r="AG236" s="30" t="n">
        <f aca="false">SUM(AG202:AG235)+Actuals!AH54</f>
        <v>-522843.6509052</v>
      </c>
      <c r="AH236" s="30" t="n">
        <f aca="false">SUM(AH202:AH235)+Actuals!AI54</f>
        <v>-519711.807212892</v>
      </c>
      <c r="AI236" s="30" t="n">
        <f aca="false">SUM(AI202:AI235)+Actuals!AJ54</f>
        <v>-503880.790751354</v>
      </c>
      <c r="AJ236" s="30" t="n">
        <f aca="false">SUM(AJ202:AJ235)+Actuals!AK54</f>
        <v>-490034.6369052</v>
      </c>
      <c r="AK236" s="30" t="n">
        <f aca="false">SUM(AK202:AK235)+Actuals!AL54</f>
        <v>-490034.6369052</v>
      </c>
      <c r="AL236" s="30" t="n">
        <f aca="false">SUM(AL202:AL235)+Actuals!AM54</f>
        <v>-488468.715059046</v>
      </c>
      <c r="AM236" s="30" t="n">
        <f aca="false">SUM(AM202:AM235)+Actuals!AN54</f>
        <v>-473604.428635969</v>
      </c>
      <c r="AN236" s="30" t="n">
        <f aca="false">SUM(AN202:AN235)+Actuals!AO54</f>
        <v>-436241.815712892</v>
      </c>
      <c r="AO236" s="30" t="n">
        <f aca="false">SUM(AO202:AO235)+Actuals!AP54</f>
        <v>-426629.294778689</v>
      </c>
      <c r="AP236" s="30" t="n">
        <f aca="false">SUM(AP202:AP235)+Actuals!AQ54</f>
        <v>-407013.910163304</v>
      </c>
      <c r="AQ236" s="30" t="n">
        <f aca="false">SUM(AQ202:AQ235)+Actuals!AR54</f>
        <v>-404325.914528689</v>
      </c>
      <c r="AR236" s="30" t="n">
        <f aca="false">SUM(AR202:AR235)+Actuals!AS54</f>
        <v>-394710.529913304</v>
      </c>
      <c r="AS236" s="30" t="n">
        <f aca="false">SUM(AS202:AS235)+Actuals!AT54</f>
        <v>-394710.529913304</v>
      </c>
      <c r="AT236" s="30" t="n">
        <f aca="false">SUM(AT202:AT235)+Actuals!AU54</f>
        <v>-394710.529913304</v>
      </c>
      <c r="AU236" s="30" t="n">
        <f aca="false">SUM(AU202:AU235)+Actuals!AV54</f>
        <v>-394710.529913304</v>
      </c>
      <c r="AV236" s="30" t="n">
        <f aca="false">SUM(AV202:AV235)+Actuals!AW54</f>
        <v>-394710.529913304</v>
      </c>
      <c r="AW236" s="30" t="n">
        <f aca="false">SUM(AW202:AW235)+Actuals!AX54</f>
        <v>-394710.529913304</v>
      </c>
      <c r="AX236" s="30" t="n">
        <f aca="false">SUM(AX202:AX235)+Actuals!AY54</f>
        <v>-394710.529913304</v>
      </c>
      <c r="AY236" s="30" t="n">
        <f aca="false">SUM(AY202:AY235)+Actuals!AZ54</f>
        <v>-394710.529913304</v>
      </c>
      <c r="AZ236" s="30" t="n">
        <f aca="false">SUM(AZ202:AZ235)+Actuals!BA54</f>
        <v>-394710.529913304</v>
      </c>
      <c r="BA236" s="30" t="n">
        <f aca="false">SUM(BA202:BA235)+Actuals!BB54</f>
        <v>-402304.74051157</v>
      </c>
      <c r="BB236" s="30" t="n">
        <f aca="false">SUM(BB202:BB235)+Actuals!BC54</f>
        <v>-402304.74051157</v>
      </c>
      <c r="BC236" s="30" t="n">
        <f aca="false">SUM(BC202:BC235)+Actuals!BD54</f>
        <v>-402304.74051157</v>
      </c>
      <c r="BD236" s="30" t="n">
        <f aca="false">SUM(BD202:BD235)+Actuals!BE54</f>
        <v>-402304.74051157</v>
      </c>
      <c r="BE236" s="30" t="n">
        <f aca="false">SUM(BE202:BE235)+Actuals!BF54</f>
        <v>-402304.74051157</v>
      </c>
      <c r="BF236" s="30" t="n">
        <f aca="false">SUM(BF202:BF235)+Actuals!BG54</f>
        <v>-402304.74051157</v>
      </c>
      <c r="BG236" s="30" t="n">
        <f aca="false">SUM(BG202:BG235)+Actuals!BH54</f>
        <v>-402304.74051157</v>
      </c>
      <c r="BH236" s="30" t="n">
        <f aca="false">SUM(BH202:BH235)+Actuals!BI54</f>
        <v>-402304.74051157</v>
      </c>
      <c r="BI236" s="30" t="n">
        <f aca="false">SUM(BI202:BI235)+Actuals!BJ54</f>
        <v>-402304.74051157</v>
      </c>
      <c r="BJ236" s="30" t="n">
        <f aca="false">SUM(BJ202:BJ235)+Actuals!BK54</f>
        <v>-402304.74051157</v>
      </c>
      <c r="BK236" s="30" t="n">
        <f aca="false">SUM(BK202:BK235)+Actuals!BL54</f>
        <v>-402304.74051157</v>
      </c>
      <c r="BL236" s="30" t="n">
        <f aca="false">SUM(BL202:BL235)+Actuals!BM54</f>
        <v>-402304.74051157</v>
      </c>
      <c r="BM236" s="30" t="n">
        <f aca="false">SUM(BM202:BM235)+Actuals!BN54</f>
        <v>-410050.835321802</v>
      </c>
      <c r="BN236" s="30" t="n">
        <f aca="false">SUM(BN202:BN235)+Actuals!BO54</f>
        <v>-410050.835321802</v>
      </c>
      <c r="BO236" s="30" t="n">
        <f aca="false">SUM(BO202:BO235)+Actuals!BP54</f>
        <v>-410050.835321802</v>
      </c>
      <c r="BP236" s="30" t="n">
        <f aca="false">SUM(BP202:BP235)+Actuals!BQ54</f>
        <v>-410050.835321802</v>
      </c>
      <c r="BQ236" s="30" t="n">
        <f aca="false">SUM(BQ202:BQ235)+Actuals!BR54</f>
        <v>-410050.835321802</v>
      </c>
      <c r="BR236" s="30" t="n">
        <f aca="false">SUM(BR202:BR235)+Actuals!BS54</f>
        <v>-410050.835321802</v>
      </c>
      <c r="BS236" s="30" t="n">
        <f aca="false">SUM(BS202:BS235)+Actuals!BT54</f>
        <v>-410050.835321802</v>
      </c>
      <c r="BT236" s="30" t="n">
        <f aca="false">SUM(BT202:BT235)+Actuals!BU54</f>
        <v>-410050.835321802</v>
      </c>
      <c r="BU236" s="30" t="n">
        <f aca="false">SUM(BU202:BU235)+Actuals!BV54</f>
        <v>-410050.835321802</v>
      </c>
      <c r="BV236" s="30" t="n">
        <f aca="false">SUM(BV202:BV235)+Actuals!BW54</f>
        <v>-410050.835321802</v>
      </c>
      <c r="BW236" s="30" t="n">
        <f aca="false">SUM(BW202:BW235)+Actuals!BX54</f>
        <v>-410050.835321802</v>
      </c>
      <c r="BX236" s="30" t="n">
        <f aca="false">SUM(BX202:BX235)+Actuals!BY54</f>
        <v>-410050.835321802</v>
      </c>
      <c r="BY236" s="30" t="n">
        <f aca="false">SUM(BY202:BY235)+Actuals!BZ54</f>
        <v>-417951.852028238</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306134.398730297</v>
      </c>
      <c r="K237" s="37" t="n">
        <f aca="false">K199+K236</f>
        <v>384022.760052101</v>
      </c>
      <c r="L237" s="37" t="n">
        <f aca="false">L199+L236</f>
        <v>222829.998449374</v>
      </c>
      <c r="M237" s="37" t="n">
        <f aca="false">M199+M236</f>
        <v>-203669.568231118</v>
      </c>
      <c r="N237" s="37" t="n">
        <f aca="false">N199+N236</f>
        <v>473582.130942704</v>
      </c>
      <c r="O237" s="37" t="n">
        <f aca="false">O199+O236</f>
        <v>299693.857423652</v>
      </c>
      <c r="P237" s="37" t="n">
        <f aca="false">P199+P236</f>
        <v>361392.347423654</v>
      </c>
      <c r="Q237" s="37" t="n">
        <f aca="false">Q199+Q236</f>
        <v>57960.9483223677</v>
      </c>
      <c r="R237" s="37" t="n">
        <f aca="false">R199+R236</f>
        <v>149662.931486591</v>
      </c>
      <c r="S237" s="37" t="n">
        <f aca="false">S199+S236</f>
        <v>-305594.204320724</v>
      </c>
      <c r="T237" s="37" t="n">
        <f aca="false">T199+T236</f>
        <v>592712.056344299</v>
      </c>
      <c r="U237" s="37" t="n">
        <f aca="false">U199+U236</f>
        <v>486982.7663443</v>
      </c>
      <c r="V237" s="37" t="n">
        <f aca="false">V199+V236</f>
        <v>399162.965062348</v>
      </c>
      <c r="W237" s="37" t="n">
        <f aca="false">W199+W236</f>
        <v>379081.494886981</v>
      </c>
      <c r="X237" s="37" t="n">
        <f aca="false">X199+X236</f>
        <v>796590.310749051</v>
      </c>
      <c r="Y237" s="37" t="n">
        <f aca="false">Y199+Y236</f>
        <v>634829.490749051</v>
      </c>
      <c r="Z237" s="37" t="n">
        <f aca="false">Z199+Z236</f>
        <v>761175.67074905</v>
      </c>
      <c r="AA237" s="37" t="n">
        <f aca="false">AA199+AA236</f>
        <v>790414.32411019</v>
      </c>
      <c r="AB237" s="37" t="n">
        <f aca="false">AB199+AB236</f>
        <v>604082.602009688</v>
      </c>
      <c r="AC237" s="37" t="n">
        <f aca="false">AC199+AC236</f>
        <v>368475.499351701</v>
      </c>
      <c r="AD237" s="37" t="n">
        <f aca="false">AD199+AD236</f>
        <v>412871.106813241</v>
      </c>
      <c r="AE237" s="37" t="n">
        <f aca="false">AE199+AE236</f>
        <v>-149102.892966185</v>
      </c>
      <c r="AF237" s="37" t="n">
        <f aca="false">AF199+AF236</f>
        <v>742702.65670813</v>
      </c>
      <c r="AG237" s="37" t="n">
        <f aca="false">AG199+AG236</f>
        <v>678212.279751779</v>
      </c>
      <c r="AH237" s="37" t="n">
        <f aca="false">AH199+AH236</f>
        <v>657605.158118938</v>
      </c>
      <c r="AI237" s="37" t="n">
        <f aca="false">AI199+AI236</f>
        <v>435085.347216045</v>
      </c>
      <c r="AJ237" s="37" t="n">
        <f aca="false">AJ199+AJ236</f>
        <v>523753.550025699</v>
      </c>
      <c r="AK237" s="37" t="n">
        <f aca="false">AK199+AK236</f>
        <v>130517.232425313</v>
      </c>
      <c r="AL237" s="37" t="n">
        <f aca="false">AL199+AL236</f>
        <v>146393.224271467</v>
      </c>
      <c r="AM237" s="37" t="n">
        <f aca="false">AM199+AM236</f>
        <v>173139.290694545</v>
      </c>
      <c r="AN237" s="37" t="n">
        <f aca="false">AN199+AN236</f>
        <v>187615.115722371</v>
      </c>
      <c r="AO237" s="37" t="n">
        <f aca="false">AO199+AO236</f>
        <v>68612.4547470749</v>
      </c>
      <c r="AP237" s="37" t="n">
        <f aca="false">AP199+AP236</f>
        <v>-76780.065237541</v>
      </c>
      <c r="AQ237" s="37" t="n">
        <f aca="false">AQ199+AQ236</f>
        <v>-74092.0696029256</v>
      </c>
      <c r="AR237" s="37" t="n">
        <f aca="false">AR199+AR236</f>
        <v>-64476.684987541</v>
      </c>
      <c r="AS237" s="37" t="n">
        <f aca="false">AS199+AS236</f>
        <v>-64476.684987541</v>
      </c>
      <c r="AT237" s="37" t="n">
        <f aca="false">AT199+AT236</f>
        <v>-64476.684987541</v>
      </c>
      <c r="AU237" s="37" t="n">
        <f aca="false">AU199+AU236</f>
        <v>-64476.6849875405</v>
      </c>
      <c r="AV237" s="37" t="n">
        <f aca="false">AV199+AV236</f>
        <v>208008.900365959</v>
      </c>
      <c r="AW237" s="37" t="n">
        <f aca="false">AW199+AW236</f>
        <v>-237050.889044757</v>
      </c>
      <c r="AX237" s="37" t="n">
        <f aca="false">AX199+AX236</f>
        <v>-237050.889044757</v>
      </c>
      <c r="AY237" s="37" t="n">
        <f aca="false">AY199+AY236</f>
        <v>-237050.889044757</v>
      </c>
      <c r="AZ237" s="37" t="n">
        <f aca="false">AZ199+AZ236</f>
        <v>-237050.889044757</v>
      </c>
      <c r="BA237" s="37" t="n">
        <f aca="false">BA199+BA236</f>
        <v>-244645.099643023</v>
      </c>
      <c r="BB237" s="37" t="n">
        <f aca="false">BB199+BB236</f>
        <v>-244645.099643023</v>
      </c>
      <c r="BC237" s="37" t="n">
        <f aca="false">BC199+BC236</f>
        <v>-244645.099643023</v>
      </c>
      <c r="BD237" s="37" t="n">
        <f aca="false">BD199+BD236</f>
        <v>-244645.099643023</v>
      </c>
      <c r="BE237" s="37" t="n">
        <f aca="false">BE199+BE236</f>
        <v>-244645.099643023</v>
      </c>
      <c r="BF237" s="37" t="n">
        <f aca="false">BF199+BF236</f>
        <v>-244645.099643023</v>
      </c>
      <c r="BG237" s="37" t="n">
        <f aca="false">BG199+BG236</f>
        <v>-244645.099643023</v>
      </c>
      <c r="BH237" s="37" t="n">
        <f aca="false">BH199+BH236</f>
        <v>4291.17541257659</v>
      </c>
      <c r="BI237" s="37" t="n">
        <f aca="false">BI199+BI236</f>
        <v>-402304.74051157</v>
      </c>
      <c r="BJ237" s="37" t="n">
        <f aca="false">BJ199+BJ236</f>
        <v>-402304.74051157</v>
      </c>
      <c r="BK237" s="37" t="n">
        <f aca="false">BK199+BK236</f>
        <v>-402304.74051157</v>
      </c>
      <c r="BL237" s="37" t="n">
        <f aca="false">BL199+BL236</f>
        <v>-402304.74051157</v>
      </c>
      <c r="BM237" s="37" t="n">
        <f aca="false">BM199+BM236</f>
        <v>-410050.835321802</v>
      </c>
      <c r="BN237" s="37" t="n">
        <f aca="false">BN199+BN236</f>
        <v>-410050.835321802</v>
      </c>
      <c r="BO237" s="37" t="n">
        <f aca="false">BO199+BO236</f>
        <v>-410050.835321802</v>
      </c>
      <c r="BP237" s="37" t="n">
        <f aca="false">BP199+BP236</f>
        <v>-410050.835321802</v>
      </c>
      <c r="BQ237" s="37" t="n">
        <f aca="false">BQ199+BQ236</f>
        <v>-410050.835321802</v>
      </c>
      <c r="BR237" s="37" t="n">
        <f aca="false">BR199+BR236</f>
        <v>-410050.835321802</v>
      </c>
      <c r="BS237" s="37" t="n">
        <f aca="false">BS199+BS236</f>
        <v>-410050.835321802</v>
      </c>
      <c r="BT237" s="37" t="n">
        <f aca="false">BT199+BT236</f>
        <v>-410050.835321802</v>
      </c>
      <c r="BU237" s="37" t="n">
        <f aca="false">BU199+BU236</f>
        <v>-410050.835321802</v>
      </c>
      <c r="BV237" s="37" t="n">
        <f aca="false">BV199+BV236</f>
        <v>-410050.835321802</v>
      </c>
      <c r="BW237" s="37" t="n">
        <f aca="false">BW199+BW236</f>
        <v>-410050.835321802</v>
      </c>
      <c r="BX237" s="37" t="n">
        <f aca="false">BX199+BX236</f>
        <v>-410050.835321802</v>
      </c>
      <c r="BY237" s="37" t="n">
        <f aca="false">BY199+BY236</f>
        <v>-417951.852028238</v>
      </c>
      <c r="BZ237" s="37" t="n">
        <f aca="false">BZ199+BZ236</f>
        <v>-417951.852028238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0.0524007301851866</v>
      </c>
      <c r="K238" s="33" t="n">
        <f aca="false">IFERROR(K237/K58,0)</f>
        <v>0.0632162232075759</v>
      </c>
      <c r="L238" s="33" t="n">
        <f aca="false">IFERROR(L237/L58,0)</f>
        <v>0.0426616621001568</v>
      </c>
      <c r="M238" s="33" t="n">
        <f aca="false">IFERROR(M237/M58,0)</f>
        <v>-0.036356733334434</v>
      </c>
      <c r="N238" s="33" t="n">
        <f aca="false">IFERROR(N237/N58,0)</f>
        <v>0.0722521453074064</v>
      </c>
      <c r="O238" s="33" t="n">
        <f aca="false">IFERROR(O237/O58,0)</f>
        <v>0.0456053849720947</v>
      </c>
      <c r="P238" s="33" t="n">
        <f aca="false">IFERROR(P237/P58,0)</f>
        <v>0.0496403588874351</v>
      </c>
      <c r="Q238" s="33" t="n">
        <f aca="false">IFERROR(Q237/Q58,0)</f>
        <v>0.00748241798226571</v>
      </c>
      <c r="R238" s="33" t="n">
        <f aca="false">IFERROR(R237/R58,0)</f>
        <v>0.0184714099633643</v>
      </c>
      <c r="S238" s="33" t="n">
        <f aca="false">IFERROR(S237/S58,0)</f>
        <v>-0.032677191131804</v>
      </c>
      <c r="T238" s="33" t="n">
        <f aca="false">IFERROR(T237/T58,0)</f>
        <v>0.0553937262784292</v>
      </c>
      <c r="U238" s="33" t="n">
        <f aca="false">IFERROR(U237/U58,0)</f>
        <v>0.0474082068945351</v>
      </c>
      <c r="V238" s="33" t="n">
        <f aca="false">IFERROR(V237/V58,0)</f>
        <v>0.0347515508267966</v>
      </c>
      <c r="W238" s="33" t="n">
        <f aca="false">IFERROR(W237/W58,0)</f>
        <v>0.035374146709509</v>
      </c>
      <c r="X238" s="33" t="n">
        <f aca="false">IFERROR(X237/X58,0)</f>
        <v>0.0643274400559104</v>
      </c>
      <c r="Y238" s="33" t="n">
        <f aca="false">IFERROR(Y237/Y58,0)</f>
        <v>0.0565965279116029</v>
      </c>
      <c r="Z238" s="33" t="n">
        <f aca="false">IFERROR(Z237/Z58,0)</f>
        <v>0.0620945345697467</v>
      </c>
      <c r="AA238" s="33" t="n">
        <f aca="false">IFERROR(AA237/AA58,0)</f>
        <v>0.0675926207729941</v>
      </c>
      <c r="AB238" s="33" t="n">
        <f aca="false">IFERROR(AB237/AB58,0)</f>
        <v>0.0579081034829485</v>
      </c>
      <c r="AC238" s="33" t="n">
        <f aca="false">IFERROR(AC237/AC58,0)</f>
        <v>0.0395300513988128</v>
      </c>
      <c r="AD238" s="33" t="n">
        <f aca="false">IFERROR(AD237/AD58,0)</f>
        <v>0.0448056938968942</v>
      </c>
      <c r="AE238" s="33" t="n">
        <f aca="false">IFERROR(AE237/AE58,0)</f>
        <v>-0.0158291664195366</v>
      </c>
      <c r="AF238" s="33" t="n">
        <f aca="false">IFERROR(AF237/AF58,0)</f>
        <v>0.079663447926342</v>
      </c>
      <c r="AG238" s="33" t="n">
        <f aca="false">IFERROR(AG237/AG58,0)</f>
        <v>0.0715996599401583</v>
      </c>
      <c r="AH238" s="33" t="n">
        <f aca="false">IFERROR(AH237/AH58,0)</f>
        <v>0.0750838280620856</v>
      </c>
      <c r="AI238" s="33" t="n">
        <f aca="false">IFERROR(AI237/AI58,0)</f>
        <v>0.0545670571188847</v>
      </c>
      <c r="AJ238" s="33" t="n">
        <f aca="false">IFERROR(AJ237/AJ58,0)</f>
        <v>0.0777313428681166</v>
      </c>
      <c r="AK238" s="33" t="n">
        <f aca="false">IFERROR(AK237/AK58,0)</f>
        <v>0.023038913224858</v>
      </c>
      <c r="AL238" s="33" t="n">
        <f aca="false">IFERROR(AL237/AL58,0)</f>
        <v>0.0260360483537429</v>
      </c>
      <c r="AM238" s="33" t="n">
        <f aca="false">IFERROR(AM237/AM58,0)</f>
        <v>0.0312488731821177</v>
      </c>
      <c r="AN238" s="33" t="n">
        <f aca="false">IFERROR(AN237/AN58,0)</f>
        <v>0.0419460891768098</v>
      </c>
      <c r="AO238" s="33" t="n">
        <f aca="false">IFERROR(AO237/AO58,0)</f>
        <v>0.0187626480818771</v>
      </c>
      <c r="AP238" s="33" t="n">
        <f aca="false">IFERROR(AP237/AP58,0)</f>
        <v>-0.0236778391427602</v>
      </c>
      <c r="AQ238" s="33" t="n">
        <f aca="false">IFERROR(AQ237/AQ58,0)</f>
        <v>-0.0233558605669543</v>
      </c>
      <c r="AR238" s="33" t="n">
        <f aca="false">IFERROR(AR237/AR58,0)</f>
        <v>-0.0209113995128115</v>
      </c>
      <c r="AS238" s="33" t="n">
        <f aca="false">IFERROR(AS237/AS58,0)</f>
        <v>-0.0216568248451975</v>
      </c>
      <c r="AT238" s="33" t="n">
        <f aca="false">IFERROR(AT237/AT58,0)</f>
        <v>-0.022578931119764</v>
      </c>
      <c r="AU238" s="33" t="n">
        <f aca="false">IFERROR(AU237/AU58,0)</f>
        <v>-0.0237009741489603</v>
      </c>
      <c r="AV238" s="33" t="n">
        <f aca="false">IFERROR(AV237/AV58,0)</f>
        <v>0.0808179920746698</v>
      </c>
      <c r="AW238" s="33" t="n">
        <f aca="false">IFERROR(AW237/AW58,0)</f>
        <v>-0.132397469308076</v>
      </c>
      <c r="AX238" s="33" t="n">
        <f aca="false">IFERROR(AX237/AX58,0)</f>
        <v>-0.137795342044116</v>
      </c>
      <c r="AY238" s="33" t="n">
        <f aca="false">IFERROR(AY237/AY58,0)</f>
        <v>-0.14485364484214</v>
      </c>
      <c r="AZ238" s="33" t="n">
        <f aca="false">IFERROR(AZ237/AZ58,0)</f>
        <v>-0.153804728693906</v>
      </c>
      <c r="BA238" s="33" t="n">
        <f aca="false">IFERROR(BA237/BA58,0)</f>
        <v>-0.170228611569649</v>
      </c>
      <c r="BB238" s="33" t="n">
        <f aca="false">IFERROR(BB237/BB58,0)</f>
        <v>-0.184395758034675</v>
      </c>
      <c r="BC238" s="33" t="n">
        <f aca="false">IFERROR(BC237/BC58,0)</f>
        <v>-0.201745548179533</v>
      </c>
      <c r="BD238" s="33" t="n">
        <f aca="false">IFERROR(BD237/BD58,0)</f>
        <v>-0.222942706209476</v>
      </c>
      <c r="BE238" s="33" t="n">
        <f aca="false">IFERROR(BE237/BE58,0)</f>
        <v>-0.248844685536888</v>
      </c>
      <c r="BF238" s="33" t="n">
        <f aca="false">IFERROR(BF237/BF58,0)</f>
        <v>-0.28054178921935</v>
      </c>
      <c r="BG238" s="33" t="n">
        <f aca="false">IFERROR(BG237/BG58,0)</f>
        <v>-0.319461319217434</v>
      </c>
      <c r="BH238" s="33" t="n">
        <f aca="false">IFERROR(BH237/BH58,0)</f>
        <v>0.00644464882501446</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-73156</v>
      </c>
      <c r="CB291" s="13" t="n">
        <f aca="false">IF(ISBLANK(Actuals!CC111),-Helpers!BZ26+CB339,Actuals!CC111)</f>
        <v>-0</v>
      </c>
      <c r="CC291" s="13" t="n">
        <f aca="false">IF(ISBLANK(Actuals!CD111),-Helpers!CA26+CC339,Actuals!CD111)</f>
        <v>-0</v>
      </c>
      <c r="CD291" s="13" t="n">
        <f aca="false">IF(ISBLANK(Actuals!CE111),-Helpers!CB26+CD339,Actuals!CE111)</f>
        <v>-73155</v>
      </c>
      <c r="CE291" s="13" t="n">
        <f aca="false">IF(ISBLANK(Actuals!CF111),-Helpers!CC26+CE339,Actuals!CF111)</f>
        <v>-0</v>
      </c>
      <c r="CF291" s="13" t="n">
        <f aca="false">IF(ISBLANK(Actuals!CG111),-Helpers!CD26+CF339,Actuals!CG111)</f>
        <v>-0</v>
      </c>
      <c r="CG291" s="13" t="n">
        <f aca="false">IF(ISBLANK(Actuals!CH111),-Helpers!CE26+CG339,Actuals!CH111)</f>
        <v>-73155</v>
      </c>
      <c r="CH291" s="13" t="n">
        <f aca="false">IF(ISBLANK(Actuals!CI111),-Helpers!CF26+CH339,Actuals!CI111)</f>
        <v>-0</v>
      </c>
      <c r="CI291" s="13" t="n">
        <f aca="false">IF(ISBLANK(Actuals!CJ111),-Helpers!CG26+CI339,Actuals!CJ111)</f>
        <v>-0</v>
      </c>
      <c r="CJ291" s="13" t="n">
        <f aca="false">IF(ISBLANK(Actuals!CK111),-Helpers!CH26+CJ339,Actuals!CK111)</f>
        <v>-73155</v>
      </c>
      <c r="CK291" s="13" t="n">
        <f aca="false">IF(ISBLANK(Actuals!CL111),-Helpers!CI26+CK339,Actuals!CL111)</f>
        <v>-73155</v>
      </c>
      <c r="CL291" s="13" t="n">
        <f aca="false">IF(ISBLANK(Actuals!CM111),-Helpers!CJ26+CL339,Actuals!CM111)</f>
        <v>-73155</v>
      </c>
      <c r="CM291" s="13" t="n">
        <f aca="false">IF(ISBLANK(Actuals!CN111),-Helpers!CK26+CM339,Actuals!CN111)</f>
        <v>-73155</v>
      </c>
      <c r="CN291" s="13" t="n">
        <f aca="false">IF(ISBLANK(Actuals!CO111),-Helpers!CL26+CN339,Actuals!CO111)</f>
        <v>-73155</v>
      </c>
      <c r="CO291" s="13" t="n">
        <f aca="false">IF(ISBLANK(Actuals!CP111),-Helpers!CM26+CO339,Actuals!CP111)</f>
        <v>-73155</v>
      </c>
      <c r="CP291" s="13" t="n">
        <f aca="false">IF(ISBLANK(Actuals!CQ111),-Helpers!CN26+CP339,Actuals!CQ111)</f>
        <v>-73155</v>
      </c>
      <c r="CQ291" s="13" t="n">
        <f aca="false">IF(ISBLANK(Actuals!CR111),-Helpers!CO26+CQ339,Actuals!CR111)</f>
        <v>-73155</v>
      </c>
      <c r="CR291" s="13" t="n">
        <f aca="false">IF(ISBLANK(Actuals!CS111),-Helpers!CP26+CR339,Actuals!CS111)</f>
        <v>-73155</v>
      </c>
      <c r="CS291" s="13" t="n">
        <f aca="false">IF(ISBLANK(Actuals!CT111),-Helpers!CQ26+CS339,Actuals!CT111)</f>
        <v>-73155</v>
      </c>
      <c r="CT291" s="13" t="n">
        <f aca="false">IF(ISBLANK(Actuals!CU111),-Helpers!CR26+CT339,Actuals!CU111)</f>
        <v>-73155</v>
      </c>
      <c r="CU291" s="13" t="n">
        <f aca="false">IF(ISBLANK(Actuals!CV111),-Helpers!CS26+CU339,Actuals!CV111)</f>
        <v>-73155</v>
      </c>
      <c r="CV291" s="13" t="n">
        <f aca="false">IF(ISBLANK(Actuals!CW111),-Helpers!CT26+CV339,Actuals!CW111)</f>
        <v>-73155</v>
      </c>
      <c r="CW291" s="13" t="n">
        <f aca="false">IF(ISBLANK(Actuals!CX111),-Helpers!CU26+CW339,Actuals!CX111)</f>
        <v>-17446.8489364072</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-197545.8</v>
      </c>
      <c r="K292" s="30" t="n">
        <f aca="false">SUM(K263:K291)+Actuals!L113</f>
        <v>-197545.8</v>
      </c>
      <c r="L292" s="30" t="n">
        <f aca="false">SUM(L263:L291)+Actuals!M113</f>
        <v>-197545.8</v>
      </c>
      <c r="M292" s="30" t="n">
        <f aca="false">SUM(M263:M291)+Actuals!N113</f>
        <v>-194045.8</v>
      </c>
      <c r="N292" s="30" t="n">
        <f aca="false">SUM(N263:N291)+Actuals!O113</f>
        <v>-195439.62</v>
      </c>
      <c r="O292" s="30" t="n">
        <f aca="false">SUM(O263:O291)+Actuals!P113</f>
        <v>-195439.62</v>
      </c>
      <c r="P292" s="30" t="n">
        <f aca="false">SUM(P263:P291)+Actuals!Q113</f>
        <v>-195439.62</v>
      </c>
      <c r="Q292" s="30" t="n">
        <f aca="false">SUM(Q263:Q291)+Actuals!R113</f>
        <v>-199005.6524</v>
      </c>
      <c r="R292" s="30" t="n">
        <f aca="false">SUM(R263:R291)+Actuals!S113</f>
        <v>-199005.6524</v>
      </c>
      <c r="S292" s="30" t="n">
        <f aca="false">SUM(S263:S291)+Actuals!T113</f>
        <v>-199005.6524</v>
      </c>
      <c r="T292" s="30" t="n">
        <f aca="false">SUM(T263:T291)+Actuals!U113</f>
        <v>-199005.6524</v>
      </c>
      <c r="U292" s="30" t="n">
        <f aca="false">SUM(U263:U291)+Actuals!V113</f>
        <v>-199005.6524</v>
      </c>
      <c r="V292" s="30" t="n">
        <f aca="false">SUM(V263:V291)+Actuals!W113</f>
        <v>-199005.6524</v>
      </c>
      <c r="W292" s="30" t="n">
        <f aca="false">SUM(W263:W291)+Actuals!X113</f>
        <v>-199005.6524</v>
      </c>
      <c r="X292" s="30" t="n">
        <f aca="false">SUM(X263:X291)+Actuals!Y113</f>
        <v>-199005.6524</v>
      </c>
      <c r="Y292" s="30" t="n">
        <f aca="false">SUM(Y263:Y291)+Actuals!Z113</f>
        <v>-199005.6524</v>
      </c>
      <c r="Z292" s="30" t="n">
        <f aca="false">SUM(Z263:Z291)+Actuals!AA113</f>
        <v>-199005.6524</v>
      </c>
      <c r="AA292" s="30" t="n">
        <f aca="false">SUM(AA263:AA291)+Actuals!AB113</f>
        <v>-199005.6524</v>
      </c>
      <c r="AB292" s="30" t="n">
        <f aca="false">SUM(AB263:AB291)+Actuals!AC113</f>
        <v>-199005.6524</v>
      </c>
      <c r="AC292" s="30" t="n">
        <f aca="false">SUM(AC263:AC291)+Actuals!AD113</f>
        <v>-202643.005448</v>
      </c>
      <c r="AD292" s="30" t="n">
        <f aca="false">SUM(AD263:AD291)+Actuals!AE113</f>
        <v>-202643.005448</v>
      </c>
      <c r="AE292" s="30" t="n">
        <f aca="false">SUM(AE263:AE291)+Actuals!AF113</f>
        <v>-202643.005448</v>
      </c>
      <c r="AF292" s="30" t="n">
        <f aca="false">SUM(AF263:AF291)+Actuals!AG113</f>
        <v>-202643.005448</v>
      </c>
      <c r="AG292" s="30" t="n">
        <f aca="false">SUM(AG263:AG291)+Actuals!AH113</f>
        <v>-202643.005448</v>
      </c>
      <c r="AH292" s="30" t="n">
        <f aca="false">SUM(AH263:AH291)+Actuals!AI113</f>
        <v>-202643.005448</v>
      </c>
      <c r="AI292" s="30" t="n">
        <f aca="false">SUM(AI263:AI291)+Actuals!AJ113</f>
        <v>-202643.005448</v>
      </c>
      <c r="AJ292" s="30" t="n">
        <f aca="false">SUM(AJ263:AJ291)+Actuals!AK113</f>
        <v>-202643.005448</v>
      </c>
      <c r="AK292" s="30" t="n">
        <f aca="false">SUM(AK263:AK291)+Actuals!AL113</f>
        <v>-202643.005448</v>
      </c>
      <c r="AL292" s="30" t="n">
        <f aca="false">SUM(AL263:AL291)+Actuals!AM113</f>
        <v>-202643.005448</v>
      </c>
      <c r="AM292" s="30" t="n">
        <f aca="false">SUM(AM263:AM291)+Actuals!AN113</f>
        <v>-202643.005448</v>
      </c>
      <c r="AN292" s="30" t="n">
        <f aca="false">SUM(AN263:AN291)+Actuals!AO113</f>
        <v>-202643.005448</v>
      </c>
      <c r="AO292" s="30" t="n">
        <f aca="false">SUM(AO263:AO291)+Actuals!AP113</f>
        <v>-206353.10555696</v>
      </c>
      <c r="AP292" s="30" t="n">
        <f aca="false">SUM(AP263:AP291)+Actuals!AQ113</f>
        <v>-206353.10555696</v>
      </c>
      <c r="AQ292" s="30" t="n">
        <f aca="false">SUM(AQ263:AQ291)+Actuals!AR113</f>
        <v>-206353.10555696</v>
      </c>
      <c r="AR292" s="30" t="n">
        <f aca="false">SUM(AR263:AR291)+Actuals!AS113</f>
        <v>-206353.10555696</v>
      </c>
      <c r="AS292" s="30" t="n">
        <f aca="false">SUM(AS263:AS291)+Actuals!AT113</f>
        <v>-206353.10555696</v>
      </c>
      <c r="AT292" s="30" t="n">
        <f aca="false">SUM(AT263:AT291)+Actuals!AU113</f>
        <v>-288036.10555696</v>
      </c>
      <c r="AU292" s="30" t="n">
        <f aca="false">SUM(AU263:AU291)+Actuals!AV113</f>
        <v>-206353.10555696</v>
      </c>
      <c r="AV292" s="30" t="n">
        <f aca="false">SUM(AV263:AV291)+Actuals!AW113</f>
        <v>-206353.10555696</v>
      </c>
      <c r="AW292" s="30" t="n">
        <f aca="false">SUM(AW263:AW291)+Actuals!AX113</f>
        <v>-288035.10555696</v>
      </c>
      <c r="AX292" s="30" t="n">
        <f aca="false">SUM(AX263:AX291)+Actuals!AY113</f>
        <v>-206353.10555696</v>
      </c>
      <c r="AY292" s="30" t="n">
        <f aca="false">SUM(AY263:AY291)+Actuals!AZ113</f>
        <v>-206353.10555696</v>
      </c>
      <c r="AZ292" s="30" t="n">
        <f aca="false">SUM(AZ263:AZ291)+Actuals!BA113</f>
        <v>-288035.10555696</v>
      </c>
      <c r="BA292" s="30" t="n">
        <f aca="false">SUM(BA263:BA291)+Actuals!BB113</f>
        <v>-210137.407668099</v>
      </c>
      <c r="BB292" s="30" t="n">
        <f aca="false">SUM(BB263:BB291)+Actuals!BC113</f>
        <v>-210137.407668099</v>
      </c>
      <c r="BC292" s="30" t="n">
        <f aca="false">SUM(BC263:BC291)+Actuals!BD113</f>
        <v>-1143658.4076681</v>
      </c>
      <c r="BD292" s="30" t="n">
        <f aca="false">SUM(BD263:BD291)+Actuals!BE113</f>
        <v>-210137.407668099</v>
      </c>
      <c r="BE292" s="30" t="n">
        <f aca="false">SUM(BE263:BE291)+Actuals!BF113</f>
        <v>-210137.407668099</v>
      </c>
      <c r="BF292" s="30" t="n">
        <f aca="false">SUM(BF263:BF291)+Actuals!BG113</f>
        <v>-341015.407668099</v>
      </c>
      <c r="BG292" s="30" t="n">
        <f aca="false">SUM(BG263:BG291)+Actuals!BH113</f>
        <v>-210137.407668099</v>
      </c>
      <c r="BH292" s="30" t="n">
        <f aca="false">SUM(BH263:BH291)+Actuals!BI113</f>
        <v>-210137.407668099</v>
      </c>
      <c r="BI292" s="30" t="n">
        <f aca="false">SUM(BI263:BI291)+Actuals!BJ113</f>
        <v>-341013.407668099</v>
      </c>
      <c r="BJ292" s="30" t="n">
        <f aca="false">SUM(BJ263:BJ291)+Actuals!BK113</f>
        <v>-210137.407668099</v>
      </c>
      <c r="BK292" s="30" t="n">
        <f aca="false">SUM(BK263:BK291)+Actuals!BL113</f>
        <v>-210137.407668099</v>
      </c>
      <c r="BL292" s="30" t="n">
        <f aca="false">SUM(BL263:BL291)+Actuals!BM113</f>
        <v>-341013.407668099</v>
      </c>
      <c r="BM292" s="30" t="n">
        <f aca="false">SUM(BM263:BM291)+Actuals!BN113</f>
        <v>-213997.395821461</v>
      </c>
      <c r="BN292" s="30" t="n">
        <f aca="false">SUM(BN263:BN291)+Actuals!BO113</f>
        <v>-213997.395821461</v>
      </c>
      <c r="BO292" s="30" t="n">
        <f aca="false">SUM(BO263:BO291)+Actuals!BP113</f>
        <v>-344873.395821461</v>
      </c>
      <c r="BP292" s="30" t="n">
        <f aca="false">SUM(BP263:BP291)+Actuals!BQ113</f>
        <v>-213997.395821461</v>
      </c>
      <c r="BQ292" s="30" t="n">
        <f aca="false">SUM(BQ263:BQ291)+Actuals!BR113</f>
        <v>-213997.395821461</v>
      </c>
      <c r="BR292" s="30" t="n">
        <f aca="false">SUM(BR263:BR291)+Actuals!BS113</f>
        <v>-303153.045821461</v>
      </c>
      <c r="BS292" s="30" t="n">
        <f aca="false">SUM(BS263:BS291)+Actuals!BT113</f>
        <v>-213997.395821461</v>
      </c>
      <c r="BT292" s="30" t="n">
        <f aca="false">SUM(BT263:BT291)+Actuals!BU113</f>
        <v>-213997.395821461</v>
      </c>
      <c r="BU292" s="30" t="n">
        <f aca="false">SUM(BU263:BU291)+Actuals!BV113</f>
        <v>-288637.395821461</v>
      </c>
      <c r="BV292" s="30" t="n">
        <f aca="false">SUM(BV263:BV291)+Actuals!BW113</f>
        <v>-213997.395821461</v>
      </c>
      <c r="BW292" s="30" t="n">
        <f aca="false">SUM(BW263:BW291)+Actuals!BX113</f>
        <v>-213997.395821461</v>
      </c>
      <c r="BX292" s="30" t="n">
        <f aca="false">SUM(BX263:BX291)+Actuals!BY113</f>
        <v>-288637.395821461</v>
      </c>
      <c r="BY292" s="30" t="n">
        <f aca="false">SUM(BY263:BY291)+Actuals!BZ113</f>
        <v>-217934.58373789</v>
      </c>
      <c r="BZ292" s="30" t="n">
        <f aca="false">SUM(BZ263:BZ291)+Actuals!CA113</f>
        <v>-217934.58373789</v>
      </c>
      <c r="CA292" s="30" t="n">
        <f aca="false">SUM(CA263:CA291)+Actuals!CB113</f>
        <v>-365730.58373789</v>
      </c>
      <c r="CB292" s="30" t="n">
        <f aca="false">SUM(CB263:CB291)+Actuals!CC113</f>
        <v>-217934.58373789</v>
      </c>
      <c r="CC292" s="30" t="n">
        <f aca="false">SUM(CC263:CC291)+Actuals!CD113</f>
        <v>-217934.58373789</v>
      </c>
      <c r="CD292" s="30" t="n">
        <f aca="false">SUM(CD263:CD291)+Actuals!CE113</f>
        <v>-372452.58373789</v>
      </c>
      <c r="CE292" s="30" t="n">
        <f aca="false">SUM(CE263:CE291)+Actuals!CF113</f>
        <v>-217934.58373789</v>
      </c>
      <c r="CF292" s="30" t="n">
        <f aca="false">SUM(CF263:CF291)+Actuals!CG113</f>
        <v>-217934.58373789</v>
      </c>
      <c r="CG292" s="30" t="n">
        <f aca="false">SUM(CG263:CG291)+Actuals!CH113</f>
        <v>-372451.58373789</v>
      </c>
      <c r="CH292" s="30" t="n">
        <f aca="false">SUM(CH263:CH291)+Actuals!CI113</f>
        <v>-217934.58373789</v>
      </c>
      <c r="CI292" s="30" t="n">
        <f aca="false">SUM(CI263:CI291)+Actuals!CJ113</f>
        <v>-217934.58373789</v>
      </c>
      <c r="CJ292" s="30" t="n">
        <f aca="false">SUM(CJ263:CJ291)+Actuals!CK113</f>
        <v>-365843.557131411</v>
      </c>
      <c r="CK292" s="30" t="n">
        <f aca="false">SUM(CK263:CK291)+Actuals!CL113</f>
        <v>-295105.515412648</v>
      </c>
      <c r="CL292" s="30" t="n">
        <f aca="false">SUM(CL263:CL291)+Actuals!CM113</f>
        <v>-295105.515412648</v>
      </c>
      <c r="CM292" s="30" t="n">
        <f aca="false">SUM(CM263:CM291)+Actuals!CN113</f>
        <v>-295105.515412648</v>
      </c>
      <c r="CN292" s="30" t="n">
        <f aca="false">SUM(CN263:CN291)+Actuals!CO113</f>
        <v>-295105.515412648</v>
      </c>
      <c r="CO292" s="30" t="n">
        <f aca="false">SUM(CO263:CO291)+Actuals!CP113</f>
        <v>-295105.515412648</v>
      </c>
      <c r="CP292" s="30" t="n">
        <f aca="false">SUM(CP263:CP291)+Actuals!CQ113</f>
        <v>-295105.515412648</v>
      </c>
      <c r="CQ292" s="30" t="n">
        <f aca="false">SUM(CQ263:CQ291)+Actuals!CR113</f>
        <v>-295105.515412648</v>
      </c>
      <c r="CR292" s="30" t="n">
        <f aca="false">SUM(CR263:CR291)+Actuals!CS113</f>
        <v>-295105.515412648</v>
      </c>
      <c r="CS292" s="30" t="n">
        <f aca="false">SUM(CS263:CS291)+Actuals!CT113</f>
        <v>-295105.515412648</v>
      </c>
      <c r="CT292" s="30" t="n">
        <f aca="false">SUM(CT263:CT291)+Actuals!CU113</f>
        <v>-289194.570414536</v>
      </c>
      <c r="CU292" s="30" t="n">
        <f aca="false">SUM(CU263:CU291)+Actuals!CV113</f>
        <v>-289194.570414536</v>
      </c>
      <c r="CV292" s="30" t="n">
        <f aca="false">SUM(CV263:CV291)+Actuals!CW113</f>
        <v>-289194.570414536</v>
      </c>
      <c r="CW292" s="30" t="n">
        <f aca="false">SUM(CW263:CW291)+Actuals!CX113</f>
        <v>-237464.450759234</v>
      </c>
      <c r="CX292" s="30" t="n">
        <f aca="false">SUM(CX263:CX291)+Actuals!CY113</f>
        <v>-220017.601822827</v>
      </c>
      <c r="CY292" s="30" t="n">
        <f aca="false">SUM(CY263:CY291)+Actuals!CZ113</f>
        <v>-220017.601822827</v>
      </c>
      <c r="CZ292" s="30" t="n">
        <f aca="false">SUM(CZ263:CZ291)+Actuals!DA113</f>
        <v>-220017.601822827</v>
      </c>
      <c r="DA292" s="30" t="n">
        <f aca="false">SUM(DA263:DA291)+Actuals!DB113</f>
        <v>-220017.601822827</v>
      </c>
      <c r="DB292" s="30" t="n">
        <f aca="false">SUM(DB263:DB291)+Actuals!DC113</f>
        <v>-220017.601822827</v>
      </c>
      <c r="DC292" s="30" t="n">
        <f aca="false">SUM(DC263:DC291)+Actuals!DD113</f>
        <v>-220017.601822827</v>
      </c>
      <c r="DD292" s="30" t="n">
        <f aca="false">SUM(DD263:DD291)+Actuals!DE113</f>
        <v>-220017.601822827</v>
      </c>
      <c r="DE292" s="30" t="n">
        <f aca="false">SUM(DE263:DE291)+Actuals!DF113</f>
        <v>-220017.601822827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-154764.55</v>
      </c>
      <c r="K293" s="37" t="n">
        <f aca="false">K261+K292</f>
        <v>-154764.55</v>
      </c>
      <c r="L293" s="37" t="n">
        <f aca="false">L261+L292</f>
        <v>-164139.55</v>
      </c>
      <c r="M293" s="37" t="n">
        <f aca="false">M261+M292</f>
        <v>-160639.55</v>
      </c>
      <c r="N293" s="37" t="n">
        <f aca="false">N261+N292</f>
        <v>-158875.475263158</v>
      </c>
      <c r="O293" s="37" t="n">
        <f aca="false">O261+O292</f>
        <v>-155717.580526316</v>
      </c>
      <c r="P293" s="37" t="n">
        <f aca="false">P261+P292</f>
        <v>-155717.580526316</v>
      </c>
      <c r="Q293" s="37" t="n">
        <f aca="false">Q261+Q292</f>
        <v>-159283.612926316</v>
      </c>
      <c r="R293" s="37" t="n">
        <f aca="false">R261+R292</f>
        <v>-159283.612926316</v>
      </c>
      <c r="S293" s="37" t="n">
        <f aca="false">S261+S292</f>
        <v>-159283.612926316</v>
      </c>
      <c r="T293" s="37" t="n">
        <f aca="false">T261+T292</f>
        <v>-183189.862926316</v>
      </c>
      <c r="U293" s="37" t="n">
        <f aca="false">U261+U292</f>
        <v>-183189.862926316</v>
      </c>
      <c r="V293" s="37" t="n">
        <f aca="false">V261+V292</f>
        <v>-183189.862926316</v>
      </c>
      <c r="W293" s="37" t="n">
        <f aca="false">W261+W292</f>
        <v>-183189.862926316</v>
      </c>
      <c r="X293" s="37" t="n">
        <f aca="false">X261+X292</f>
        <v>-183189.862926316</v>
      </c>
      <c r="Y293" s="37" t="n">
        <f aca="false">Y261+Y292</f>
        <v>-125814.862926316</v>
      </c>
      <c r="Z293" s="37" t="n">
        <f aca="false">Z261+Z292</f>
        <v>-183189.862926316</v>
      </c>
      <c r="AA293" s="37" t="n">
        <f aca="false">AA261+AA292</f>
        <v>-183189.862926316</v>
      </c>
      <c r="AB293" s="37" t="n">
        <f aca="false">AB261+AB292</f>
        <v>-125814.862926316</v>
      </c>
      <c r="AC293" s="37" t="n">
        <f aca="false">AC261+AC292</f>
        <v>-186827.215974316</v>
      </c>
      <c r="AD293" s="37" t="n">
        <f aca="false">AD261+AD292</f>
        <v>-186827.215974316</v>
      </c>
      <c r="AE293" s="37" t="n">
        <f aca="false">AE261+AE292</f>
        <v>-129452.215974316</v>
      </c>
      <c r="AF293" s="37" t="n">
        <f aca="false">AF261+AF292</f>
        <v>-186827.215974316</v>
      </c>
      <c r="AG293" s="37" t="n">
        <f aca="false">AG261+AG292</f>
        <v>-189985.110711158</v>
      </c>
      <c r="AH293" s="37" t="n">
        <f aca="false">AH261+AH292</f>
        <v>-193143.005448</v>
      </c>
      <c r="AI293" s="37" t="n">
        <f aca="false">AI261+AI292</f>
        <v>-202643.005448</v>
      </c>
      <c r="AJ293" s="37" t="n">
        <f aca="false">AJ261+AJ292</f>
        <v>-202643.005448</v>
      </c>
      <c r="AK293" s="37" t="n">
        <f aca="false">AK261+AK292</f>
        <v>-202643.005448</v>
      </c>
      <c r="AL293" s="37" t="n">
        <f aca="false">AL261+AL292</f>
        <v>-202643.005448</v>
      </c>
      <c r="AM293" s="37" t="n">
        <f aca="false">AM261+AM292</f>
        <v>-202643.005448</v>
      </c>
      <c r="AN293" s="37" t="n">
        <f aca="false">AN261+AN292</f>
        <v>-202643.005448</v>
      </c>
      <c r="AO293" s="37" t="n">
        <f aca="false">AO261+AO292</f>
        <v>-206353.10555696</v>
      </c>
      <c r="AP293" s="37" t="n">
        <f aca="false">AP261+AP292</f>
        <v>-206353.10555696</v>
      </c>
      <c r="AQ293" s="37" t="n">
        <f aca="false">AQ261+AQ292</f>
        <v>-206353.10555696</v>
      </c>
      <c r="AR293" s="37" t="n">
        <f aca="false">AR261+AR292</f>
        <v>-206353.10555696</v>
      </c>
      <c r="AS293" s="37" t="n">
        <f aca="false">AS261+AS292</f>
        <v>-206353.10555696</v>
      </c>
      <c r="AT293" s="37" t="n">
        <f aca="false">AT261+AT292</f>
        <v>-206353.10555696</v>
      </c>
      <c r="AU293" s="37" t="n">
        <f aca="false">AU261+AU292</f>
        <v>-206353.10555696</v>
      </c>
      <c r="AV293" s="37" t="n">
        <f aca="false">AV261+AV292</f>
        <v>-206353.10555696</v>
      </c>
      <c r="AW293" s="37" t="n">
        <f aca="false">AW261+AW292</f>
        <v>-206353.10555696</v>
      </c>
      <c r="AX293" s="37" t="n">
        <f aca="false">AX261+AX292</f>
        <v>-206353.10555696</v>
      </c>
      <c r="AY293" s="37" t="n">
        <f aca="false">AY261+AY292</f>
        <v>-206353.10555696</v>
      </c>
      <c r="AZ293" s="37" t="n">
        <f aca="false">AZ261+AZ292</f>
        <v>-206353.10555696</v>
      </c>
      <c r="BA293" s="37" t="n">
        <f aca="false">BA261+BA292</f>
        <v>-210137.407668099</v>
      </c>
      <c r="BB293" s="37" t="n">
        <f aca="false">BB261+BB292</f>
        <v>-210137.407668099</v>
      </c>
      <c r="BC293" s="37" t="n">
        <f aca="false">BC261+BC292</f>
        <v>-210137.407668099</v>
      </c>
      <c r="BD293" s="37" t="n">
        <f aca="false">BD261+BD292</f>
        <v>-210137.407668099</v>
      </c>
      <c r="BE293" s="37" t="n">
        <f aca="false">BE261+BE292</f>
        <v>-210137.407668099</v>
      </c>
      <c r="BF293" s="37" t="n">
        <f aca="false">BF261+BF292</f>
        <v>-210137.407668099</v>
      </c>
      <c r="BG293" s="37" t="n">
        <f aca="false">BG261+BG292</f>
        <v>-210137.407668099</v>
      </c>
      <c r="BH293" s="37" t="n">
        <f aca="false">BH261+BH292</f>
        <v>-210137.407668099</v>
      </c>
      <c r="BI293" s="37" t="n">
        <f aca="false">BI261+BI292</f>
        <v>-210137.407668099</v>
      </c>
      <c r="BJ293" s="37" t="n">
        <f aca="false">BJ261+BJ292</f>
        <v>-210137.407668099</v>
      </c>
      <c r="BK293" s="37" t="n">
        <f aca="false">BK261+BK292</f>
        <v>-210137.407668099</v>
      </c>
      <c r="BL293" s="37" t="n">
        <f aca="false">BL261+BL292</f>
        <v>-210137.407668099</v>
      </c>
      <c r="BM293" s="37" t="n">
        <f aca="false">BM261+BM292</f>
        <v>-213997.395821461</v>
      </c>
      <c r="BN293" s="37" t="n">
        <f aca="false">BN261+BN292</f>
        <v>-213997.395821461</v>
      </c>
      <c r="BO293" s="37" t="n">
        <f aca="false">BO261+BO292</f>
        <v>-213997.395821461</v>
      </c>
      <c r="BP293" s="37" t="n">
        <f aca="false">BP261+BP292</f>
        <v>-213997.395821461</v>
      </c>
      <c r="BQ293" s="37" t="n">
        <f aca="false">BQ261+BQ292</f>
        <v>-213997.395821461</v>
      </c>
      <c r="BR293" s="37" t="n">
        <f aca="false">BR261+BR292</f>
        <v>-160747.045821461</v>
      </c>
      <c r="BS293" s="37" t="n">
        <f aca="false">BS261+BS292</f>
        <v>-213997.395821461</v>
      </c>
      <c r="BT293" s="37" t="n">
        <f aca="false">BT261+BT292</f>
        <v>-213997.395821461</v>
      </c>
      <c r="BU293" s="37" t="n">
        <f aca="false">BU261+BU292</f>
        <v>-146235.395821461</v>
      </c>
      <c r="BV293" s="37" t="n">
        <f aca="false">BV261+BV292</f>
        <v>-213997.395821461</v>
      </c>
      <c r="BW293" s="37" t="n">
        <f aca="false">BW261+BW292</f>
        <v>-213997.395821461</v>
      </c>
      <c r="BX293" s="37" t="n">
        <f aca="false">BX261+BX292</f>
        <v>-146235.395821461</v>
      </c>
      <c r="BY293" s="37" t="n">
        <f aca="false">BY261+BY292</f>
        <v>-217934.58373789</v>
      </c>
      <c r="BZ293" s="37" t="n">
        <f aca="false">BZ261+BZ292</f>
        <v>-217934.58373789</v>
      </c>
      <c r="CA293" s="37" t="n">
        <f aca="false">CA261+CA292</f>
        <v>-150172.58373789</v>
      </c>
      <c r="CB293" s="37" t="n">
        <f aca="false">CB261+CB292</f>
        <v>-217934.58373789</v>
      </c>
      <c r="CC293" s="37" t="n">
        <f aca="false">CC261+CC292</f>
        <v>-217934.58373789</v>
      </c>
      <c r="CD293" s="37" t="n">
        <f aca="false">CD261+CD292</f>
        <v>-141435.58373789</v>
      </c>
      <c r="CE293" s="37" t="n">
        <f aca="false">CE261+CE292</f>
        <v>-217934.58373789</v>
      </c>
      <c r="CF293" s="37" t="n">
        <f aca="false">CF261+CF292</f>
        <v>-217934.58373789</v>
      </c>
      <c r="CG293" s="37" t="n">
        <f aca="false">CG261+CG292</f>
        <v>-141435.58373789</v>
      </c>
      <c r="CH293" s="37" t="n">
        <f aca="false">CH261+CH292</f>
        <v>-217934.58373789</v>
      </c>
      <c r="CI293" s="37" t="n">
        <f aca="false">CI261+CI292</f>
        <v>-217934.58373789</v>
      </c>
      <c r="CJ293" s="37" t="n">
        <f aca="false">CJ261+CJ292</f>
        <v>-134827.557131411</v>
      </c>
      <c r="CK293" s="37" t="n">
        <f aca="false">CK261+CK292</f>
        <v>-64089.5154126482</v>
      </c>
      <c r="CL293" s="37" t="n">
        <f aca="false">CL261+CL292</f>
        <v>-64089.5154126482</v>
      </c>
      <c r="CM293" s="37" t="n">
        <f aca="false">CM261+CM292</f>
        <v>-64089.5154126482</v>
      </c>
      <c r="CN293" s="37" t="n">
        <f aca="false">CN261+CN292</f>
        <v>-64089.5154126482</v>
      </c>
      <c r="CO293" s="37" t="n">
        <f aca="false">CO261+CO292</f>
        <v>-64089.5154126482</v>
      </c>
      <c r="CP293" s="37" t="n">
        <f aca="false">CP261+CP292</f>
        <v>-64089.5154126482</v>
      </c>
      <c r="CQ293" s="37" t="n">
        <f aca="false">CQ261+CQ292</f>
        <v>-64089.5154126482</v>
      </c>
      <c r="CR293" s="37" t="n">
        <f aca="false">CR261+CR292</f>
        <v>-64089.5154126482</v>
      </c>
      <c r="CS293" s="37" t="n">
        <f aca="false">CS261+CS292</f>
        <v>-64089.5154126482</v>
      </c>
      <c r="CT293" s="37" t="n">
        <f aca="false">CT261+CT292</f>
        <v>-58178.5704145363</v>
      </c>
      <c r="CU293" s="37" t="n">
        <f aca="false">CU261+CU292</f>
        <v>-58178.5704145363</v>
      </c>
      <c r="CV293" s="37" t="n">
        <f aca="false">CV261+CV292</f>
        <v>-58178.5704145363</v>
      </c>
      <c r="CW293" s="37" t="n">
        <f aca="false">CW261+CW292</f>
        <v>-6448.4507592342</v>
      </c>
      <c r="CX293" s="37" t="n">
        <f aca="false">CX261+CX292</f>
        <v>10998.398177173</v>
      </c>
      <c r="CY293" s="37" t="n">
        <f aca="false">CY261+CY292</f>
        <v>10998.398177173</v>
      </c>
      <c r="CZ293" s="37" t="n">
        <f aca="false">CZ261+CZ292</f>
        <v>10998.398177173</v>
      </c>
      <c r="DA293" s="37" t="n">
        <f aca="false">DA261+DA292</f>
        <v>10998.398177173</v>
      </c>
      <c r="DB293" s="37" t="n">
        <f aca="false">DB261+DB292</f>
        <v>10998.398177173</v>
      </c>
      <c r="DC293" s="37" t="n">
        <f aca="false">DC261+DC292</f>
        <v>10998.398177173</v>
      </c>
      <c r="DD293" s="37" t="n">
        <f aca="false">DD261+DD292</f>
        <v>10998.398177173</v>
      </c>
      <c r="DE293" s="37" t="n">
        <f aca="false">DE261+DE292</f>
        <v>10998.398177173</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319.937883333334</v>
      </c>
      <c r="K295" s="21" t="n">
        <f aca="false">IF(AND('APA Inputs'!$B$3="Yes",K$4&lt;&gt;"Actuals"),'APA Schedule'!K22,0)</f>
        <v>319.937883333334</v>
      </c>
      <c r="L295" s="21" t="n">
        <f aca="false">IF(AND('APA Inputs'!$B$3="Yes",L$4&lt;&gt;"Actuals"),'APA Schedule'!L22,0)</f>
        <v>319.937883333334</v>
      </c>
      <c r="M295" s="21" t="n">
        <f aca="false">IF(AND('APA Inputs'!$B$3="Yes",M$4&lt;&gt;"Actuals"),'APA Schedule'!M22,0)</f>
        <v>319.937883333334</v>
      </c>
      <c r="N295" s="21" t="n">
        <f aca="false">IF(AND('APA Inputs'!$B$3="Yes",N$4&lt;&gt;"Actuals"),'APA Schedule'!N22,0)</f>
        <v>10875.8597981481</v>
      </c>
      <c r="O295" s="21" t="n">
        <f aca="false">IF(AND('APA Inputs'!$B$3="Yes",O$4&lt;&gt;"Actuals"),'APA Schedule'!O22,0)</f>
        <v>10875.8597981481</v>
      </c>
      <c r="P295" s="21" t="n">
        <f aca="false">IF(AND('APA Inputs'!$B$3="Yes",P$4&lt;&gt;"Actuals"),'APA Schedule'!P22,0)</f>
        <v>11675.7053311481</v>
      </c>
      <c r="Q295" s="21" t="n">
        <f aca="false">IF(AND('APA Inputs'!$B$3="Yes",Q$4&lt;&gt;"Actuals"),'APA Schedule'!Q22,0)</f>
        <v>10875.8597981481</v>
      </c>
      <c r="R295" s="21" t="n">
        <f aca="false">IF(AND('APA Inputs'!$B$3="Yes",R$4&lt;&gt;"Actuals"),'APA Schedule'!R22,0)</f>
        <v>10875.8597981481</v>
      </c>
      <c r="S295" s="21" t="n">
        <f aca="false">IF(AND('APA Inputs'!$B$3="Yes",S$4&lt;&gt;"Actuals"),'APA Schedule'!S22,0)</f>
        <v>10875.8597981481</v>
      </c>
      <c r="T295" s="21" t="n">
        <f aca="false">IF(AND('APA Inputs'!$B$3="Yes",T$4&lt;&gt;"Actuals"),'APA Schedule'!T22,0)</f>
        <v>10875.8597981481</v>
      </c>
      <c r="U295" s="21" t="n">
        <f aca="false">IF(AND('APA Inputs'!$B$3="Yes",U$4&lt;&gt;"Actuals"),'APA Schedule'!U22,0)</f>
        <v>10875.8597981481</v>
      </c>
      <c r="V295" s="21" t="n">
        <f aca="false">IF(AND('APA Inputs'!$B$3="Yes",V$4&lt;&gt;"Actuals"),'APA Schedule'!V22,0)</f>
        <v>10875.8597981481</v>
      </c>
      <c r="W295" s="21" t="n">
        <f aca="false">IF(AND('APA Inputs'!$B$3="Yes",W$4&lt;&gt;"Actuals"),'APA Schedule'!W22,0)</f>
        <v>10875.8597981481</v>
      </c>
      <c r="X295" s="21" t="n">
        <f aca="false">IF(AND('APA Inputs'!$B$3="Yes",X$4&lt;&gt;"Actuals"),'APA Schedule'!X22,0)</f>
        <v>10875.8597981481</v>
      </c>
      <c r="Y295" s="21" t="n">
        <f aca="false">IF(AND('APA Inputs'!$B$3="Yes",Y$4&lt;&gt;"Actuals"),'APA Schedule'!Y22,0)</f>
        <v>10875.8597981481</v>
      </c>
      <c r="Z295" s="21" t="n">
        <f aca="false">IF(AND('APA Inputs'!$B$3="Yes",Z$4&lt;&gt;"Actuals"),'APA Schedule'!Z22,0)</f>
        <v>10445.2527435185</v>
      </c>
      <c r="AA295" s="21" t="n">
        <f aca="false">IF(AND('APA Inputs'!$B$3="Yes",AA$4&lt;&gt;"Actuals"),'APA Schedule'!AA22,0)</f>
        <v>10445.2527435185</v>
      </c>
      <c r="AB295" s="21" t="n">
        <f aca="false">IF(AND('APA Inputs'!$B$3="Yes",AB$4&lt;&gt;"Actuals"),'APA Schedule'!AB22,0)</f>
        <v>15788.245625418</v>
      </c>
      <c r="AC295" s="21" t="n">
        <f aca="false">IF(AND('APA Inputs'!$B$3="Yes",AC$4&lt;&gt;"Actuals"),'APA Schedule'!AC22,0)</f>
        <v>10445.2527435185</v>
      </c>
      <c r="AD295" s="21" t="n">
        <f aca="false">IF(AND('APA Inputs'!$B$3="Yes",AD$4&lt;&gt;"Actuals"),'APA Schedule'!AD22,0)</f>
        <v>10445.2527435185</v>
      </c>
      <c r="AE295" s="21" t="n">
        <f aca="false">IF(AND('APA Inputs'!$B$3="Yes",AE$4&lt;&gt;"Actuals"),'APA Schedule'!AE22,0)</f>
        <v>10445.2527435185</v>
      </c>
      <c r="AF295" s="21" t="n">
        <f aca="false">IF(AND('APA Inputs'!$B$3="Yes",AF$4&lt;&gt;"Actuals"),'APA Schedule'!AF22,0)</f>
        <v>10445.2527435185</v>
      </c>
      <c r="AG295" s="21" t="n">
        <f aca="false">IF(AND('APA Inputs'!$B$3="Yes",AG$4&lt;&gt;"Actuals"),'APA Schedule'!AG22,0)</f>
        <v>10445.2527435185</v>
      </c>
      <c r="AH295" s="21" t="n">
        <f aca="false">IF(AND('APA Inputs'!$B$3="Yes",AH$4&lt;&gt;"Actuals"),'APA Schedule'!AH22,0)</f>
        <v>10445.2527435185</v>
      </c>
      <c r="AI295" s="21" t="n">
        <f aca="false">IF(AND('APA Inputs'!$B$3="Yes",AI$4&lt;&gt;"Actuals"),'APA Schedule'!AI22,0)</f>
        <v>10445.2527435185</v>
      </c>
      <c r="AJ295" s="21" t="n">
        <f aca="false">IF(AND('APA Inputs'!$B$3="Yes",AJ$4&lt;&gt;"Actuals"),'APA Schedule'!AJ22,0)</f>
        <v>10445.2527435185</v>
      </c>
      <c r="AK295" s="21" t="n">
        <f aca="false">IF(AND('APA Inputs'!$B$3="Yes",AK$4&lt;&gt;"Actuals"),'APA Schedule'!AK22,0)</f>
        <v>10445.2527435185</v>
      </c>
      <c r="AL295" s="21" t="n">
        <f aca="false">IF(AND('APA Inputs'!$B$3="Yes",AL$4&lt;&gt;"Actuals"),'APA Schedule'!AL22,0)</f>
        <v>0</v>
      </c>
      <c r="AM295" s="21" t="n">
        <f aca="false">IF(AND('APA Inputs'!$B$3="Yes",AM$4&lt;&gt;"Actuals"),'APA Schedule'!AM22,0)</f>
        <v>0</v>
      </c>
      <c r="AN295" s="21" t="n">
        <f aca="false">IF(AND('APA Inputs'!$B$3="Yes",AN$4&lt;&gt;"Actuals"),'APA Schedule'!AN22,0)</f>
        <v>5584.27117921855</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141</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319.937883333334</v>
      </c>
      <c r="K297" s="37" t="n">
        <f aca="false">K295+K296</f>
        <v>319.937883333334</v>
      </c>
      <c r="L297" s="37" t="n">
        <f aca="false">L295+L296</f>
        <v>319.937883333334</v>
      </c>
      <c r="M297" s="37" t="n">
        <f aca="false">M295+M296</f>
        <v>319.937883333334</v>
      </c>
      <c r="N297" s="37" t="n">
        <f aca="false">N295+N296</f>
        <v>10875.8597981481</v>
      </c>
      <c r="O297" s="37" t="n">
        <f aca="false">O295+O296</f>
        <v>10875.8597981481</v>
      </c>
      <c r="P297" s="37" t="n">
        <f aca="false">P295+P296</f>
        <v>11675.7053311481</v>
      </c>
      <c r="Q297" s="37" t="n">
        <f aca="false">Q295+Q296</f>
        <v>10875.8597981481</v>
      </c>
      <c r="R297" s="37" t="n">
        <f aca="false">R295+R296</f>
        <v>10875.8597981481</v>
      </c>
      <c r="S297" s="37" t="n">
        <f aca="false">S295+S296</f>
        <v>10875.8597981481</v>
      </c>
      <c r="T297" s="37" t="n">
        <f aca="false">T295+T296</f>
        <v>10875.8597981481</v>
      </c>
      <c r="U297" s="37" t="n">
        <f aca="false">U295+U296</f>
        <v>10875.8597981481</v>
      </c>
      <c r="V297" s="37" t="n">
        <f aca="false">V295+V296</f>
        <v>10875.8597981481</v>
      </c>
      <c r="W297" s="37" t="n">
        <f aca="false">W295+W296</f>
        <v>10875.8597981481</v>
      </c>
      <c r="X297" s="37" t="n">
        <f aca="false">X295+X296</f>
        <v>10875.8597981481</v>
      </c>
      <c r="Y297" s="37" t="n">
        <f aca="false">Y295+Y296</f>
        <v>10875.8597981481</v>
      </c>
      <c r="Z297" s="37" t="n">
        <f aca="false">Z295+Z296</f>
        <v>10445.2527435185</v>
      </c>
      <c r="AA297" s="37" t="n">
        <f aca="false">AA295+AA296</f>
        <v>10445.2527435185</v>
      </c>
      <c r="AB297" s="37" t="n">
        <f aca="false">AB295+AB296</f>
        <v>15788.245625418</v>
      </c>
      <c r="AC297" s="37" t="n">
        <f aca="false">AC295+AC296</f>
        <v>10445.2527435185</v>
      </c>
      <c r="AD297" s="37" t="n">
        <f aca="false">AD295+AD296</f>
        <v>10445.2527435185</v>
      </c>
      <c r="AE297" s="37" t="n">
        <f aca="false">AE295+AE296</f>
        <v>10445.2527435185</v>
      </c>
      <c r="AF297" s="37" t="n">
        <f aca="false">AF295+AF296</f>
        <v>10445.2527435185</v>
      </c>
      <c r="AG297" s="37" t="n">
        <f aca="false">AG295+AG296</f>
        <v>10445.2527435185</v>
      </c>
      <c r="AH297" s="37" t="n">
        <f aca="false">AH295+AH296</f>
        <v>10445.2527435185</v>
      </c>
      <c r="AI297" s="37" t="n">
        <f aca="false">AI295+AI296</f>
        <v>10445.2527435185</v>
      </c>
      <c r="AJ297" s="37" t="n">
        <f aca="false">AJ295+AJ296</f>
        <v>10445.2527435185</v>
      </c>
      <c r="AK297" s="37" t="n">
        <f aca="false">AK295+AK296</f>
        <v>10445.2527435185</v>
      </c>
      <c r="AL297" s="37" t="n">
        <f aca="false">AL295+AL296</f>
        <v>0</v>
      </c>
      <c r="AM297" s="37" t="n">
        <f aca="false">AM295+AM296</f>
        <v>0</v>
      </c>
      <c r="AN297" s="37" t="n">
        <f aca="false">AN295+AN296</f>
        <v>5584.27117921855</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143</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319.937883333334</v>
      </c>
      <c r="K298" s="37" t="n">
        <f aca="false">K297</f>
        <v>319.937883333334</v>
      </c>
      <c r="L298" s="37" t="n">
        <f aca="false">L297</f>
        <v>319.937883333334</v>
      </c>
      <c r="M298" s="37" t="n">
        <f aca="false">M297</f>
        <v>319.937883333334</v>
      </c>
      <c r="N298" s="37" t="n">
        <f aca="false">N297</f>
        <v>10875.8597981481</v>
      </c>
      <c r="O298" s="37" t="n">
        <f aca="false">O297</f>
        <v>10875.8597981481</v>
      </c>
      <c r="P298" s="37" t="n">
        <f aca="false">P297</f>
        <v>11675.7053311481</v>
      </c>
      <c r="Q298" s="37" t="n">
        <f aca="false">Q297</f>
        <v>10875.8597981481</v>
      </c>
      <c r="R298" s="37" t="n">
        <f aca="false">R297</f>
        <v>10875.8597981481</v>
      </c>
      <c r="S298" s="37" t="n">
        <f aca="false">S297</f>
        <v>10875.8597981481</v>
      </c>
      <c r="T298" s="37" t="n">
        <f aca="false">T297</f>
        <v>10875.8597981481</v>
      </c>
      <c r="U298" s="37" t="n">
        <f aca="false">U297</f>
        <v>10875.8597981481</v>
      </c>
      <c r="V298" s="37" t="n">
        <f aca="false">V297</f>
        <v>10875.8597981481</v>
      </c>
      <c r="W298" s="37" t="n">
        <f aca="false">W297</f>
        <v>10875.8597981481</v>
      </c>
      <c r="X298" s="37" t="n">
        <f aca="false">X297</f>
        <v>10875.8597981481</v>
      </c>
      <c r="Y298" s="37" t="n">
        <f aca="false">Y297</f>
        <v>10875.8597981481</v>
      </c>
      <c r="Z298" s="37" t="n">
        <f aca="false">Z297</f>
        <v>10445.2527435185</v>
      </c>
      <c r="AA298" s="37" t="n">
        <f aca="false">AA297</f>
        <v>10445.2527435185</v>
      </c>
      <c r="AB298" s="37" t="n">
        <f aca="false">AB297</f>
        <v>15788.245625418</v>
      </c>
      <c r="AC298" s="37" t="n">
        <f aca="false">AC297</f>
        <v>10445.2527435185</v>
      </c>
      <c r="AD298" s="37" t="n">
        <f aca="false">AD297</f>
        <v>10445.2527435185</v>
      </c>
      <c r="AE298" s="37" t="n">
        <f aca="false">AE297</f>
        <v>10445.2527435185</v>
      </c>
      <c r="AF298" s="37" t="n">
        <f aca="false">AF297</f>
        <v>10445.2527435185</v>
      </c>
      <c r="AG298" s="37" t="n">
        <f aca="false">AG297</f>
        <v>10445.2527435185</v>
      </c>
      <c r="AH298" s="37" t="n">
        <f aca="false">AH297</f>
        <v>10445.2527435185</v>
      </c>
      <c r="AI298" s="37" t="n">
        <f aca="false">AI297</f>
        <v>10445.2527435185</v>
      </c>
      <c r="AJ298" s="37" t="n">
        <f aca="false">AJ297</f>
        <v>10445.2527435185</v>
      </c>
      <c r="AK298" s="37" t="n">
        <f aca="false">AK297</f>
        <v>10445.2527435185</v>
      </c>
      <c r="AL298" s="37" t="n">
        <f aca="false">AL297</f>
        <v>0</v>
      </c>
      <c r="AM298" s="37" t="n">
        <f aca="false">AM297</f>
        <v>0</v>
      </c>
      <c r="AN298" s="37" t="n">
        <f aca="false">AN297</f>
        <v>5584.27117921855</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144</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145</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-132141.505125</v>
      </c>
      <c r="J302" s="13" t="n">
        <f aca="false">J199</f>
        <v>702607.028396964</v>
      </c>
      <c r="K302" s="13" t="n">
        <f aca="false">K199</f>
        <v>770495.389718767</v>
      </c>
      <c r="L302" s="13" t="n">
        <f aca="false">L199</f>
        <v>609302.628116041</v>
      </c>
      <c r="M302" s="13" t="n">
        <f aca="false">M199</f>
        <v>279259.311435549</v>
      </c>
      <c r="N302" s="13" t="n">
        <f aca="false">N199</f>
        <v>906473.093942704</v>
      </c>
      <c r="O302" s="13" t="n">
        <f aca="false">O199</f>
        <v>817258.570423652</v>
      </c>
      <c r="P302" s="13" t="n">
        <f aca="false">P199</f>
        <v>838082.060423654</v>
      </c>
      <c r="Q302" s="13" t="n">
        <f aca="false">Q199</f>
        <v>571021.255582368</v>
      </c>
      <c r="R302" s="13" t="n">
        <f aca="false">R199</f>
        <v>712629.063746591</v>
      </c>
      <c r="S302" s="13" t="n">
        <f aca="false">S199</f>
        <v>273246.202939276</v>
      </c>
      <c r="T302" s="13" t="n">
        <f aca="false">T199</f>
        <v>1152427.4636043</v>
      </c>
      <c r="U302" s="13" t="n">
        <f aca="false">U199</f>
        <v>1046698.1736043</v>
      </c>
      <c r="V302" s="13" t="n">
        <f aca="false">V199</f>
        <v>958878.372322348</v>
      </c>
      <c r="W302" s="13" t="n">
        <f aca="false">W199</f>
        <v>938796.902146981</v>
      </c>
      <c r="X302" s="13" t="n">
        <f aca="false">X199</f>
        <v>1356305.71800905</v>
      </c>
      <c r="Y302" s="13" t="n">
        <f aca="false">Y199</f>
        <v>1194544.89800905</v>
      </c>
      <c r="Z302" s="13" t="n">
        <f aca="false">Z199</f>
        <v>1320891.07800905</v>
      </c>
      <c r="AA302" s="13" t="n">
        <f aca="false">AA199</f>
        <v>1350129.73137019</v>
      </c>
      <c r="AB302" s="13" t="n">
        <f aca="false">AB199</f>
        <v>1163798.00926969</v>
      </c>
      <c r="AC302" s="13" t="n">
        <f aca="false">AC199</f>
        <v>935072.540026132</v>
      </c>
      <c r="AD302" s="13" t="n">
        <f aca="false">AD199</f>
        <v>958022.450026133</v>
      </c>
      <c r="AE302" s="13" t="n">
        <f aca="false">AE199</f>
        <v>373740.757939015</v>
      </c>
      <c r="AF302" s="13" t="n">
        <f aca="false">AF199</f>
        <v>1265546.30761333</v>
      </c>
      <c r="AG302" s="13" t="n">
        <f aca="false">AG199</f>
        <v>1201055.93065698</v>
      </c>
      <c r="AH302" s="13" t="n">
        <f aca="false">AH199</f>
        <v>1177316.96533183</v>
      </c>
      <c r="AI302" s="13" t="n">
        <f aca="false">AI199</f>
        <v>938966.137967398</v>
      </c>
      <c r="AJ302" s="13" t="n">
        <f aca="false">AJ199</f>
        <v>1013788.1869309</v>
      </c>
      <c r="AK302" s="13" t="n">
        <f aca="false">AK199</f>
        <v>620551.869330513</v>
      </c>
      <c r="AL302" s="13" t="n">
        <f aca="false">AL199</f>
        <v>634861.939330514</v>
      </c>
      <c r="AM302" s="13" t="n">
        <f aca="false">AM199</f>
        <v>646743.719330514</v>
      </c>
      <c r="AN302" s="13" t="n">
        <f aca="false">AN199</f>
        <v>623856.931435263</v>
      </c>
      <c r="AO302" s="13" t="n">
        <f aca="false">AO199</f>
        <v>495241.749525764</v>
      </c>
      <c r="AP302" s="13" t="n">
        <f aca="false">AP199</f>
        <v>330233.844925763</v>
      </c>
      <c r="AQ302" s="13" t="n">
        <f aca="false">AQ199</f>
        <v>330233.844925763</v>
      </c>
      <c r="AR302" s="13" t="n">
        <f aca="false">AR199</f>
        <v>330233.844925763</v>
      </c>
      <c r="AS302" s="13" t="n">
        <f aca="false">AS199</f>
        <v>330233.844925763</v>
      </c>
      <c r="AT302" s="13" t="n">
        <f aca="false">AT199</f>
        <v>330233.844925763</v>
      </c>
      <c r="AU302" s="13" t="n">
        <f aca="false">AU199</f>
        <v>330233.844925764</v>
      </c>
      <c r="AV302" s="13" t="n">
        <f aca="false">AV199</f>
        <v>602719.430279263</v>
      </c>
      <c r="AW302" s="13" t="n">
        <f aca="false">AW199</f>
        <v>157659.640868547</v>
      </c>
      <c r="AX302" s="13" t="n">
        <f aca="false">AX199</f>
        <v>157659.640868547</v>
      </c>
      <c r="AY302" s="13" t="n">
        <f aca="false">AY199</f>
        <v>157659.640868547</v>
      </c>
      <c r="AZ302" s="13" t="n">
        <f aca="false">AZ199</f>
        <v>157659.640868547</v>
      </c>
      <c r="BA302" s="13" t="n">
        <f aca="false">BA199</f>
        <v>157659.640868547</v>
      </c>
      <c r="BB302" s="13" t="n">
        <f aca="false">BB199</f>
        <v>157659.640868547</v>
      </c>
      <c r="BC302" s="13" t="n">
        <f aca="false">BC199</f>
        <v>157659.640868547</v>
      </c>
      <c r="BD302" s="13" t="n">
        <f aca="false">BD199</f>
        <v>157659.640868547</v>
      </c>
      <c r="BE302" s="13" t="n">
        <f aca="false">BE199</f>
        <v>157659.640868547</v>
      </c>
      <c r="BF302" s="13" t="n">
        <f aca="false">BF199</f>
        <v>157659.640868547</v>
      </c>
      <c r="BG302" s="13" t="n">
        <f aca="false">BG199</f>
        <v>157659.640868547</v>
      </c>
      <c r="BH302" s="13" t="n">
        <f aca="false">BH199</f>
        <v>406595.915924147</v>
      </c>
      <c r="BI302" s="13" t="n">
        <f aca="false">BI199</f>
        <v>0</v>
      </c>
      <c r="BJ302" s="13" t="n">
        <f aca="false">BJ199</f>
        <v>0</v>
      </c>
      <c r="BK302" s="13" t="n">
        <f aca="false">BK199</f>
        <v>0</v>
      </c>
      <c r="BL302" s="13" t="n">
        <f aca="false">BL199</f>
        <v>0</v>
      </c>
      <c r="BM302" s="13" t="n">
        <f aca="false">BM199</f>
        <v>0</v>
      </c>
      <c r="BN302" s="13" t="n">
        <f aca="false">BN199</f>
        <v>0</v>
      </c>
      <c r="BO302" s="13" t="n">
        <f aca="false">BO199</f>
        <v>0</v>
      </c>
      <c r="BP302" s="13" t="n">
        <f aca="false">BP199</f>
        <v>0</v>
      </c>
      <c r="BQ302" s="13" t="n">
        <f aca="false">BQ199</f>
        <v>0</v>
      </c>
      <c r="BR302" s="13" t="n">
        <f aca="false">BR199</f>
        <v>0</v>
      </c>
      <c r="BS302" s="13" t="n">
        <f aca="false">BS199</f>
        <v>0</v>
      </c>
      <c r="BT302" s="13" t="n">
        <f aca="false">BT199</f>
        <v>0</v>
      </c>
      <c r="BU302" s="13" t="n">
        <f aca="false">BU199</f>
        <v>0</v>
      </c>
      <c r="BV302" s="13" t="n">
        <f aca="false">BV199</f>
        <v>0</v>
      </c>
      <c r="BW302" s="13" t="n">
        <f aca="false">BW199</f>
        <v>0</v>
      </c>
      <c r="BX302" s="13" t="n">
        <f aca="false">BX199</f>
        <v>0</v>
      </c>
      <c r="BY302" s="13" t="n">
        <f aca="false">BY199</f>
        <v>0</v>
      </c>
      <c r="BZ302" s="13" t="n">
        <f aca="false">BZ199</f>
        <v>0</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34114.58</v>
      </c>
      <c r="H303" s="13" t="n">
        <f aca="false">H261</f>
        <v>78114.58</v>
      </c>
      <c r="I303" s="13" t="n">
        <f aca="false">I261</f>
        <v>180628.58</v>
      </c>
      <c r="J303" s="13" t="n">
        <f aca="false">J261</f>
        <v>42781.25</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215558</v>
      </c>
      <c r="CB303" s="13" t="n">
        <f aca="false">CB261</f>
        <v>0</v>
      </c>
      <c r="CC303" s="13" t="n">
        <f aca="false">CC261</f>
        <v>0</v>
      </c>
      <c r="CD303" s="13" t="n">
        <f aca="false">CD261</f>
        <v>231017</v>
      </c>
      <c r="CE303" s="13" t="n">
        <f aca="false">CE261</f>
        <v>0</v>
      </c>
      <c r="CF303" s="13" t="n">
        <f aca="false">CF261</f>
        <v>0</v>
      </c>
      <c r="CG303" s="13" t="n">
        <f aca="false">CG261</f>
        <v>231016</v>
      </c>
      <c r="CH303" s="13" t="n">
        <f aca="false">CH261</f>
        <v>0</v>
      </c>
      <c r="CI303" s="13" t="n">
        <f aca="false">CI261</f>
        <v>0</v>
      </c>
      <c r="CJ303" s="13" t="n">
        <f aca="false">CJ261</f>
        <v>231016</v>
      </c>
      <c r="CK303" s="13" t="n">
        <f aca="false">CK261</f>
        <v>231016</v>
      </c>
      <c r="CL303" s="13" t="n">
        <f aca="false">CL261</f>
        <v>231016</v>
      </c>
      <c r="CM303" s="13" t="n">
        <f aca="false">CM261</f>
        <v>231016</v>
      </c>
      <c r="CN303" s="13" t="n">
        <f aca="false">CN261</f>
        <v>231016</v>
      </c>
      <c r="CO303" s="13" t="n">
        <f aca="false">CO261</f>
        <v>231016</v>
      </c>
      <c r="CP303" s="13" t="n">
        <f aca="false">CP261</f>
        <v>231016</v>
      </c>
      <c r="CQ303" s="13" t="n">
        <f aca="false">CQ261</f>
        <v>231016</v>
      </c>
      <c r="CR303" s="13" t="n">
        <f aca="false">CR261</f>
        <v>231016</v>
      </c>
      <c r="CS303" s="13" t="n">
        <f aca="false">CS261</f>
        <v>231016</v>
      </c>
      <c r="CT303" s="13" t="n">
        <f aca="false">CT261</f>
        <v>231016</v>
      </c>
      <c r="CU303" s="13" t="n">
        <f aca="false">CU261</f>
        <v>231016</v>
      </c>
      <c r="CV303" s="13" t="n">
        <f aca="false">CV261</f>
        <v>231016</v>
      </c>
      <c r="CW303" s="13" t="n">
        <f aca="false">CW261</f>
        <v>231016</v>
      </c>
      <c r="CX303" s="13" t="n">
        <f aca="false">CX261</f>
        <v>231016</v>
      </c>
      <c r="CY303" s="13" t="n">
        <f aca="false">CY261</f>
        <v>231016</v>
      </c>
      <c r="CZ303" s="13" t="n">
        <f aca="false">CZ261</f>
        <v>231016</v>
      </c>
      <c r="DA303" s="13" t="n">
        <f aca="false">DA261</f>
        <v>231016</v>
      </c>
      <c r="DB303" s="13" t="n">
        <f aca="false">DB261</f>
        <v>231016</v>
      </c>
      <c r="DC303" s="13" t="n">
        <f aca="false">DC261</f>
        <v>231016</v>
      </c>
      <c r="DD303" s="13" t="n">
        <f aca="false">DD261</f>
        <v>231016</v>
      </c>
      <c r="DE303" s="13" t="n">
        <f aca="false">DE261</f>
        <v>231016</v>
      </c>
    </row>
    <row r="304" customFormat="false" ht="15" hidden="false" customHeight="true" outlineLevel="0" collapsed="false">
      <c r="A304" s="41" t="s">
        <v>146</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675465.71</v>
      </c>
      <c r="H304" s="30" t="n">
        <f aca="false">H302+H303+H295</f>
        <v>1844764.09</v>
      </c>
      <c r="I304" s="30" t="n">
        <f aca="false">I302+I303+I295</f>
        <v>48487.0748749996</v>
      </c>
      <c r="J304" s="30" t="n">
        <f aca="false">J302+J303+J295</f>
        <v>745708.216280297</v>
      </c>
      <c r="K304" s="30" t="n">
        <f aca="false">K302+K303+K295</f>
        <v>813596.577602101</v>
      </c>
      <c r="L304" s="30" t="n">
        <f aca="false">L302+L303+L295</f>
        <v>643028.815999374</v>
      </c>
      <c r="M304" s="30" t="n">
        <f aca="false">M302+M303+M295</f>
        <v>312985.499318882</v>
      </c>
      <c r="N304" s="30" t="n">
        <f aca="false">N302+N303+N295</f>
        <v>953913.098477694</v>
      </c>
      <c r="O304" s="30" t="n">
        <f aca="false">O302+O303+O295</f>
        <v>867856.469695485</v>
      </c>
      <c r="P304" s="30" t="n">
        <f aca="false">P302+P303+P295</f>
        <v>889479.805228486</v>
      </c>
      <c r="Q304" s="30" t="n">
        <f aca="false">Q302+Q303+Q295</f>
        <v>621619.1548542</v>
      </c>
      <c r="R304" s="30" t="n">
        <f aca="false">R302+R303+R295</f>
        <v>763226.963018424</v>
      </c>
      <c r="S304" s="30" t="n">
        <f aca="false">S302+S303+S295</f>
        <v>323844.102211109</v>
      </c>
      <c r="T304" s="30" t="n">
        <f aca="false">T302+T303+T295</f>
        <v>1179119.11287613</v>
      </c>
      <c r="U304" s="30" t="n">
        <f aca="false">U302+U303+U295</f>
        <v>1073389.82287613</v>
      </c>
      <c r="V304" s="30" t="n">
        <f aca="false">V302+V303+V295</f>
        <v>985570.021594181</v>
      </c>
      <c r="W304" s="30" t="n">
        <f aca="false">W302+W303+W295</f>
        <v>965488.551418813</v>
      </c>
      <c r="X304" s="30" t="n">
        <f aca="false">X302+X303+X295</f>
        <v>1382997.36728088</v>
      </c>
      <c r="Y304" s="30" t="n">
        <f aca="false">Y302+Y303+Y295</f>
        <v>1278611.54728088</v>
      </c>
      <c r="Z304" s="30" t="n">
        <f aca="false">Z302+Z303+Z295</f>
        <v>1347152.12022625</v>
      </c>
      <c r="AA304" s="30" t="n">
        <f aca="false">AA302+AA303+AA295</f>
        <v>1376390.77358739</v>
      </c>
      <c r="AB304" s="30" t="n">
        <f aca="false">AB302+AB303+AB295</f>
        <v>1252777.04436879</v>
      </c>
      <c r="AC304" s="30" t="n">
        <f aca="false">AC302+AC303+AC295</f>
        <v>961333.582243335</v>
      </c>
      <c r="AD304" s="30" t="n">
        <f aca="false">AD302+AD303+AD295</f>
        <v>984283.492243336</v>
      </c>
      <c r="AE304" s="30" t="n">
        <f aca="false">AE302+AE303+AE295</f>
        <v>457376.800156218</v>
      </c>
      <c r="AF304" s="30" t="n">
        <f aca="false">AF302+AF303+AF295</f>
        <v>1291807.34983053</v>
      </c>
      <c r="AG304" s="30" t="n">
        <f aca="false">AG302+AG303+AG295</f>
        <v>1224159.07813734</v>
      </c>
      <c r="AH304" s="30" t="n">
        <f aca="false">AH302+AH303+AH295</f>
        <v>1197262.21807535</v>
      </c>
      <c r="AI304" s="30" t="n">
        <f aca="false">AI302+AI303+AI295</f>
        <v>949411.390710917</v>
      </c>
      <c r="AJ304" s="30" t="n">
        <f aca="false">AJ302+AJ303+AJ295</f>
        <v>1024233.43967442</v>
      </c>
      <c r="AK304" s="30" t="n">
        <f aca="false">AK302+AK303+AK295</f>
        <v>630997.122074032</v>
      </c>
      <c r="AL304" s="30" t="n">
        <f aca="false">AL302+AL303+AL295</f>
        <v>634861.939330514</v>
      </c>
      <c r="AM304" s="30" t="n">
        <f aca="false">AM302+AM303+AM295</f>
        <v>646743.719330514</v>
      </c>
      <c r="AN304" s="30" t="n">
        <f aca="false">AN302+AN303+AN295</f>
        <v>629441.202614482</v>
      </c>
      <c r="AO304" s="30" t="n">
        <f aca="false">AO302+AO303+AO295</f>
        <v>495241.749525764</v>
      </c>
      <c r="AP304" s="30" t="n">
        <f aca="false">AP302+AP303+AP295</f>
        <v>330233.844925763</v>
      </c>
      <c r="AQ304" s="30" t="n">
        <f aca="false">AQ302+AQ303+AQ295</f>
        <v>330233.844925763</v>
      </c>
      <c r="AR304" s="30" t="n">
        <f aca="false">AR302+AR303+AR295</f>
        <v>330233.844925763</v>
      </c>
      <c r="AS304" s="30" t="n">
        <f aca="false">AS302+AS303+AS295</f>
        <v>330233.844925763</v>
      </c>
      <c r="AT304" s="30" t="n">
        <f aca="false">AT302+AT303+AT295</f>
        <v>411916.844925763</v>
      </c>
      <c r="AU304" s="30" t="n">
        <f aca="false">AU302+AU303+AU295</f>
        <v>330233.844925764</v>
      </c>
      <c r="AV304" s="30" t="n">
        <f aca="false">AV302+AV303+AV295</f>
        <v>602719.430279263</v>
      </c>
      <c r="AW304" s="30" t="n">
        <f aca="false">AW302+AW303+AW295</f>
        <v>239341.640868547</v>
      </c>
      <c r="AX304" s="30" t="n">
        <f aca="false">AX302+AX303+AX295</f>
        <v>157659.640868547</v>
      </c>
      <c r="AY304" s="30" t="n">
        <f aca="false">AY302+AY303+AY295</f>
        <v>157659.640868547</v>
      </c>
      <c r="AZ304" s="30" t="n">
        <f aca="false">AZ302+AZ303+AZ295</f>
        <v>239341.640868547</v>
      </c>
      <c r="BA304" s="30" t="n">
        <f aca="false">BA302+BA303+BA295</f>
        <v>157659.640868547</v>
      </c>
      <c r="BB304" s="30" t="n">
        <f aca="false">BB302+BB303+BB295</f>
        <v>157659.640868547</v>
      </c>
      <c r="BC304" s="30" t="n">
        <f aca="false">BC302+BC303+BC295</f>
        <v>1091180.64086855</v>
      </c>
      <c r="BD304" s="30" t="n">
        <f aca="false">BD302+BD303+BD295</f>
        <v>157659.640868547</v>
      </c>
      <c r="BE304" s="30" t="n">
        <f aca="false">BE302+BE303+BE295</f>
        <v>157659.640868547</v>
      </c>
      <c r="BF304" s="30" t="n">
        <f aca="false">BF302+BF303+BF295</f>
        <v>288537.640868547</v>
      </c>
      <c r="BG304" s="30" t="n">
        <f aca="false">BG302+BG303+BG295</f>
        <v>157659.640868547</v>
      </c>
      <c r="BH304" s="30" t="n">
        <f aca="false">BH302+BH303+BH295</f>
        <v>406595.915924147</v>
      </c>
      <c r="BI304" s="30" t="n">
        <f aca="false">BI302+BI303+BI295</f>
        <v>130876</v>
      </c>
      <c r="BJ304" s="30" t="n">
        <f aca="false">BJ302+BJ303+BJ295</f>
        <v>0</v>
      </c>
      <c r="BK304" s="30" t="n">
        <f aca="false">BK302+BK303+BK295</f>
        <v>0</v>
      </c>
      <c r="BL304" s="30" t="n">
        <f aca="false">BL302+BL303+BL295</f>
        <v>130876</v>
      </c>
      <c r="BM304" s="30" t="n">
        <f aca="false">BM302+BM303+BM295</f>
        <v>0</v>
      </c>
      <c r="BN304" s="30" t="n">
        <f aca="false">BN302+BN303+BN295</f>
        <v>0</v>
      </c>
      <c r="BO304" s="30" t="n">
        <f aca="false">BO302+BO303+BO295</f>
        <v>130876</v>
      </c>
      <c r="BP304" s="30" t="n">
        <f aca="false">BP302+BP303+BP295</f>
        <v>0</v>
      </c>
      <c r="BQ304" s="30" t="n">
        <f aca="false">BQ302+BQ303+BQ295</f>
        <v>0</v>
      </c>
      <c r="BR304" s="30" t="n">
        <f aca="false">BR302+BR303+BR295</f>
        <v>142406</v>
      </c>
      <c r="BS304" s="30" t="n">
        <f aca="false">BS302+BS303+BS295</f>
        <v>0</v>
      </c>
      <c r="BT304" s="30" t="n">
        <f aca="false">BT302+BT303+BT295</f>
        <v>0</v>
      </c>
      <c r="BU304" s="30" t="n">
        <f aca="false">BU302+BU303+BU295</f>
        <v>142402</v>
      </c>
      <c r="BV304" s="30" t="n">
        <f aca="false">BV302+BV303+BV295</f>
        <v>0</v>
      </c>
      <c r="BW304" s="30" t="n">
        <f aca="false">BW302+BW303+BW295</f>
        <v>0</v>
      </c>
      <c r="BX304" s="30" t="n">
        <f aca="false">BX302+BX303+BX295</f>
        <v>142402</v>
      </c>
      <c r="BY304" s="30" t="n">
        <f aca="false">BY302+BY303+BY295</f>
        <v>0</v>
      </c>
      <c r="BZ304" s="30" t="n">
        <f aca="false">BZ302+BZ303+BZ295</f>
        <v>0</v>
      </c>
      <c r="CA304" s="30" t="n">
        <f aca="false">CA302+CA303+CA295</f>
        <v>215558</v>
      </c>
      <c r="CB304" s="30" t="n">
        <f aca="false">CB302+CB303+CB295</f>
        <v>0</v>
      </c>
      <c r="CC304" s="30" t="n">
        <f aca="false">CC302+CC303+CC295</f>
        <v>0</v>
      </c>
      <c r="CD304" s="30" t="n">
        <f aca="false">CD302+CD303+CD295</f>
        <v>231017</v>
      </c>
      <c r="CE304" s="30" t="n">
        <f aca="false">CE302+CE303+CE295</f>
        <v>0</v>
      </c>
      <c r="CF304" s="30" t="n">
        <f aca="false">CF302+CF303+CF295</f>
        <v>0</v>
      </c>
      <c r="CG304" s="30" t="n">
        <f aca="false">CG302+CG303+CG295</f>
        <v>231016</v>
      </c>
      <c r="CH304" s="30" t="n">
        <f aca="false">CH302+CH303+CH295</f>
        <v>0</v>
      </c>
      <c r="CI304" s="30" t="n">
        <f aca="false">CI302+CI303+CI295</f>
        <v>0</v>
      </c>
      <c r="CJ304" s="30" t="n">
        <f aca="false">CJ302+CJ303+CJ295</f>
        <v>231016</v>
      </c>
      <c r="CK304" s="30" t="n">
        <f aca="false">CK302+CK303+CK295</f>
        <v>231016</v>
      </c>
      <c r="CL304" s="30" t="n">
        <f aca="false">CL302+CL303+CL295</f>
        <v>231016</v>
      </c>
      <c r="CM304" s="30" t="n">
        <f aca="false">CM302+CM303+CM295</f>
        <v>231016</v>
      </c>
      <c r="CN304" s="30" t="n">
        <f aca="false">CN302+CN303+CN295</f>
        <v>231016</v>
      </c>
      <c r="CO304" s="30" t="n">
        <f aca="false">CO302+CO303+CO295</f>
        <v>231016</v>
      </c>
      <c r="CP304" s="30" t="n">
        <f aca="false">CP302+CP303+CP295</f>
        <v>231016</v>
      </c>
      <c r="CQ304" s="30" t="n">
        <f aca="false">CQ302+CQ303+CQ295</f>
        <v>231016</v>
      </c>
      <c r="CR304" s="30" t="n">
        <f aca="false">CR302+CR303+CR295</f>
        <v>231016</v>
      </c>
      <c r="CS304" s="30" t="n">
        <f aca="false">CS302+CS303+CS295</f>
        <v>231016</v>
      </c>
      <c r="CT304" s="30" t="n">
        <f aca="false">CT302+CT303+CT295</f>
        <v>231016</v>
      </c>
      <c r="CU304" s="30" t="n">
        <f aca="false">CU302+CU303+CU295</f>
        <v>231016</v>
      </c>
      <c r="CV304" s="30" t="n">
        <f aca="false">CV302+CV303+CV295</f>
        <v>231016</v>
      </c>
      <c r="CW304" s="30" t="n">
        <f aca="false">CW302+CW303+CW295</f>
        <v>231016</v>
      </c>
      <c r="CX304" s="30" t="n">
        <f aca="false">CX302+CX303+CX295</f>
        <v>231016</v>
      </c>
      <c r="CY304" s="30" t="n">
        <f aca="false">CY302+CY303+CY295</f>
        <v>231016</v>
      </c>
      <c r="CZ304" s="30" t="n">
        <f aca="false">CZ302+CZ303+CZ295</f>
        <v>231016</v>
      </c>
      <c r="DA304" s="30" t="n">
        <f aca="false">DA302+DA303+DA295</f>
        <v>231016</v>
      </c>
      <c r="DB304" s="30" t="n">
        <f aca="false">DB302+DB303+DB295</f>
        <v>231016</v>
      </c>
      <c r="DC304" s="30" t="n">
        <f aca="false">DC302+DC303+DC295</f>
        <v>231016</v>
      </c>
      <c r="DD304" s="30" t="n">
        <f aca="false">DD302+DD303+DD295</f>
        <v>231016</v>
      </c>
      <c r="DE304" s="30" t="n">
        <f aca="false">DE302+DE303+DE295</f>
        <v>231016</v>
      </c>
    </row>
    <row r="305" customFormat="false" ht="15" hidden="false" customHeight="true" outlineLevel="0" collapsed="false">
      <c r="A305" s="40" t="s">
        <v>147</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-396472.629666667</v>
      </c>
      <c r="K305" s="13" t="n">
        <f aca="false">K236</f>
        <v>-386472.629666667</v>
      </c>
      <c r="L305" s="13" t="n">
        <f aca="false">L236</f>
        <v>-386472.629666667</v>
      </c>
      <c r="M305" s="13" t="n">
        <f aca="false">M236</f>
        <v>-482928.879666667</v>
      </c>
      <c r="N305" s="13" t="n">
        <f aca="false">N236</f>
        <v>-432890.963</v>
      </c>
      <c r="O305" s="13" t="n">
        <f aca="false">O236</f>
        <v>-517564.713</v>
      </c>
      <c r="P305" s="13" t="n">
        <f aca="false">P236</f>
        <v>-476689.713</v>
      </c>
      <c r="Q305" s="13" t="n">
        <f aca="false">Q236</f>
        <v>-513060.30726</v>
      </c>
      <c r="R305" s="13" t="n">
        <f aca="false">R236</f>
        <v>-562966.13226</v>
      </c>
      <c r="S305" s="13" t="n">
        <f aca="false">S236</f>
        <v>-578840.40726</v>
      </c>
      <c r="T305" s="13" t="n">
        <f aca="false">T236</f>
        <v>-559715.40726</v>
      </c>
      <c r="U305" s="13" t="n">
        <f aca="false">U236</f>
        <v>-559715.40726</v>
      </c>
      <c r="V305" s="13" t="n">
        <f aca="false">V236</f>
        <v>-559715.40726</v>
      </c>
      <c r="W305" s="13" t="n">
        <f aca="false">W236</f>
        <v>-559715.40726</v>
      </c>
      <c r="X305" s="13" t="n">
        <f aca="false">X236</f>
        <v>-559715.40726</v>
      </c>
      <c r="Y305" s="13" t="n">
        <f aca="false">Y236</f>
        <v>-559715.40726</v>
      </c>
      <c r="Z305" s="13" t="n">
        <f aca="false">Z236</f>
        <v>-559715.40726</v>
      </c>
      <c r="AA305" s="13" t="n">
        <f aca="false">AA236</f>
        <v>-559715.40726</v>
      </c>
      <c r="AB305" s="13" t="n">
        <f aca="false">AB236</f>
        <v>-559715.40726</v>
      </c>
      <c r="AC305" s="13" t="n">
        <f aca="false">AC236</f>
        <v>-566597.040674431</v>
      </c>
      <c r="AD305" s="13" t="n">
        <f aca="false">AD236</f>
        <v>-545151.343212892</v>
      </c>
      <c r="AE305" s="13" t="n">
        <f aca="false">AE236</f>
        <v>-522843.6509052</v>
      </c>
      <c r="AF305" s="13" t="n">
        <f aca="false">AF236</f>
        <v>-522843.6509052</v>
      </c>
      <c r="AG305" s="13" t="n">
        <f aca="false">AG236</f>
        <v>-522843.6509052</v>
      </c>
      <c r="AH305" s="13" t="n">
        <f aca="false">AH236</f>
        <v>-519711.807212892</v>
      </c>
      <c r="AI305" s="13" t="n">
        <f aca="false">AI236</f>
        <v>-503880.790751354</v>
      </c>
      <c r="AJ305" s="13" t="n">
        <f aca="false">AJ236</f>
        <v>-490034.6369052</v>
      </c>
      <c r="AK305" s="13" t="n">
        <f aca="false">AK236</f>
        <v>-490034.6369052</v>
      </c>
      <c r="AL305" s="13" t="n">
        <f aca="false">AL236</f>
        <v>-488468.715059046</v>
      </c>
      <c r="AM305" s="13" t="n">
        <f aca="false">AM236</f>
        <v>-473604.428635969</v>
      </c>
      <c r="AN305" s="13" t="n">
        <f aca="false">AN236</f>
        <v>-436241.815712892</v>
      </c>
      <c r="AO305" s="13" t="n">
        <f aca="false">AO236</f>
        <v>-426629.294778689</v>
      </c>
      <c r="AP305" s="13" t="n">
        <f aca="false">AP236</f>
        <v>-407013.910163304</v>
      </c>
      <c r="AQ305" s="13" t="n">
        <f aca="false">AQ236</f>
        <v>-404325.914528689</v>
      </c>
      <c r="AR305" s="13" t="n">
        <f aca="false">AR236</f>
        <v>-394710.529913304</v>
      </c>
      <c r="AS305" s="13" t="n">
        <f aca="false">AS236</f>
        <v>-394710.529913304</v>
      </c>
      <c r="AT305" s="13" t="n">
        <f aca="false">AT236</f>
        <v>-394710.529913304</v>
      </c>
      <c r="AU305" s="13" t="n">
        <f aca="false">AU236</f>
        <v>-394710.529913304</v>
      </c>
      <c r="AV305" s="13" t="n">
        <f aca="false">AV236</f>
        <v>-394710.529913304</v>
      </c>
      <c r="AW305" s="13" t="n">
        <f aca="false">AW236</f>
        <v>-394710.529913304</v>
      </c>
      <c r="AX305" s="13" t="n">
        <f aca="false">AX236</f>
        <v>-394710.529913304</v>
      </c>
      <c r="AY305" s="13" t="n">
        <f aca="false">AY236</f>
        <v>-394710.529913304</v>
      </c>
      <c r="AZ305" s="13" t="n">
        <f aca="false">AZ236</f>
        <v>-394710.529913304</v>
      </c>
      <c r="BA305" s="13" t="n">
        <f aca="false">BA236</f>
        <v>-402304.74051157</v>
      </c>
      <c r="BB305" s="13" t="n">
        <f aca="false">BB236</f>
        <v>-402304.74051157</v>
      </c>
      <c r="BC305" s="13" t="n">
        <f aca="false">BC236</f>
        <v>-402304.74051157</v>
      </c>
      <c r="BD305" s="13" t="n">
        <f aca="false">BD236</f>
        <v>-402304.74051157</v>
      </c>
      <c r="BE305" s="13" t="n">
        <f aca="false">BE236</f>
        <v>-402304.74051157</v>
      </c>
      <c r="BF305" s="13" t="n">
        <f aca="false">BF236</f>
        <v>-402304.74051157</v>
      </c>
      <c r="BG305" s="13" t="n">
        <f aca="false">BG236</f>
        <v>-402304.74051157</v>
      </c>
      <c r="BH305" s="13" t="n">
        <f aca="false">BH236</f>
        <v>-402304.74051157</v>
      </c>
      <c r="BI305" s="13" t="n">
        <f aca="false">BI236</f>
        <v>-402304.74051157</v>
      </c>
      <c r="BJ305" s="13" t="n">
        <f aca="false">BJ236</f>
        <v>-402304.74051157</v>
      </c>
      <c r="BK305" s="13" t="n">
        <f aca="false">BK236</f>
        <v>-402304.74051157</v>
      </c>
      <c r="BL305" s="13" t="n">
        <f aca="false">BL236</f>
        <v>-402304.74051157</v>
      </c>
      <c r="BM305" s="13" t="n">
        <f aca="false">BM236</f>
        <v>-410050.835321802</v>
      </c>
      <c r="BN305" s="13" t="n">
        <f aca="false">BN236</f>
        <v>-410050.835321802</v>
      </c>
      <c r="BO305" s="13" t="n">
        <f aca="false">BO236</f>
        <v>-410050.835321802</v>
      </c>
      <c r="BP305" s="13" t="n">
        <f aca="false">BP236</f>
        <v>-410050.835321802</v>
      </c>
      <c r="BQ305" s="13" t="n">
        <f aca="false">BQ236</f>
        <v>-410050.835321802</v>
      </c>
      <c r="BR305" s="13" t="n">
        <f aca="false">BR236</f>
        <v>-410050.835321802</v>
      </c>
      <c r="BS305" s="13" t="n">
        <f aca="false">BS236</f>
        <v>-410050.835321802</v>
      </c>
      <c r="BT305" s="13" t="n">
        <f aca="false">BT236</f>
        <v>-410050.835321802</v>
      </c>
      <c r="BU305" s="13" t="n">
        <f aca="false">BU236</f>
        <v>-410050.835321802</v>
      </c>
      <c r="BV305" s="13" t="n">
        <f aca="false">BV236</f>
        <v>-410050.835321802</v>
      </c>
      <c r="BW305" s="13" t="n">
        <f aca="false">BW236</f>
        <v>-410050.835321802</v>
      </c>
      <c r="BX305" s="13" t="n">
        <f aca="false">BX236</f>
        <v>-410050.835321802</v>
      </c>
      <c r="BY305" s="13" t="n">
        <f aca="false">BY236</f>
        <v>-417951.852028238</v>
      </c>
      <c r="BZ305" s="13" t="n">
        <f aca="false">BZ236</f>
        <v>-417951.852028238</v>
      </c>
      <c r="CA305" s="13" t="n">
        <f aca="false">CA236</f>
        <v>-417951.852028238</v>
      </c>
      <c r="CB305" s="13" t="n">
        <f aca="false">CB236</f>
        <v>-417951.852028238</v>
      </c>
      <c r="CC305" s="13" t="n">
        <f aca="false">CC236</f>
        <v>-417951.852028238</v>
      </c>
      <c r="CD305" s="13" t="n">
        <f aca="false">CD236</f>
        <v>-417951.852028238</v>
      </c>
      <c r="CE305" s="13" t="n">
        <f aca="false">CE236</f>
        <v>-417951.852028238</v>
      </c>
      <c r="CF305" s="13" t="n">
        <f aca="false">CF236</f>
        <v>-417951.852028238</v>
      </c>
      <c r="CG305" s="13" t="n">
        <f aca="false">CG236</f>
        <v>-417951.852028238</v>
      </c>
      <c r="CH305" s="13" t="n">
        <f aca="false">CH236</f>
        <v>-417951.852028238</v>
      </c>
      <c r="CI305" s="13" t="n">
        <f aca="false">CI236</f>
        <v>-417951.852028238</v>
      </c>
      <c r="CJ305" s="13" t="n">
        <f aca="false">CJ236</f>
        <v>-417951.852028238</v>
      </c>
      <c r="CK305" s="13" t="n">
        <f aca="false">CK236</f>
        <v>-426010.889068802</v>
      </c>
      <c r="CL305" s="13" t="n">
        <f aca="false">CL236</f>
        <v>-426010.889068802</v>
      </c>
      <c r="CM305" s="13" t="n">
        <f aca="false">CM236</f>
        <v>-426010.889068802</v>
      </c>
      <c r="CN305" s="13" t="n">
        <f aca="false">CN236</f>
        <v>-426010.889068802</v>
      </c>
      <c r="CO305" s="13" t="n">
        <f aca="false">CO236</f>
        <v>-426010.889068802</v>
      </c>
      <c r="CP305" s="13" t="n">
        <f aca="false">CP236</f>
        <v>-426010.889068802</v>
      </c>
      <c r="CQ305" s="13" t="n">
        <f aca="false">CQ236</f>
        <v>-426010.889068802</v>
      </c>
      <c r="CR305" s="13" t="n">
        <f aca="false">CR236</f>
        <v>-426010.889068802</v>
      </c>
      <c r="CS305" s="13" t="n">
        <f aca="false">CS236</f>
        <v>-426010.889068802</v>
      </c>
      <c r="CT305" s="13" t="n">
        <f aca="false">CT236</f>
        <v>-385658.075026777</v>
      </c>
      <c r="CU305" s="13" t="n">
        <f aca="false">CU236</f>
        <v>-385658.075026777</v>
      </c>
      <c r="CV305" s="13" t="n">
        <f aca="false">CV236</f>
        <v>-385658.075026777</v>
      </c>
      <c r="CW305" s="13" t="n">
        <f aca="false">CW236</f>
        <v>-393071.236527312</v>
      </c>
      <c r="CX305" s="13" t="n">
        <f aca="false">CX236</f>
        <v>-393071.236527312</v>
      </c>
      <c r="CY305" s="13" t="n">
        <f aca="false">CY236</f>
        <v>-393071.236527312</v>
      </c>
      <c r="CZ305" s="13" t="n">
        <f aca="false">CZ236</f>
        <v>-393071.236527312</v>
      </c>
      <c r="DA305" s="13" t="n">
        <f aca="false">DA236</f>
        <v>-393071.236527312</v>
      </c>
      <c r="DB305" s="13" t="n">
        <f aca="false">DB236</f>
        <v>-393071.236527312</v>
      </c>
      <c r="DC305" s="13" t="n">
        <f aca="false">DC236</f>
        <v>-393071.236527312</v>
      </c>
      <c r="DD305" s="13" t="n">
        <f aca="false">DD236</f>
        <v>-393071.236527312</v>
      </c>
      <c r="DE305" s="13" t="n">
        <f aca="false">DE236</f>
        <v>-393071.236527312</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-197545.8</v>
      </c>
      <c r="K306" s="13" t="n">
        <f aca="false">K292</f>
        <v>-197545.8</v>
      </c>
      <c r="L306" s="13" t="n">
        <f aca="false">L292</f>
        <v>-197545.8</v>
      </c>
      <c r="M306" s="13" t="n">
        <f aca="false">M292</f>
        <v>-194045.8</v>
      </c>
      <c r="N306" s="13" t="n">
        <f aca="false">N292</f>
        <v>-195439.62</v>
      </c>
      <c r="O306" s="13" t="n">
        <f aca="false">O292</f>
        <v>-195439.62</v>
      </c>
      <c r="P306" s="13" t="n">
        <f aca="false">P292</f>
        <v>-195439.62</v>
      </c>
      <c r="Q306" s="13" t="n">
        <f aca="false">Q292</f>
        <v>-199005.6524</v>
      </c>
      <c r="R306" s="13" t="n">
        <f aca="false">R292</f>
        <v>-199005.6524</v>
      </c>
      <c r="S306" s="13" t="n">
        <f aca="false">S292</f>
        <v>-199005.6524</v>
      </c>
      <c r="T306" s="13" t="n">
        <f aca="false">T292</f>
        <v>-199005.6524</v>
      </c>
      <c r="U306" s="13" t="n">
        <f aca="false">U292</f>
        <v>-199005.6524</v>
      </c>
      <c r="V306" s="13" t="n">
        <f aca="false">V292</f>
        <v>-199005.6524</v>
      </c>
      <c r="W306" s="13" t="n">
        <f aca="false">W292</f>
        <v>-199005.6524</v>
      </c>
      <c r="X306" s="13" t="n">
        <f aca="false">X292</f>
        <v>-199005.6524</v>
      </c>
      <c r="Y306" s="13" t="n">
        <f aca="false">Y292</f>
        <v>-199005.6524</v>
      </c>
      <c r="Z306" s="13" t="n">
        <f aca="false">Z292</f>
        <v>-199005.6524</v>
      </c>
      <c r="AA306" s="13" t="n">
        <f aca="false">AA292</f>
        <v>-199005.6524</v>
      </c>
      <c r="AB306" s="13" t="n">
        <f aca="false">AB292</f>
        <v>-199005.6524</v>
      </c>
      <c r="AC306" s="13" t="n">
        <f aca="false">AC292</f>
        <v>-202643.005448</v>
      </c>
      <c r="AD306" s="13" t="n">
        <f aca="false">AD292</f>
        <v>-202643.005448</v>
      </c>
      <c r="AE306" s="13" t="n">
        <f aca="false">AE292</f>
        <v>-202643.005448</v>
      </c>
      <c r="AF306" s="13" t="n">
        <f aca="false">AF292</f>
        <v>-202643.005448</v>
      </c>
      <c r="AG306" s="13" t="n">
        <f aca="false">AG292</f>
        <v>-202643.005448</v>
      </c>
      <c r="AH306" s="13" t="n">
        <f aca="false">AH292</f>
        <v>-202643.005448</v>
      </c>
      <c r="AI306" s="13" t="n">
        <f aca="false">AI292</f>
        <v>-202643.005448</v>
      </c>
      <c r="AJ306" s="13" t="n">
        <f aca="false">AJ292</f>
        <v>-202643.005448</v>
      </c>
      <c r="AK306" s="13" t="n">
        <f aca="false">AK292</f>
        <v>-202643.005448</v>
      </c>
      <c r="AL306" s="13" t="n">
        <f aca="false">AL292</f>
        <v>-202643.005448</v>
      </c>
      <c r="AM306" s="13" t="n">
        <f aca="false">AM292</f>
        <v>-202643.005448</v>
      </c>
      <c r="AN306" s="13" t="n">
        <f aca="false">AN292</f>
        <v>-202643.005448</v>
      </c>
      <c r="AO306" s="13" t="n">
        <f aca="false">AO292</f>
        <v>-206353.10555696</v>
      </c>
      <c r="AP306" s="13" t="n">
        <f aca="false">AP292</f>
        <v>-206353.10555696</v>
      </c>
      <c r="AQ306" s="13" t="n">
        <f aca="false">AQ292</f>
        <v>-206353.10555696</v>
      </c>
      <c r="AR306" s="13" t="n">
        <f aca="false">AR292</f>
        <v>-206353.10555696</v>
      </c>
      <c r="AS306" s="13" t="n">
        <f aca="false">AS292</f>
        <v>-206353.10555696</v>
      </c>
      <c r="AT306" s="13" t="n">
        <f aca="false">AT292</f>
        <v>-288036.10555696</v>
      </c>
      <c r="AU306" s="13" t="n">
        <f aca="false">AU292</f>
        <v>-206353.10555696</v>
      </c>
      <c r="AV306" s="13" t="n">
        <f aca="false">AV292</f>
        <v>-206353.10555696</v>
      </c>
      <c r="AW306" s="13" t="n">
        <f aca="false">AW292</f>
        <v>-288035.10555696</v>
      </c>
      <c r="AX306" s="13" t="n">
        <f aca="false">AX292</f>
        <v>-206353.10555696</v>
      </c>
      <c r="AY306" s="13" t="n">
        <f aca="false">AY292</f>
        <v>-206353.10555696</v>
      </c>
      <c r="AZ306" s="13" t="n">
        <f aca="false">AZ292</f>
        <v>-288035.10555696</v>
      </c>
      <c r="BA306" s="13" t="n">
        <f aca="false">BA292</f>
        <v>-210137.407668099</v>
      </c>
      <c r="BB306" s="13" t="n">
        <f aca="false">BB292</f>
        <v>-210137.407668099</v>
      </c>
      <c r="BC306" s="13" t="n">
        <f aca="false">BC292</f>
        <v>-1143658.4076681</v>
      </c>
      <c r="BD306" s="13" t="n">
        <f aca="false">BD292</f>
        <v>-210137.407668099</v>
      </c>
      <c r="BE306" s="13" t="n">
        <f aca="false">BE292</f>
        <v>-210137.407668099</v>
      </c>
      <c r="BF306" s="13" t="n">
        <f aca="false">BF292</f>
        <v>-341015.407668099</v>
      </c>
      <c r="BG306" s="13" t="n">
        <f aca="false">BG292</f>
        <v>-210137.407668099</v>
      </c>
      <c r="BH306" s="13" t="n">
        <f aca="false">BH292</f>
        <v>-210137.407668099</v>
      </c>
      <c r="BI306" s="13" t="n">
        <f aca="false">BI292</f>
        <v>-341013.407668099</v>
      </c>
      <c r="BJ306" s="13" t="n">
        <f aca="false">BJ292</f>
        <v>-210137.407668099</v>
      </c>
      <c r="BK306" s="13" t="n">
        <f aca="false">BK292</f>
        <v>-210137.407668099</v>
      </c>
      <c r="BL306" s="13" t="n">
        <f aca="false">BL292</f>
        <v>-341013.407668099</v>
      </c>
      <c r="BM306" s="13" t="n">
        <f aca="false">BM292</f>
        <v>-213997.395821461</v>
      </c>
      <c r="BN306" s="13" t="n">
        <f aca="false">BN292</f>
        <v>-213997.395821461</v>
      </c>
      <c r="BO306" s="13" t="n">
        <f aca="false">BO292</f>
        <v>-344873.395821461</v>
      </c>
      <c r="BP306" s="13" t="n">
        <f aca="false">BP292</f>
        <v>-213997.395821461</v>
      </c>
      <c r="BQ306" s="13" t="n">
        <f aca="false">BQ292</f>
        <v>-213997.395821461</v>
      </c>
      <c r="BR306" s="13" t="n">
        <f aca="false">BR292</f>
        <v>-303153.045821461</v>
      </c>
      <c r="BS306" s="13" t="n">
        <f aca="false">BS292</f>
        <v>-213997.395821461</v>
      </c>
      <c r="BT306" s="13" t="n">
        <f aca="false">BT292</f>
        <v>-213997.395821461</v>
      </c>
      <c r="BU306" s="13" t="n">
        <f aca="false">BU292</f>
        <v>-288637.395821461</v>
      </c>
      <c r="BV306" s="13" t="n">
        <f aca="false">BV292</f>
        <v>-213997.395821461</v>
      </c>
      <c r="BW306" s="13" t="n">
        <f aca="false">BW292</f>
        <v>-213997.395821461</v>
      </c>
      <c r="BX306" s="13" t="n">
        <f aca="false">BX292</f>
        <v>-288637.395821461</v>
      </c>
      <c r="BY306" s="13" t="n">
        <f aca="false">BY292</f>
        <v>-217934.58373789</v>
      </c>
      <c r="BZ306" s="13" t="n">
        <f aca="false">BZ292</f>
        <v>-217934.58373789</v>
      </c>
      <c r="CA306" s="13" t="n">
        <f aca="false">CA292</f>
        <v>-365730.58373789</v>
      </c>
      <c r="CB306" s="13" t="n">
        <f aca="false">CB292</f>
        <v>-217934.58373789</v>
      </c>
      <c r="CC306" s="13" t="n">
        <f aca="false">CC292</f>
        <v>-217934.58373789</v>
      </c>
      <c r="CD306" s="13" t="n">
        <f aca="false">CD292</f>
        <v>-372452.58373789</v>
      </c>
      <c r="CE306" s="13" t="n">
        <f aca="false">CE292</f>
        <v>-217934.58373789</v>
      </c>
      <c r="CF306" s="13" t="n">
        <f aca="false">CF292</f>
        <v>-217934.58373789</v>
      </c>
      <c r="CG306" s="13" t="n">
        <f aca="false">CG292</f>
        <v>-372451.58373789</v>
      </c>
      <c r="CH306" s="13" t="n">
        <f aca="false">CH292</f>
        <v>-217934.58373789</v>
      </c>
      <c r="CI306" s="13" t="n">
        <f aca="false">CI292</f>
        <v>-217934.58373789</v>
      </c>
      <c r="CJ306" s="13" t="n">
        <f aca="false">CJ292</f>
        <v>-365843.557131411</v>
      </c>
      <c r="CK306" s="13" t="n">
        <f aca="false">CK292</f>
        <v>-295105.515412648</v>
      </c>
      <c r="CL306" s="13" t="n">
        <f aca="false">CL292</f>
        <v>-295105.515412648</v>
      </c>
      <c r="CM306" s="13" t="n">
        <f aca="false">CM292</f>
        <v>-295105.515412648</v>
      </c>
      <c r="CN306" s="13" t="n">
        <f aca="false">CN292</f>
        <v>-295105.515412648</v>
      </c>
      <c r="CO306" s="13" t="n">
        <f aca="false">CO292</f>
        <v>-295105.515412648</v>
      </c>
      <c r="CP306" s="13" t="n">
        <f aca="false">CP292</f>
        <v>-295105.515412648</v>
      </c>
      <c r="CQ306" s="13" t="n">
        <f aca="false">CQ292</f>
        <v>-295105.515412648</v>
      </c>
      <c r="CR306" s="13" t="n">
        <f aca="false">CR292</f>
        <v>-295105.515412648</v>
      </c>
      <c r="CS306" s="13" t="n">
        <f aca="false">CS292</f>
        <v>-295105.515412648</v>
      </c>
      <c r="CT306" s="13" t="n">
        <f aca="false">CT292</f>
        <v>-289194.570414536</v>
      </c>
      <c r="CU306" s="13" t="n">
        <f aca="false">CU292</f>
        <v>-289194.570414536</v>
      </c>
      <c r="CV306" s="13" t="n">
        <f aca="false">CV292</f>
        <v>-289194.570414536</v>
      </c>
      <c r="CW306" s="13" t="n">
        <f aca="false">CW292</f>
        <v>-237464.450759234</v>
      </c>
      <c r="CX306" s="13" t="n">
        <f aca="false">CX292</f>
        <v>-220017.601822827</v>
      </c>
      <c r="CY306" s="13" t="n">
        <f aca="false">CY292</f>
        <v>-220017.601822827</v>
      </c>
      <c r="CZ306" s="13" t="n">
        <f aca="false">CZ292</f>
        <v>-220017.601822827</v>
      </c>
      <c r="DA306" s="13" t="n">
        <f aca="false">DA292</f>
        <v>-220017.601822827</v>
      </c>
      <c r="DB306" s="13" t="n">
        <f aca="false">DB292</f>
        <v>-220017.601822827</v>
      </c>
      <c r="DC306" s="13" t="n">
        <f aca="false">DC292</f>
        <v>-220017.601822827</v>
      </c>
      <c r="DD306" s="13" t="n">
        <f aca="false">DD292</f>
        <v>-220017.601822827</v>
      </c>
      <c r="DE306" s="13" t="n">
        <f aca="false">DE292</f>
        <v>-220017.601822827</v>
      </c>
    </row>
    <row r="307" customFormat="false" ht="15" hidden="false" customHeight="true" outlineLevel="0" collapsed="false">
      <c r="A307" s="41" t="s">
        <v>148</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-594018.429666667</v>
      </c>
      <c r="K307" s="30" t="n">
        <f aca="false">K305+K306+K296</f>
        <v>-584018.429666667</v>
      </c>
      <c r="L307" s="30" t="n">
        <f aca="false">L305+L306+L296</f>
        <v>-584018.429666667</v>
      </c>
      <c r="M307" s="30" t="n">
        <f aca="false">M305+M306+M296</f>
        <v>-676974.679666667</v>
      </c>
      <c r="N307" s="30" t="n">
        <f aca="false">N305+N306+N296</f>
        <v>-628330.583</v>
      </c>
      <c r="O307" s="30" t="n">
        <f aca="false">O305+O306+O296</f>
        <v>-713004.333</v>
      </c>
      <c r="P307" s="30" t="n">
        <f aca="false">P305+P306+P296</f>
        <v>-672129.333</v>
      </c>
      <c r="Q307" s="30" t="n">
        <f aca="false">Q305+Q306+Q296</f>
        <v>-712065.95966</v>
      </c>
      <c r="R307" s="30" t="n">
        <f aca="false">R305+R306+R296</f>
        <v>-761971.78466</v>
      </c>
      <c r="S307" s="30" t="n">
        <f aca="false">S305+S306+S296</f>
        <v>-777846.05966</v>
      </c>
      <c r="T307" s="30" t="n">
        <f aca="false">T305+T306+T296</f>
        <v>-758721.05966</v>
      </c>
      <c r="U307" s="30" t="n">
        <f aca="false">U305+U306+U296</f>
        <v>-758721.05966</v>
      </c>
      <c r="V307" s="30" t="n">
        <f aca="false">V305+V306+V296</f>
        <v>-758721.05966</v>
      </c>
      <c r="W307" s="30" t="n">
        <f aca="false">W305+W306+W296</f>
        <v>-758721.05966</v>
      </c>
      <c r="X307" s="30" t="n">
        <f aca="false">X305+X306+X296</f>
        <v>-758721.05966</v>
      </c>
      <c r="Y307" s="30" t="n">
        <f aca="false">Y305+Y306+Y296</f>
        <v>-758721.05966</v>
      </c>
      <c r="Z307" s="30" t="n">
        <f aca="false">Z305+Z306+Z296</f>
        <v>-758721.05966</v>
      </c>
      <c r="AA307" s="30" t="n">
        <f aca="false">AA305+AA306+AA296</f>
        <v>-758721.05966</v>
      </c>
      <c r="AB307" s="30" t="n">
        <f aca="false">AB305+AB306+AB296</f>
        <v>-758721.05966</v>
      </c>
      <c r="AC307" s="30" t="n">
        <f aca="false">AC305+AC306+AC296</f>
        <v>-769240.046122431</v>
      </c>
      <c r="AD307" s="30" t="n">
        <f aca="false">AD305+AD306+AD296</f>
        <v>-747794.348660892</v>
      </c>
      <c r="AE307" s="30" t="n">
        <f aca="false">AE305+AE306+AE296</f>
        <v>-725486.6563532</v>
      </c>
      <c r="AF307" s="30" t="n">
        <f aca="false">AF305+AF306+AF296</f>
        <v>-725486.6563532</v>
      </c>
      <c r="AG307" s="30" t="n">
        <f aca="false">AG305+AG306+AG296</f>
        <v>-725486.6563532</v>
      </c>
      <c r="AH307" s="30" t="n">
        <f aca="false">AH305+AH306+AH296</f>
        <v>-722354.812660892</v>
      </c>
      <c r="AI307" s="30" t="n">
        <f aca="false">AI305+AI306+AI296</f>
        <v>-706523.796199354</v>
      </c>
      <c r="AJ307" s="30" t="n">
        <f aca="false">AJ305+AJ306+AJ296</f>
        <v>-692677.6423532</v>
      </c>
      <c r="AK307" s="30" t="n">
        <f aca="false">AK305+AK306+AK296</f>
        <v>-692677.6423532</v>
      </c>
      <c r="AL307" s="30" t="n">
        <f aca="false">AL305+AL306+AL296</f>
        <v>-691111.720507046</v>
      </c>
      <c r="AM307" s="30" t="n">
        <f aca="false">AM305+AM306+AM296</f>
        <v>-676247.434083969</v>
      </c>
      <c r="AN307" s="30" t="n">
        <f aca="false">AN305+AN306+AN296</f>
        <v>-638884.821160892</v>
      </c>
      <c r="AO307" s="30" t="n">
        <f aca="false">AO305+AO306+AO296</f>
        <v>-632982.400335649</v>
      </c>
      <c r="AP307" s="30" t="n">
        <f aca="false">AP305+AP306+AP296</f>
        <v>-613367.015720264</v>
      </c>
      <c r="AQ307" s="30" t="n">
        <f aca="false">AQ305+AQ306+AQ296</f>
        <v>-610679.020085649</v>
      </c>
      <c r="AR307" s="30" t="n">
        <f aca="false">AR305+AR306+AR296</f>
        <v>-601063.635470264</v>
      </c>
      <c r="AS307" s="30" t="n">
        <f aca="false">AS305+AS306+AS296</f>
        <v>-601063.635470264</v>
      </c>
      <c r="AT307" s="30" t="n">
        <f aca="false">AT305+AT306+AT296</f>
        <v>-682746.635470264</v>
      </c>
      <c r="AU307" s="30" t="n">
        <f aca="false">AU305+AU306+AU296</f>
        <v>-601063.635470264</v>
      </c>
      <c r="AV307" s="30" t="n">
        <f aca="false">AV305+AV306+AV296</f>
        <v>-601063.635470264</v>
      </c>
      <c r="AW307" s="30" t="n">
        <f aca="false">AW305+AW306+AW296</f>
        <v>-682745.635470264</v>
      </c>
      <c r="AX307" s="30" t="n">
        <f aca="false">AX305+AX306+AX296</f>
        <v>-601063.635470264</v>
      </c>
      <c r="AY307" s="30" t="n">
        <f aca="false">AY305+AY306+AY296</f>
        <v>-601063.635470264</v>
      </c>
      <c r="AZ307" s="30" t="n">
        <f aca="false">AZ305+AZ306+AZ296</f>
        <v>-682745.635470264</v>
      </c>
      <c r="BA307" s="30" t="n">
        <f aca="false">BA305+BA306+BA296</f>
        <v>-612442.148179669</v>
      </c>
      <c r="BB307" s="30" t="n">
        <f aca="false">BB305+BB306+BB296</f>
        <v>-612442.148179669</v>
      </c>
      <c r="BC307" s="30" t="n">
        <f aca="false">BC305+BC306+BC296</f>
        <v>-1545963.14817967</v>
      </c>
      <c r="BD307" s="30" t="n">
        <f aca="false">BD305+BD306+BD296</f>
        <v>-612442.148179669</v>
      </c>
      <c r="BE307" s="30" t="n">
        <f aca="false">BE305+BE306+BE296</f>
        <v>-612442.148179669</v>
      </c>
      <c r="BF307" s="30" t="n">
        <f aca="false">BF305+BF306+BF296</f>
        <v>-743320.148179669</v>
      </c>
      <c r="BG307" s="30" t="n">
        <f aca="false">BG305+BG306+BG296</f>
        <v>-612442.148179669</v>
      </c>
      <c r="BH307" s="30" t="n">
        <f aca="false">BH305+BH306+BH296</f>
        <v>-612442.148179669</v>
      </c>
      <c r="BI307" s="30" t="n">
        <f aca="false">BI305+BI306+BI296</f>
        <v>-743318.148179669</v>
      </c>
      <c r="BJ307" s="30" t="n">
        <f aca="false">BJ305+BJ306+BJ296</f>
        <v>-612442.148179669</v>
      </c>
      <c r="BK307" s="30" t="n">
        <f aca="false">BK305+BK306+BK296</f>
        <v>-612442.148179669</v>
      </c>
      <c r="BL307" s="30" t="n">
        <f aca="false">BL305+BL306+BL296</f>
        <v>-743318.148179669</v>
      </c>
      <c r="BM307" s="30" t="n">
        <f aca="false">BM305+BM306+BM296</f>
        <v>-624048.231143263</v>
      </c>
      <c r="BN307" s="30" t="n">
        <f aca="false">BN305+BN306+BN296</f>
        <v>-624048.231143263</v>
      </c>
      <c r="BO307" s="30" t="n">
        <f aca="false">BO305+BO306+BO296</f>
        <v>-754924.231143263</v>
      </c>
      <c r="BP307" s="30" t="n">
        <f aca="false">BP305+BP306+BP296</f>
        <v>-624048.231143263</v>
      </c>
      <c r="BQ307" s="30" t="n">
        <f aca="false">BQ305+BQ306+BQ296</f>
        <v>-624048.231143263</v>
      </c>
      <c r="BR307" s="30" t="n">
        <f aca="false">BR305+BR306+BR296</f>
        <v>-713203.881143263</v>
      </c>
      <c r="BS307" s="30" t="n">
        <f aca="false">BS305+BS306+BS296</f>
        <v>-624048.231143263</v>
      </c>
      <c r="BT307" s="30" t="n">
        <f aca="false">BT305+BT306+BT296</f>
        <v>-624048.231143263</v>
      </c>
      <c r="BU307" s="30" t="n">
        <f aca="false">BU305+BU306+BU296</f>
        <v>-698688.231143263</v>
      </c>
      <c r="BV307" s="30" t="n">
        <f aca="false">BV305+BV306+BV296</f>
        <v>-624048.231143263</v>
      </c>
      <c r="BW307" s="30" t="n">
        <f aca="false">BW305+BW306+BW296</f>
        <v>-624048.231143263</v>
      </c>
      <c r="BX307" s="30" t="n">
        <f aca="false">BX305+BX306+BX296</f>
        <v>-698688.231143263</v>
      </c>
      <c r="BY307" s="30" t="n">
        <f aca="false">BY305+BY306+BY296</f>
        <v>-635886.435766128</v>
      </c>
      <c r="BZ307" s="30" t="n">
        <f aca="false">BZ305+BZ306+BZ296</f>
        <v>-635886.435766128</v>
      </c>
      <c r="CA307" s="30" t="n">
        <f aca="false">CA305+CA306+CA296</f>
        <v>-783682.435766128</v>
      </c>
      <c r="CB307" s="30" t="n">
        <f aca="false">CB305+CB306+CB296</f>
        <v>-635886.435766128</v>
      </c>
      <c r="CC307" s="30" t="n">
        <f aca="false">CC305+CC306+CC296</f>
        <v>-635886.435766128</v>
      </c>
      <c r="CD307" s="30" t="n">
        <f aca="false">CD305+CD306+CD296</f>
        <v>-790404.435766128</v>
      </c>
      <c r="CE307" s="30" t="n">
        <f aca="false">CE305+CE306+CE296</f>
        <v>-635886.435766128</v>
      </c>
      <c r="CF307" s="30" t="n">
        <f aca="false">CF305+CF306+CF296</f>
        <v>-635886.435766128</v>
      </c>
      <c r="CG307" s="30" t="n">
        <f aca="false">CG305+CG306+CG296</f>
        <v>-790403.435766128</v>
      </c>
      <c r="CH307" s="30" t="n">
        <f aca="false">CH305+CH306+CH296</f>
        <v>-635886.435766128</v>
      </c>
      <c r="CI307" s="30" t="n">
        <f aca="false">CI305+CI306+CI296</f>
        <v>-635886.435766128</v>
      </c>
      <c r="CJ307" s="30" t="n">
        <f aca="false">CJ305+CJ306+CJ296</f>
        <v>-783795.409159649</v>
      </c>
      <c r="CK307" s="30" t="n">
        <f aca="false">CK305+CK306+CK296</f>
        <v>-721116.404481451</v>
      </c>
      <c r="CL307" s="30" t="n">
        <f aca="false">CL305+CL306+CL296</f>
        <v>-721116.404481451</v>
      </c>
      <c r="CM307" s="30" t="n">
        <f aca="false">CM305+CM306+CM296</f>
        <v>-721116.404481451</v>
      </c>
      <c r="CN307" s="30" t="n">
        <f aca="false">CN305+CN306+CN296</f>
        <v>-721116.404481451</v>
      </c>
      <c r="CO307" s="30" t="n">
        <f aca="false">CO305+CO306+CO296</f>
        <v>-721116.404481451</v>
      </c>
      <c r="CP307" s="30" t="n">
        <f aca="false">CP305+CP306+CP296</f>
        <v>-721116.404481451</v>
      </c>
      <c r="CQ307" s="30" t="n">
        <f aca="false">CQ305+CQ306+CQ296</f>
        <v>-721116.404481451</v>
      </c>
      <c r="CR307" s="30" t="n">
        <f aca="false">CR305+CR306+CR296</f>
        <v>-721116.404481451</v>
      </c>
      <c r="CS307" s="30" t="n">
        <f aca="false">CS305+CS306+CS296</f>
        <v>-721116.404481451</v>
      </c>
      <c r="CT307" s="30" t="n">
        <f aca="false">CT305+CT306+CT296</f>
        <v>-674852.645441313</v>
      </c>
      <c r="CU307" s="30" t="n">
        <f aca="false">CU305+CU306+CU296</f>
        <v>-674852.645441313</v>
      </c>
      <c r="CV307" s="30" t="n">
        <f aca="false">CV305+CV306+CV296</f>
        <v>-674852.645441313</v>
      </c>
      <c r="CW307" s="30" t="n">
        <f aca="false">CW305+CW306+CW296</f>
        <v>-630535.687286546</v>
      </c>
      <c r="CX307" s="30" t="n">
        <f aca="false">CX305+CX306+CX296</f>
        <v>-613088.838350139</v>
      </c>
      <c r="CY307" s="30" t="n">
        <f aca="false">CY305+CY306+CY296</f>
        <v>-613088.838350139</v>
      </c>
      <c r="CZ307" s="30" t="n">
        <f aca="false">CZ305+CZ306+CZ296</f>
        <v>-613088.838350139</v>
      </c>
      <c r="DA307" s="30" t="n">
        <f aca="false">DA305+DA306+DA296</f>
        <v>-613088.838350139</v>
      </c>
      <c r="DB307" s="30" t="n">
        <f aca="false">DB305+DB306+DB296</f>
        <v>-613088.838350139</v>
      </c>
      <c r="DC307" s="30" t="n">
        <f aca="false">DC305+DC306+DC296</f>
        <v>-613088.838350139</v>
      </c>
      <c r="DD307" s="30" t="n">
        <f aca="false">DD305+DD306+DD296</f>
        <v>-613088.838350139</v>
      </c>
      <c r="DE307" s="30" t="n">
        <f aca="false">DE305+DE306+DE296</f>
        <v>-613088.838350139</v>
      </c>
    </row>
    <row r="308" customFormat="false" ht="19.5" hidden="false" customHeight="true" outlineLevel="0" collapsed="false">
      <c r="A308" s="42" t="s">
        <v>149</v>
      </c>
      <c r="B308" s="37" t="n">
        <f aca="false">B304+B307</f>
        <v>-206557.78</v>
      </c>
      <c r="C308" s="37" t="n">
        <f aca="false">C304+C307</f>
        <v>-469696.73</v>
      </c>
      <c r="D308" s="37" t="n">
        <f aca="false">D304+D307</f>
        <v>21337.26</v>
      </c>
      <c r="E308" s="37" t="n">
        <f aca="false">E304+E307</f>
        <v>212136.55</v>
      </c>
      <c r="F308" s="37" t="n">
        <f aca="false">F304+F307</f>
        <v>-188293.09</v>
      </c>
      <c r="G308" s="37" t="n">
        <f aca="false">G304+G307</f>
        <v>204071.03</v>
      </c>
      <c r="H308" s="37" t="n">
        <f aca="false">H304+H307</f>
        <v>1326754.58</v>
      </c>
      <c r="I308" s="37" t="n">
        <f aca="false">I304+I307</f>
        <v>-521091.365125</v>
      </c>
      <c r="J308" s="37" t="n">
        <f aca="false">J304+J307</f>
        <v>151689.786613631</v>
      </c>
      <c r="K308" s="37" t="n">
        <f aca="false">K304+K307</f>
        <v>229578.147935434</v>
      </c>
      <c r="L308" s="37" t="n">
        <f aca="false">L304+L307</f>
        <v>59010.3863327071</v>
      </c>
      <c r="M308" s="37" t="n">
        <f aca="false">M304+M307</f>
        <v>-363989.180347785</v>
      </c>
      <c r="N308" s="37" t="n">
        <f aca="false">N304+N307</f>
        <v>325582.515477694</v>
      </c>
      <c r="O308" s="37" t="n">
        <f aca="false">O304+O307</f>
        <v>154852.136695485</v>
      </c>
      <c r="P308" s="37" t="n">
        <f aca="false">P304+P307</f>
        <v>217350.472228486</v>
      </c>
      <c r="Q308" s="37" t="n">
        <f aca="false">Q304+Q307</f>
        <v>-90446.8048057999</v>
      </c>
      <c r="R308" s="37" t="n">
        <f aca="false">R304+R307</f>
        <v>1255.17835842364</v>
      </c>
      <c r="S308" s="37" t="n">
        <f aca="false">S304+S307</f>
        <v>-454001.957448891</v>
      </c>
      <c r="T308" s="37" t="n">
        <f aca="false">T304+T307</f>
        <v>420398.053216132</v>
      </c>
      <c r="U308" s="37" t="n">
        <f aca="false">U304+U307</f>
        <v>314668.763216132</v>
      </c>
      <c r="V308" s="37" t="n">
        <f aca="false">V304+V307</f>
        <v>226848.961934181</v>
      </c>
      <c r="W308" s="37" t="n">
        <f aca="false">W304+W307</f>
        <v>206767.491758813</v>
      </c>
      <c r="X308" s="37" t="n">
        <f aca="false">X304+X307</f>
        <v>624276.307620883</v>
      </c>
      <c r="Y308" s="37" t="n">
        <f aca="false">Y304+Y307</f>
        <v>519890.487620883</v>
      </c>
      <c r="Z308" s="37" t="n">
        <f aca="false">Z304+Z307</f>
        <v>588431.060566253</v>
      </c>
      <c r="AA308" s="37" t="n">
        <f aca="false">AA304+AA307</f>
        <v>617669.713927393</v>
      </c>
      <c r="AB308" s="37" t="n">
        <f aca="false">AB304+AB307</f>
        <v>494055.98470879</v>
      </c>
      <c r="AC308" s="37" t="n">
        <f aca="false">AC304+AC307</f>
        <v>192093.536120904</v>
      </c>
      <c r="AD308" s="37" t="n">
        <f aca="false">AD304+AD307</f>
        <v>236489.143582443</v>
      </c>
      <c r="AE308" s="37" t="n">
        <f aca="false">AE304+AE307</f>
        <v>-268109.856196982</v>
      </c>
      <c r="AF308" s="37" t="n">
        <f aca="false">AF304+AF307</f>
        <v>566320.693477333</v>
      </c>
      <c r="AG308" s="37" t="n">
        <f aca="false">AG304+AG307</f>
        <v>498672.421784139</v>
      </c>
      <c r="AH308" s="37" t="n">
        <f aca="false">AH304+AH307</f>
        <v>474907.405414456</v>
      </c>
      <c r="AI308" s="37" t="n">
        <f aca="false">AI304+AI307</f>
        <v>242887.594511563</v>
      </c>
      <c r="AJ308" s="37" t="n">
        <f aca="false">AJ304+AJ307</f>
        <v>331555.797321217</v>
      </c>
      <c r="AK308" s="37" t="n">
        <f aca="false">AK304+AK307</f>
        <v>-61680.5202791682</v>
      </c>
      <c r="AL308" s="37" t="n">
        <f aca="false">AL304+AL307</f>
        <v>-56249.7811765326</v>
      </c>
      <c r="AM308" s="37" t="n">
        <f aca="false">AM304+AM307</f>
        <v>-29503.7147534554</v>
      </c>
      <c r="AN308" s="37" t="n">
        <f aca="false">AN304+AN307</f>
        <v>-9443.61854641058</v>
      </c>
      <c r="AO308" s="37" t="n">
        <f aca="false">AO304+AO307</f>
        <v>-137740.650809885</v>
      </c>
      <c r="AP308" s="37" t="n">
        <f aca="false">AP304+AP307</f>
        <v>-283133.170794501</v>
      </c>
      <c r="AQ308" s="37" t="n">
        <f aca="false">AQ304+AQ307</f>
        <v>-280445.175159886</v>
      </c>
      <c r="AR308" s="37" t="n">
        <f aca="false">AR304+AR307</f>
        <v>-270829.790544501</v>
      </c>
      <c r="AS308" s="37" t="n">
        <f aca="false">AS304+AS307</f>
        <v>-270829.790544501</v>
      </c>
      <c r="AT308" s="37" t="n">
        <f aca="false">AT304+AT307</f>
        <v>-270829.790544501</v>
      </c>
      <c r="AU308" s="37" t="n">
        <f aca="false">AU304+AU307</f>
        <v>-270829.790544501</v>
      </c>
      <c r="AV308" s="37" t="n">
        <f aca="false">AV304+AV307</f>
        <v>1655.79480899917</v>
      </c>
      <c r="AW308" s="37" t="n">
        <f aca="false">AW304+AW307</f>
        <v>-443403.994601717</v>
      </c>
      <c r="AX308" s="37" t="n">
        <f aca="false">AX304+AX307</f>
        <v>-443403.994601717</v>
      </c>
      <c r="AY308" s="37" t="n">
        <f aca="false">AY304+AY307</f>
        <v>-443403.994601717</v>
      </c>
      <c r="AZ308" s="37" t="n">
        <f aca="false">AZ304+AZ307</f>
        <v>-443403.994601717</v>
      </c>
      <c r="BA308" s="37" t="n">
        <f aca="false">BA304+BA307</f>
        <v>-454782.507311123</v>
      </c>
      <c r="BB308" s="37" t="n">
        <f aca="false">BB304+BB307</f>
        <v>-454782.507311123</v>
      </c>
      <c r="BC308" s="37" t="n">
        <f aca="false">BC304+BC307</f>
        <v>-454782.507311123</v>
      </c>
      <c r="BD308" s="37" t="n">
        <f aca="false">BD304+BD307</f>
        <v>-454782.507311123</v>
      </c>
      <c r="BE308" s="37" t="n">
        <f aca="false">BE304+BE307</f>
        <v>-454782.507311123</v>
      </c>
      <c r="BF308" s="37" t="n">
        <f aca="false">BF304+BF307</f>
        <v>-454782.507311123</v>
      </c>
      <c r="BG308" s="37" t="n">
        <f aca="false">BG304+BG307</f>
        <v>-454782.507311123</v>
      </c>
      <c r="BH308" s="37" t="n">
        <f aca="false">BH304+BH307</f>
        <v>-205846.232255523</v>
      </c>
      <c r="BI308" s="37" t="n">
        <f aca="false">BI304+BI307</f>
        <v>-612442.148179669</v>
      </c>
      <c r="BJ308" s="37" t="n">
        <f aca="false">BJ304+BJ307</f>
        <v>-612442.148179669</v>
      </c>
      <c r="BK308" s="37" t="n">
        <f aca="false">BK304+BK307</f>
        <v>-612442.148179669</v>
      </c>
      <c r="BL308" s="37" t="n">
        <f aca="false">BL304+BL307</f>
        <v>-612442.148179669</v>
      </c>
      <c r="BM308" s="37" t="n">
        <f aca="false">BM304+BM307</f>
        <v>-624048.231143263</v>
      </c>
      <c r="BN308" s="37" t="n">
        <f aca="false">BN304+BN307</f>
        <v>-624048.231143263</v>
      </c>
      <c r="BO308" s="37" t="n">
        <f aca="false">BO304+BO307</f>
        <v>-624048.231143263</v>
      </c>
      <c r="BP308" s="37" t="n">
        <f aca="false">BP304+BP307</f>
        <v>-624048.231143263</v>
      </c>
      <c r="BQ308" s="37" t="n">
        <f aca="false">BQ304+BQ307</f>
        <v>-624048.231143263</v>
      </c>
      <c r="BR308" s="37" t="n">
        <f aca="false">BR304+BR307</f>
        <v>-570797.881143263</v>
      </c>
      <c r="BS308" s="37" t="n">
        <f aca="false">BS304+BS307</f>
        <v>-624048.231143263</v>
      </c>
      <c r="BT308" s="37" t="n">
        <f aca="false">BT304+BT307</f>
        <v>-624048.231143263</v>
      </c>
      <c r="BU308" s="37" t="n">
        <f aca="false">BU304+BU307</f>
        <v>-556286.231143263</v>
      </c>
      <c r="BV308" s="37" t="n">
        <f aca="false">BV304+BV307</f>
        <v>-624048.231143263</v>
      </c>
      <c r="BW308" s="37" t="n">
        <f aca="false">BW304+BW307</f>
        <v>-624048.231143263</v>
      </c>
      <c r="BX308" s="37" t="n">
        <f aca="false">BX304+BX307</f>
        <v>-556286.231143263</v>
      </c>
      <c r="BY308" s="37" t="n">
        <f aca="false">BY304+BY307</f>
        <v>-635886.435766128</v>
      </c>
      <c r="BZ308" s="37" t="n">
        <f aca="false">BZ304+BZ307</f>
        <v>-635886.435766128</v>
      </c>
      <c r="CA308" s="37" t="n">
        <f aca="false">CA304+CA307</f>
        <v>-568124.435766128</v>
      </c>
      <c r="CB308" s="37" t="n">
        <f aca="false">CB304+CB307</f>
        <v>-635886.435766128</v>
      </c>
      <c r="CC308" s="37" t="n">
        <f aca="false">CC304+CC307</f>
        <v>-635886.435766128</v>
      </c>
      <c r="CD308" s="37" t="n">
        <f aca="false">CD304+CD307</f>
        <v>-559387.435766128</v>
      </c>
      <c r="CE308" s="37" t="n">
        <f aca="false">CE304+CE307</f>
        <v>-635886.435766128</v>
      </c>
      <c r="CF308" s="37" t="n">
        <f aca="false">CF304+CF307</f>
        <v>-635886.435766128</v>
      </c>
      <c r="CG308" s="37" t="n">
        <f aca="false">CG304+CG307</f>
        <v>-559387.435766128</v>
      </c>
      <c r="CH308" s="37" t="n">
        <f aca="false">CH304+CH307</f>
        <v>-635886.435766128</v>
      </c>
      <c r="CI308" s="37" t="n">
        <f aca="false">CI304+CI307</f>
        <v>-635886.435766128</v>
      </c>
      <c r="CJ308" s="37" t="n">
        <f aca="false">CJ304+CJ307</f>
        <v>-552779.409159649</v>
      </c>
      <c r="CK308" s="37" t="n">
        <f aca="false">CK304+CK307</f>
        <v>-490100.404481451</v>
      </c>
      <c r="CL308" s="37" t="n">
        <f aca="false">CL304+CL307</f>
        <v>-490100.404481451</v>
      </c>
      <c r="CM308" s="37" t="n">
        <f aca="false">CM304+CM307</f>
        <v>-490100.404481451</v>
      </c>
      <c r="CN308" s="37" t="n">
        <f aca="false">CN304+CN307</f>
        <v>-490100.404481451</v>
      </c>
      <c r="CO308" s="37" t="n">
        <f aca="false">CO304+CO307</f>
        <v>-490100.404481451</v>
      </c>
      <c r="CP308" s="37" t="n">
        <f aca="false">CP304+CP307</f>
        <v>-490100.404481451</v>
      </c>
      <c r="CQ308" s="37" t="n">
        <f aca="false">CQ304+CQ307</f>
        <v>-490100.404481451</v>
      </c>
      <c r="CR308" s="37" t="n">
        <f aca="false">CR304+CR307</f>
        <v>-490100.404481451</v>
      </c>
      <c r="CS308" s="37" t="n">
        <f aca="false">CS304+CS307</f>
        <v>-490100.404481451</v>
      </c>
      <c r="CT308" s="37" t="n">
        <f aca="false">CT304+CT307</f>
        <v>-443836.645441313</v>
      </c>
      <c r="CU308" s="37" t="n">
        <f aca="false">CU304+CU307</f>
        <v>-443836.645441313</v>
      </c>
      <c r="CV308" s="37" t="n">
        <f aca="false">CV304+CV307</f>
        <v>-443836.645441313</v>
      </c>
      <c r="CW308" s="37" t="n">
        <f aca="false">CW304+CW307</f>
        <v>-399519.687286546</v>
      </c>
      <c r="CX308" s="37" t="n">
        <f aca="false">CX304+CX307</f>
        <v>-382072.838350139</v>
      </c>
      <c r="CY308" s="37" t="n">
        <f aca="false">CY304+CY307</f>
        <v>-382072.838350139</v>
      </c>
      <c r="CZ308" s="37" t="n">
        <f aca="false">CZ304+CZ307</f>
        <v>-382072.838350139</v>
      </c>
      <c r="DA308" s="37" t="n">
        <f aca="false">DA304+DA307</f>
        <v>-382072.838350139</v>
      </c>
      <c r="DB308" s="37" t="n">
        <f aca="false">DB304+DB307</f>
        <v>-382072.838350139</v>
      </c>
      <c r="DC308" s="37" t="n">
        <f aca="false">DC304+DC307</f>
        <v>-382072.838350139</v>
      </c>
      <c r="DD308" s="37" t="n">
        <f aca="false">DD304+DD307</f>
        <v>-382072.838350139</v>
      </c>
      <c r="DE308" s="37" t="n">
        <f aca="false">DE304+DE307</f>
        <v>-382072.838350139</v>
      </c>
    </row>
    <row r="309" customFormat="false" ht="19.5" hidden="false" customHeight="true" outlineLevel="0" collapsed="false">
      <c r="A309" s="43" t="s">
        <v>150</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0.302119007639929</v>
      </c>
      <c r="H309" s="33" t="n">
        <f aca="false">IFERROR(IF(OR(H304&lt;=0,H308/H304&lt;0,H308/H304&gt;1),0,H308/H304),0)</f>
        <v>0.719200133606244</v>
      </c>
      <c r="I309" s="33" t="n">
        <f aca="false">IFERROR(IF(OR(I304&lt;=0,I308/I304&lt;0,I308/I304&gt;1),0,I308/I304),0)</f>
        <v>0</v>
      </c>
      <c r="J309" s="33" t="n">
        <f aca="false">IFERROR(IF(OR(J304&lt;=0,J308/J304&lt;0,J308/J304&gt;1),0,J308/J304),0)</f>
        <v>0.203417078291402</v>
      </c>
      <c r="K309" s="33" t="n">
        <f aca="false">IFERROR(IF(OR(K304&lt;=0,K308/K304&lt;0,K308/K304&gt;1),0,K308/K304),0)</f>
        <v>0.282176885025827</v>
      </c>
      <c r="L309" s="33" t="n">
        <f aca="false">IFERROR(IF(OR(L304&lt;=0,L308/L304&lt;0,L308/L304&gt;1),0,L308/L304),0)</f>
        <v>0.0917694275349001</v>
      </c>
      <c r="M309" s="33" t="n">
        <f aca="false">IFERROR(IF(OR(M304&lt;=0,M308/M304&lt;0,M308/M304&gt;1),0,M308/M304),0)</f>
        <v>0</v>
      </c>
      <c r="N309" s="33" t="n">
        <f aca="false">IFERROR(IF(OR(N304&lt;=0,N308/N304&lt;0,N308/N304&gt;1),0,N308/N304),0)</f>
        <v>0.341312553520102</v>
      </c>
      <c r="O309" s="33" t="n">
        <f aca="false">IFERROR(IF(OR(O304&lt;=0,O308/O304&lt;0,O308/O304&gt;1),0,O308/O304),0)</f>
        <v>0.178430583976426</v>
      </c>
      <c r="P309" s="33" t="n">
        <f aca="false">IFERROR(IF(OR(P304&lt;=0,P308/P304&lt;0,P308/P304&gt;1),0,P308/P304),0)</f>
        <v>0.244356837503077</v>
      </c>
      <c r="Q309" s="33" t="n">
        <f aca="false">IFERROR(IF(OR(Q304&lt;=0,Q308/Q304&lt;0,Q308/Q304&gt;1),0,Q308/Q304),0)</f>
        <v>0</v>
      </c>
      <c r="R309" s="33" t="n">
        <f aca="false">IFERROR(IF(OR(R304&lt;=0,R308/R304&lt;0,R308/R304&gt;1),0,R308/R304),0)</f>
        <v>0.00164456763091759</v>
      </c>
      <c r="S309" s="33" t="n">
        <f aca="false">IFERROR(IF(OR(S304&lt;=0,S308/S304&lt;0,S308/S304&gt;1),0,S308/S304),0)</f>
        <v>0</v>
      </c>
      <c r="T309" s="33" t="n">
        <f aca="false">IFERROR(IF(OR(T304&lt;=0,T308/T304&lt;0,T308/T304&gt;1),0,T308/T304),0)</f>
        <v>0.356535695694634</v>
      </c>
      <c r="U309" s="33" t="n">
        <f aca="false">IFERROR(IF(OR(U304&lt;=0,U308/U304&lt;0,U308/U304&gt;1),0,U308/U304),0)</f>
        <v>0.293154226460786</v>
      </c>
      <c r="V309" s="33" t="n">
        <f aca="false">IFERROR(IF(OR(V304&lt;=0,V308/V304&lt;0,V308/V304&gt;1),0,V308/V304),0)</f>
        <v>0.230170314603571</v>
      </c>
      <c r="W309" s="33" t="n">
        <f aca="false">IFERROR(IF(OR(W304&lt;=0,W308/W304&lt;0,W308/W304&gt;1),0,W308/W304),0)</f>
        <v>0.21415840866778</v>
      </c>
      <c r="X309" s="33" t="n">
        <f aca="false">IFERROR(IF(OR(X304&lt;=0,X308/X304&lt;0,X308/X304&gt;1),0,X308/X304),0)</f>
        <v>0.451393706445208</v>
      </c>
      <c r="Y309" s="33" t="n">
        <f aca="false">IFERROR(IF(OR(Y304&lt;=0,Y308/Y304&lt;0,Y308/Y304&gt;1),0,Y308/Y304),0)</f>
        <v>0.406605500103992</v>
      </c>
      <c r="Z309" s="33" t="n">
        <f aca="false">IFERROR(IF(OR(Z304&lt;=0,Z308/Z304&lt;0,Z308/Z304&gt;1),0,Z308/Z304),0)</f>
        <v>0.436796299194056</v>
      </c>
      <c r="AA309" s="33" t="n">
        <f aca="false">IFERROR(IF(OR(AA304&lt;=0,AA308/AA304&lt;0,AA308/AA304&gt;1),0,AA308/AA304),0)</f>
        <v>0.448760428927835</v>
      </c>
      <c r="AB309" s="33" t="n">
        <f aca="false">IFERROR(IF(OR(AB304&lt;=0,AB308/AB304&lt;0,AB308/AB304&gt;1),0,AB308/AB304),0)</f>
        <v>0.394368644388531</v>
      </c>
      <c r="AC309" s="33" t="n">
        <f aca="false">IFERROR(IF(OR(AC304&lt;=0,AC308/AC304&lt;0,AC308/AC304&gt;1),0,AC308/AC304),0)</f>
        <v>0.199819854074629</v>
      </c>
      <c r="AD309" s="33" t="n">
        <f aca="false">IFERROR(IF(OR(AD304&lt;=0,AD308/AD304&lt;0,AD308/AD304&gt;1),0,AD308/AD304),0)</f>
        <v>0.2402652746349</v>
      </c>
      <c r="AE309" s="33" t="n">
        <f aca="false">IFERROR(IF(OR(AE304&lt;=0,AE308/AE304&lt;0,AE308/AE304&gt;1),0,AE308/AE304),0)</f>
        <v>0</v>
      </c>
      <c r="AF309" s="33" t="n">
        <f aca="false">IFERROR(IF(OR(AF304&lt;=0,AF308/AF304&lt;0,AF308/AF304&gt;1),0,AF308/AF304),0)</f>
        <v>0.438394079079691</v>
      </c>
      <c r="AG309" s="33" t="n">
        <f aca="false">IFERROR(IF(OR(AG304&lt;=0,AG308/AG304&lt;0,AG308/AG304&gt;1),0,AG308/AG304),0)</f>
        <v>0.40735916654142</v>
      </c>
      <c r="AH309" s="33" t="n">
        <f aca="false">IFERROR(IF(OR(AH304&lt;=0,AH308/AH304&lt;0,AH308/AH304&gt;1),0,AH308/AH304),0)</f>
        <v>0.396661147612167</v>
      </c>
      <c r="AI309" s="33" t="n">
        <f aca="false">IFERROR(IF(OR(AI304&lt;=0,AI308/AI304&lt;0,AI308/AI304&gt;1),0,AI308/AI304),0)</f>
        <v>0.255829661291181</v>
      </c>
      <c r="AJ309" s="33" t="n">
        <f aca="false">IFERROR(IF(OR(AJ304&lt;=0,AJ308/AJ304&lt;0,AJ308/AJ304&gt;1),0,AJ308/AJ304),0)</f>
        <v>0.323711162395373</v>
      </c>
      <c r="AK309" s="33" t="n">
        <f aca="false">IFERROR(IF(OR(AK304&lt;=0,AK308/AK304&lt;0,AK308/AK304&gt;1),0,AK308/AK304),0)</f>
        <v>0</v>
      </c>
      <c r="AL309" s="33" t="n">
        <f aca="false">IFERROR(IF(OR(AL304&lt;=0,AL308/AL304&lt;0,AL308/AL304&gt;1),0,AL308/AL304),0)</f>
        <v>0</v>
      </c>
      <c r="AM309" s="33" t="n">
        <f aca="false">IFERROR(IF(OR(AM304&lt;=0,AM308/AM304&lt;0,AM308/AM304&gt;1),0,AM308/AM304),0)</f>
        <v>0</v>
      </c>
      <c r="AN309" s="33" t="n">
        <f aca="false">IFERROR(IF(OR(AN304&lt;=0,AN308/AN304&lt;0,AN308/AN304&gt;1),0,AN308/AN304),0)</f>
        <v>0</v>
      </c>
      <c r="AO309" s="33" t="n">
        <f aca="false">IFERROR(IF(OR(AO304&lt;=0,AO308/AO304&lt;0,AO308/AO304&gt;1),0,AO308/AO304),0)</f>
        <v>0</v>
      </c>
      <c r="AP309" s="33" t="n">
        <f aca="false">IFERROR(IF(OR(AP304&lt;=0,AP308/AP304&lt;0,AP308/AP304&gt;1),0,AP308/AP304),0)</f>
        <v>0</v>
      </c>
      <c r="AQ309" s="33" t="n">
        <f aca="false">IFERROR(IF(OR(AQ304&lt;=0,AQ308/AQ304&lt;0,AQ308/AQ304&gt;1),0,AQ308/AQ304),0)</f>
        <v>0</v>
      </c>
      <c r="AR309" s="33" t="n">
        <f aca="false">IFERROR(IF(OR(AR304&lt;=0,AR308/AR304&lt;0,AR308/AR304&gt;1),0,AR308/AR304),0)</f>
        <v>0</v>
      </c>
      <c r="AS309" s="33" t="n">
        <f aca="false">IFERROR(IF(OR(AS304&lt;=0,AS308/AS304&lt;0,AS308/AS304&gt;1),0,AS308/AS304),0)</f>
        <v>0</v>
      </c>
      <c r="AT309" s="33" t="n">
        <f aca="false">IFERROR(IF(OR(AT304&lt;=0,AT308/AT304&lt;0,AT308/AT304&gt;1),0,AT308/AT304),0)</f>
        <v>0</v>
      </c>
      <c r="AU309" s="33" t="n">
        <f aca="false">IFERROR(IF(OR(AU304&lt;=0,AU308/AU304&lt;0,AU308/AU304&gt;1),0,AU308/AU304),0)</f>
        <v>0</v>
      </c>
      <c r="AV309" s="33" t="n">
        <f aca="false">IFERROR(IF(OR(AV304&lt;=0,AV308/AV304&lt;0,AV308/AV304&gt;1),0,AV308/AV304),0)</f>
        <v>0.00274720662022125</v>
      </c>
      <c r="AW309" s="33" t="n">
        <f aca="false">IFERROR(IF(OR(AW304&lt;=0,AW308/AW304&lt;0,AW308/AW304&gt;1),0,AW308/AW304),0)</f>
        <v>0</v>
      </c>
      <c r="AX309" s="33" t="n">
        <f aca="false">IFERROR(IF(OR(AX304&lt;=0,AX308/AX304&lt;0,AX308/AX304&gt;1),0,AX308/AX304),0)</f>
        <v>0</v>
      </c>
      <c r="AY309" s="33" t="n">
        <f aca="false">IFERROR(IF(OR(AY304&lt;=0,AY308/AY304&lt;0,AY308/AY304&gt;1),0,AY308/AY304),0)</f>
        <v>0</v>
      </c>
      <c r="AZ309" s="33" t="n">
        <f aca="false">IFERROR(IF(OR(AZ304&lt;=0,AZ308/AZ304&lt;0,AZ308/AZ304&gt;1),0,AZ308/AZ304),0)</f>
        <v>0</v>
      </c>
      <c r="BA309" s="33" t="n">
        <f aca="false">IFERROR(IF(OR(BA304&lt;=0,BA308/BA304&lt;0,BA308/BA304&gt;1),0,BA308/BA304),0)</f>
        <v>0</v>
      </c>
      <c r="BB309" s="33" t="n">
        <f aca="false">IFERROR(IF(OR(BB304&lt;=0,BB308/BB304&lt;0,BB308/BB304&gt;1),0,BB308/BB304),0)</f>
        <v>0</v>
      </c>
      <c r="BC309" s="33" t="n">
        <f aca="false">IFERROR(IF(OR(BC304&lt;=0,BC308/BC304&lt;0,BC308/BC304&gt;1),0,BC308/BC304),0)</f>
        <v>0</v>
      </c>
      <c r="BD309" s="33" t="n">
        <f aca="false">IFERROR(IF(OR(BD304&lt;=0,BD308/BD304&lt;0,BD308/BD304&gt;1),0,BD308/BD304),0)</f>
        <v>0</v>
      </c>
      <c r="BE309" s="33" t="n">
        <f aca="false">IFERROR(IF(OR(BE304&lt;=0,BE308/BE304&lt;0,BE308/BE304&gt;1),0,BE308/BE304),0)</f>
        <v>0</v>
      </c>
      <c r="BF309" s="33" t="n">
        <f aca="false">IFERROR(IF(OR(BF304&lt;=0,BF308/BF304&lt;0,BF308/BF304&gt;1),0,BF308/BF304),0)</f>
        <v>0</v>
      </c>
      <c r="BG309" s="33" t="n">
        <f aca="false">IFERROR(IF(OR(BG304&lt;=0,BG308/BG304&lt;0,BG308/BG304&gt;1),0,BG308/BG304),0)</f>
        <v>0</v>
      </c>
      <c r="BH309" s="33" t="n">
        <f aca="false">IFERROR(IF(OR(BH304&lt;=0,BH308/BH304&lt;0,BH308/BH304&gt;1),0,BH308/BH304),0)</f>
        <v>0</v>
      </c>
      <c r="BI309" s="33" t="n">
        <f aca="false">IFERROR(IF(OR(BI304&lt;=0,BI308/BI304&lt;0,BI308/BI304&gt;1),0,BI308/BI304),0)</f>
        <v>0</v>
      </c>
      <c r="BJ309" s="33" t="n">
        <f aca="false">IFERROR(IF(OR(BJ304&lt;=0,BJ308/BJ304&lt;0,BJ308/BJ304&gt;1),0,BJ308/BJ304),0)</f>
        <v>0</v>
      </c>
      <c r="BK309" s="33" t="n">
        <f aca="false">IFERROR(IF(OR(BK304&lt;=0,BK308/BK304&lt;0,BK308/BK304&gt;1),0,BK308/BK304),0)</f>
        <v>0</v>
      </c>
      <c r="BL309" s="33" t="n">
        <f aca="false">IFERROR(IF(OR(BL304&lt;=0,BL308/BL304&lt;0,BL308/BL304&gt;1),0,BL308/BL304),0)</f>
        <v>0</v>
      </c>
      <c r="BM309" s="33" t="n">
        <f aca="false">IFERROR(IF(OR(BM304&lt;=0,BM308/BM304&lt;0,BM308/BM304&gt;1),0,BM308/BM304),0)</f>
        <v>0</v>
      </c>
      <c r="BN309" s="33" t="n">
        <f aca="false">IFERROR(IF(OR(BN304&lt;=0,BN308/BN304&lt;0,BN308/BN304&gt;1),0,BN308/BN304),0)</f>
        <v>0</v>
      </c>
      <c r="BO309" s="33" t="n">
        <f aca="false">IFERROR(IF(OR(BO304&lt;=0,BO308/BO304&lt;0,BO308/BO304&gt;1),0,BO308/BO304),0)</f>
        <v>0</v>
      </c>
      <c r="BP309" s="33" t="n">
        <f aca="false">IFERROR(IF(OR(BP304&lt;=0,BP308/BP304&lt;0,BP308/BP304&gt;1),0,BP308/BP304),0)</f>
        <v>0</v>
      </c>
      <c r="BQ309" s="33" t="n">
        <f aca="false">IFERROR(IF(OR(BQ304&lt;=0,BQ308/BQ304&lt;0,BQ308/BQ304&gt;1),0,BQ308/BQ304),0)</f>
        <v>0</v>
      </c>
      <c r="BR309" s="33" t="n">
        <f aca="false">IFERROR(IF(OR(BR304&lt;=0,BR308/BR304&lt;0,BR308/BR304&gt;1),0,BR308/BR304),0)</f>
        <v>0</v>
      </c>
      <c r="BS309" s="33" t="n">
        <f aca="false">IFERROR(IF(OR(BS304&lt;=0,BS308/BS304&lt;0,BS308/BS304&gt;1),0,BS308/BS304),0)</f>
        <v>0</v>
      </c>
      <c r="BT309" s="33" t="n">
        <f aca="false">IFERROR(IF(OR(BT304&lt;=0,BT308/BT304&lt;0,BT308/BT304&gt;1),0,BT308/BT304),0)</f>
        <v>0</v>
      </c>
      <c r="BU309" s="33" t="n">
        <f aca="false">IFERROR(IF(OR(BU304&lt;=0,BU308/BU304&lt;0,BU308/BU304&gt;1),0,BU308/BU304),0)</f>
        <v>0</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151</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64656.62</v>
      </c>
      <c r="H311" s="13" t="n">
        <f aca="false">ROUND(H308-(Budget!I57+Budget!I114),2)</f>
        <v>1173237.17</v>
      </c>
      <c r="I311" s="13" t="n">
        <f aca="false">ROUND(I308-(Budget!J57+Budget!J114),2)</f>
        <v>-685720.92</v>
      </c>
      <c r="J311" s="13" t="n">
        <f aca="false">ROUND(J308-(Budget!K57+Budget!K114),2)</f>
        <v>-20399.12</v>
      </c>
      <c r="K311" s="13" t="n">
        <f aca="false">ROUND(K308-(Budget!L57+Budget!L114),2)</f>
        <v>64235.58</v>
      </c>
      <c r="L311" s="13" t="n">
        <f aca="false">ROUND(L308-(Budget!M57+Budget!M114),2)</f>
        <v>-105749.28</v>
      </c>
      <c r="M311" s="13" t="n">
        <f aca="false">ROUND(M308-(Budget!N57+Budget!N114),2)</f>
        <v>-479866.53</v>
      </c>
      <c r="N311" s="13" t="n">
        <f aca="false">ROUND(N308-(Budget!O57+Budget!O114),2)</f>
        <v>325582.52</v>
      </c>
      <c r="O311" s="13" t="n">
        <f aca="false">ROUND(O308-(Budget!P57+Budget!P114),2)</f>
        <v>154852.14</v>
      </c>
      <c r="P311" s="13" t="n">
        <f aca="false">ROUND(P308-(Budget!Q57+Budget!Q114),2)</f>
        <v>217350.47</v>
      </c>
      <c r="Q311" s="13" t="n">
        <f aca="false">ROUND(Q308-(Budget!R57+Budget!R114),2)</f>
        <v>-90446.8</v>
      </c>
      <c r="R311" s="13" t="n">
        <f aca="false">ROUND(R308-(Budget!S57+Budget!S114),2)</f>
        <v>1255.18</v>
      </c>
      <c r="S311" s="13" t="n">
        <f aca="false">ROUND(S308-(Budget!T57+Budget!T114),2)</f>
        <v>-454001.96</v>
      </c>
      <c r="T311" s="13" t="n">
        <f aca="false">ROUND(T308-(Budget!U57+Budget!U114),2)</f>
        <v>420398.05</v>
      </c>
      <c r="U311" s="13" t="n">
        <f aca="false">ROUND(U308-(Budget!V57+Budget!V114),2)</f>
        <v>314668.76</v>
      </c>
      <c r="V311" s="13" t="n">
        <f aca="false">ROUND(V308-(Budget!W57+Budget!W114),2)</f>
        <v>226848.96</v>
      </c>
      <c r="W311" s="13" t="n">
        <f aca="false">ROUND(W308-(Budget!X57+Budget!X114),2)</f>
        <v>206767.49</v>
      </c>
      <c r="X311" s="13" t="n">
        <f aca="false">ROUND(X308-(Budget!Y57+Budget!Y114),2)</f>
        <v>624276.31</v>
      </c>
      <c r="Y311" s="13" t="n">
        <f aca="false">ROUND(Y308-(Budget!Z57+Budget!Z114),2)</f>
        <v>519890.49</v>
      </c>
      <c r="Z311" s="13" t="n">
        <f aca="false">ROUND(Z308-(Budget!AA57+Budget!AA114),2)</f>
        <v>588431.06</v>
      </c>
      <c r="AA311" s="13" t="n">
        <f aca="false">ROUND(AA308-(Budget!AB57+Budget!AB114),2)</f>
        <v>617669.71</v>
      </c>
      <c r="AB311" s="13" t="n">
        <f aca="false">ROUND(AB308-(Budget!AC57+Budget!AC114),2)</f>
        <v>494055.98</v>
      </c>
      <c r="AC311" s="13" t="n">
        <f aca="false">ROUND(AC308-(Budget!AD57+Budget!AD114),2)</f>
        <v>192093.54</v>
      </c>
      <c r="AD311" s="13" t="n">
        <f aca="false">ROUND(AD308-(Budget!AE57+Budget!AE114),2)</f>
        <v>236489.14</v>
      </c>
      <c r="AE311" s="13" t="n">
        <f aca="false">ROUND(AE308-(Budget!AF57+Budget!AF114),2)</f>
        <v>-268109.86</v>
      </c>
      <c r="AF311" s="13" t="n">
        <f aca="false">ROUND(AF308-(Budget!AG57+Budget!AG114),2)</f>
        <v>566320.69</v>
      </c>
      <c r="AG311" s="13" t="n">
        <f aca="false">ROUND(AG308-(Budget!AH57+Budget!AH114),2)</f>
        <v>498672.42</v>
      </c>
      <c r="AH311" s="13" t="n">
        <f aca="false">ROUND(AH308-(Budget!AI57+Budget!AI114),2)</f>
        <v>474907.41</v>
      </c>
      <c r="AI311" s="13" t="n">
        <f aca="false">ROUND(AI308-(Budget!AJ57+Budget!AJ114),2)</f>
        <v>242887.59</v>
      </c>
      <c r="AJ311" s="13" t="n">
        <f aca="false">ROUND(AJ308-(Budget!AK57+Budget!AK114),2)</f>
        <v>331555.8</v>
      </c>
      <c r="AK311" s="13" t="n">
        <f aca="false">ROUND(AK308-(Budget!AL57+Budget!AL114),2)</f>
        <v>-61680.52</v>
      </c>
      <c r="AL311" s="13" t="n">
        <f aca="false">ROUND(AL308-(Budget!AM57+Budget!AM114),2)</f>
        <v>-56249.78</v>
      </c>
      <c r="AM311" s="13" t="n">
        <f aca="false">ROUND(AM308-(Budget!AN57+Budget!AN114),2)</f>
        <v>-29503.71</v>
      </c>
      <c r="AN311" s="13" t="n">
        <f aca="false">ROUND(AN308-(Budget!AO57+Budget!AO114),2)</f>
        <v>-9443.62</v>
      </c>
      <c r="AO311" s="13" t="n">
        <f aca="false">ROUND(AO308-(Budget!AP57+Budget!AP114),2)</f>
        <v>-137740.65</v>
      </c>
      <c r="AP311" s="13" t="n">
        <f aca="false">ROUND(AP308-(Budget!AQ57+Budget!AQ114),2)</f>
        <v>-283133.17</v>
      </c>
      <c r="AQ311" s="13" t="n">
        <f aca="false">ROUND(AQ308-(Budget!AR57+Budget!AR114),2)</f>
        <v>-280445.18</v>
      </c>
      <c r="AR311" s="13" t="n">
        <f aca="false">ROUND(AR308-(Budget!AS57+Budget!AS114),2)</f>
        <v>-270829.79</v>
      </c>
      <c r="AS311" s="13" t="n">
        <f aca="false">ROUND(AS308-(Budget!AT57+Budget!AT114),2)</f>
        <v>-270829.79</v>
      </c>
      <c r="AT311" s="13" t="n">
        <f aca="false">ROUND(AT308-(Budget!AU57+Budget!AU114),2)</f>
        <v>-270829.79</v>
      </c>
      <c r="AU311" s="13" t="n">
        <f aca="false">ROUND(AU308-(Budget!AV57+Budget!AV114),2)</f>
        <v>-270829.79</v>
      </c>
      <c r="AV311" s="13" t="n">
        <f aca="false">ROUND(AV308-(Budget!AW57+Budget!AW114),2)</f>
        <v>1655.79</v>
      </c>
      <c r="AW311" s="13" t="n">
        <f aca="false">ROUND(AW308-(Budget!AX57+Budget!AX114),2)</f>
        <v>-443403.99</v>
      </c>
      <c r="AX311" s="13" t="n">
        <f aca="false">ROUND(AX308-(Budget!AY57+Budget!AY114),2)</f>
        <v>-443403.99</v>
      </c>
      <c r="AY311" s="13" t="n">
        <f aca="false">ROUND(AY308-(Budget!AZ57+Budget!AZ114),2)</f>
        <v>-443403.99</v>
      </c>
      <c r="AZ311" s="13" t="n">
        <f aca="false">ROUND(AZ308-(Budget!BA57+Budget!BA114),2)</f>
        <v>-443403.99</v>
      </c>
      <c r="BA311" s="13" t="n">
        <f aca="false">ROUND(BA308-(Budget!BB57+Budget!BB114),2)</f>
        <v>-454782.51</v>
      </c>
      <c r="BB311" s="13" t="n">
        <f aca="false">ROUND(BB308-(Budget!BC57+Budget!BC114),2)</f>
        <v>-454782.51</v>
      </c>
      <c r="BC311" s="13" t="n">
        <f aca="false">ROUND(BC308-(Budget!BD57+Budget!BD114),2)</f>
        <v>-454782.51</v>
      </c>
      <c r="BD311" s="13" t="n">
        <f aca="false">ROUND(BD308-(Budget!BE57+Budget!BE114),2)</f>
        <v>-454782.51</v>
      </c>
      <c r="BE311" s="13" t="n">
        <f aca="false">ROUND(BE308-(Budget!BF57+Budget!BF114),2)</f>
        <v>-454782.51</v>
      </c>
      <c r="BF311" s="13" t="n">
        <f aca="false">ROUND(BF308-(Budget!BG57+Budget!BG114),2)</f>
        <v>-454782.51</v>
      </c>
      <c r="BG311" s="13" t="n">
        <f aca="false">ROUND(BG308-(Budget!BH57+Budget!BH114),2)</f>
        <v>-454782.51</v>
      </c>
      <c r="BH311" s="13" t="n">
        <f aca="false">ROUND(BH308-(Budget!BI57+Budget!BI114),2)</f>
        <v>-205846.23</v>
      </c>
      <c r="BI311" s="13" t="n">
        <f aca="false">ROUND(BI308-(Budget!BJ57+Budget!BJ114),2)</f>
        <v>-612442.15</v>
      </c>
      <c r="BJ311" s="13" t="n">
        <f aca="false">ROUND(BJ308-(Budget!BK57+Budget!BK114),2)</f>
        <v>-612442.15</v>
      </c>
      <c r="BK311" s="13" t="n">
        <f aca="false">ROUND(BK308-(Budget!BL57+Budget!BL114),2)</f>
        <v>-612442.15</v>
      </c>
      <c r="BL311" s="13" t="n">
        <f aca="false">ROUND(BL308-(Budget!BM57+Budget!BM114),2)</f>
        <v>-612442.15</v>
      </c>
      <c r="BM311" s="13" t="n">
        <f aca="false">ROUND(BM308-(Budget!BN57+Budget!BN114),2)</f>
        <v>-624048.23</v>
      </c>
      <c r="BN311" s="13" t="n">
        <f aca="false">ROUND(BN308-(Budget!BO57+Budget!BO114),2)</f>
        <v>-624048.23</v>
      </c>
      <c r="BO311" s="13" t="n">
        <f aca="false">ROUND(BO308-(Budget!BP57+Budget!BP114),2)</f>
        <v>-624048.23</v>
      </c>
      <c r="BP311" s="13" t="n">
        <f aca="false">ROUND(BP308-(Budget!BQ57+Budget!BQ114),2)</f>
        <v>-624048.23</v>
      </c>
      <c r="BQ311" s="13" t="n">
        <f aca="false">ROUND(BQ308-(Budget!BR57+Budget!BR114),2)</f>
        <v>-624048.23</v>
      </c>
      <c r="BR311" s="13" t="n">
        <f aca="false">ROUND(BR308-(Budget!BS57+Budget!BS114),2)</f>
        <v>-570797.88</v>
      </c>
      <c r="BS311" s="13" t="n">
        <f aca="false">ROUND(BS308-(Budget!BT57+Budget!BT114),2)</f>
        <v>-624048.23</v>
      </c>
      <c r="BT311" s="13" t="n">
        <f aca="false">ROUND(BT308-(Budget!BU57+Budget!BU114),2)</f>
        <v>-624048.23</v>
      </c>
      <c r="BU311" s="13" t="n">
        <f aca="false">ROUND(BU308-(Budget!BV57+Budget!BV114),2)</f>
        <v>-556286.23</v>
      </c>
      <c r="BV311" s="13" t="n">
        <f aca="false">ROUND(BV308-(Budget!BW57+Budget!BW114),2)</f>
        <v>-624048.23</v>
      </c>
      <c r="BW311" s="13" t="n">
        <f aca="false">ROUND(BW308-(Budget!BX57+Budget!BX114),2)</f>
        <v>-624048.23</v>
      </c>
      <c r="BX311" s="13" t="n">
        <f aca="false">ROUND(BX308-(Budget!BY57+Budget!BY114),2)</f>
        <v>-556286.23</v>
      </c>
      <c r="BY311" s="13" t="n">
        <f aca="false">ROUND(BY308-(Budget!BZ57+Budget!BZ114),2)</f>
        <v>-635886.44</v>
      </c>
      <c r="BZ311" s="13" t="n">
        <f aca="false">ROUND(BZ308-(Budget!CA57+Budget!CA114),2)</f>
        <v>-635886.44</v>
      </c>
      <c r="CA311" s="13" t="n">
        <f aca="false">ROUND(CA308-(Budget!CB57+Budget!CB114),2)</f>
        <v>-568124.44</v>
      </c>
      <c r="CB311" s="13" t="n">
        <f aca="false">ROUND(CB308-(Budget!CC57+Budget!CC114),2)</f>
        <v>-635886.44</v>
      </c>
      <c r="CC311" s="13" t="n">
        <f aca="false">ROUND(CC308-(Budget!CD57+Budget!CD114),2)</f>
        <v>-635886.44</v>
      </c>
      <c r="CD311" s="13" t="n">
        <f aca="false">ROUND(CD308-(Budget!CE57+Budget!CE114),2)</f>
        <v>-559387.44</v>
      </c>
      <c r="CE311" s="13" t="n">
        <f aca="false">ROUND(CE308-(Budget!CF57+Budget!CF114),2)</f>
        <v>-635886.44</v>
      </c>
      <c r="CF311" s="13" t="n">
        <f aca="false">ROUND(CF308-(Budget!CG57+Budget!CG114),2)</f>
        <v>-635886.44</v>
      </c>
      <c r="CG311" s="13" t="n">
        <f aca="false">ROUND(CG308-(Budget!CH57+Budget!CH114),2)</f>
        <v>-559387.44</v>
      </c>
      <c r="CH311" s="13" t="n">
        <f aca="false">ROUND(CH308-(Budget!CI57+Budget!CI114),2)</f>
        <v>-635886.44</v>
      </c>
      <c r="CI311" s="13" t="n">
        <f aca="false">ROUND(CI308-(Budget!CJ57+Budget!CJ114),2)</f>
        <v>-635886.44</v>
      </c>
      <c r="CJ311" s="13" t="n">
        <f aca="false">ROUND(CJ308-(Budget!CK57+Budget!CK114),2)</f>
        <v>-552779.41</v>
      </c>
      <c r="CK311" s="13" t="n">
        <f aca="false">ROUND(CK308-(Budget!CL57+Budget!CL114),2)</f>
        <v>-490100.4</v>
      </c>
      <c r="CL311" s="13" t="n">
        <f aca="false">ROUND(CL308-(Budget!CM57+Budget!CM114),2)</f>
        <v>-490100.4</v>
      </c>
      <c r="CM311" s="13" t="n">
        <f aca="false">ROUND(CM308-(Budget!CN57+Budget!CN114),2)</f>
        <v>-490100.4</v>
      </c>
      <c r="CN311" s="13" t="n">
        <f aca="false">ROUND(CN308-(Budget!CO57+Budget!CO114),2)</f>
        <v>-490100.4</v>
      </c>
      <c r="CO311" s="13" t="n">
        <f aca="false">ROUND(CO308-(Budget!CP57+Budget!CP114),2)</f>
        <v>-490100.4</v>
      </c>
      <c r="CP311" s="13" t="n">
        <f aca="false">ROUND(CP308-(Budget!CQ57+Budget!CQ114),2)</f>
        <v>-490100.4</v>
      </c>
      <c r="CQ311" s="13" t="n">
        <f aca="false">ROUND(CQ308-(Budget!CR57+Budget!CR114),2)</f>
        <v>-490100.4</v>
      </c>
      <c r="CR311" s="13" t="n">
        <f aca="false">ROUND(CR308-(Budget!CS57+Budget!CS114),2)</f>
        <v>-490100.4</v>
      </c>
      <c r="CS311" s="13" t="n">
        <f aca="false">ROUND(CS308-(Budget!CT57+Budget!CT114),2)</f>
        <v>-490100.4</v>
      </c>
      <c r="CT311" s="13" t="n">
        <f aca="false">ROUND(CT308-(Budget!CU57+Budget!CU114),2)</f>
        <v>-443836.65</v>
      </c>
      <c r="CU311" s="13" t="n">
        <f aca="false">ROUND(CU308-(Budget!CV57+Budget!CV114),2)</f>
        <v>-443836.65</v>
      </c>
      <c r="CV311" s="13" t="n">
        <f aca="false">ROUND(CV308-(Budget!CW57+Budget!CW114),2)</f>
        <v>-443836.65</v>
      </c>
      <c r="CW311" s="13" t="n">
        <f aca="false">ROUND(CW308-(Budget!CX57+Budget!CX114),2)</f>
        <v>-399519.69</v>
      </c>
      <c r="CX311" s="13" t="n">
        <f aca="false">ROUND(CX308-(Budget!CY57+Budget!CY114),2)</f>
        <v>-382072.84</v>
      </c>
      <c r="CY311" s="13" t="n">
        <f aca="false">ROUND(CY308-(Budget!CZ57+Budget!CZ114),2)</f>
        <v>-382072.84</v>
      </c>
      <c r="CZ311" s="13" t="n">
        <f aca="false">ROUND(CZ308-(Budget!DA57+Budget!DA114),2)</f>
        <v>-382072.84</v>
      </c>
      <c r="DA311" s="13" t="n">
        <f aca="false">ROUND(DA308-(Budget!DB57+Budget!DB114),2)</f>
        <v>-382072.84</v>
      </c>
      <c r="DB311" s="13" t="n">
        <f aca="false">ROUND(DB308-(Budget!DC57+Budget!DC114),2)</f>
        <v>-382072.84</v>
      </c>
      <c r="DC311" s="13" t="n">
        <f aca="false">ROUND(DC308-(Budget!DD57+Budget!DD114),2)</f>
        <v>-382072.84</v>
      </c>
      <c r="DD311" s="13" t="n">
        <f aca="false">ROUND(DD308-(Budget!DE57+Budget!DE114),2)</f>
        <v>-382072.84</v>
      </c>
      <c r="DE311" s="13" t="n">
        <f aca="false">ROUND(DE308-(Budget!DF57+Budget!DF114),2)</f>
        <v>-382072.84</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152</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153</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1692127.58143555</v>
      </c>
      <c r="P314" s="13" t="n">
        <f aca="false">O317</f>
        <v>1580127.58143555</v>
      </c>
      <c r="Q314" s="13" t="n">
        <f aca="false">P317</f>
        <v>1527382.36573938</v>
      </c>
      <c r="R314" s="13" t="n">
        <f aca="false">Q317</f>
        <v>1415382.36573938</v>
      </c>
      <c r="S314" s="13" t="n">
        <f aca="false">R317</f>
        <v>1303382.36573938</v>
      </c>
      <c r="T314" s="13" t="n">
        <f aca="false">S317</f>
        <v>1240259.20445461</v>
      </c>
      <c r="U314" s="13" t="n">
        <f aca="false">T317</f>
        <v>1128259.20445461</v>
      </c>
      <c r="V314" s="13" t="n">
        <f aca="false">U317</f>
        <v>1016259.20445461</v>
      </c>
      <c r="W314" s="13" t="n">
        <f aca="false">V317</f>
        <v>942368.924621655</v>
      </c>
      <c r="X314" s="13" t="n">
        <f aca="false">W317</f>
        <v>830368.924621655</v>
      </c>
      <c r="Y314" s="13" t="n">
        <f aca="false">X317</f>
        <v>718368.924621655</v>
      </c>
      <c r="Z314" s="13" t="n">
        <f aca="false">Y317</f>
        <v>633307.759294967</v>
      </c>
      <c r="AA314" s="13" t="n">
        <f aca="false">Z317</f>
        <v>521307.759294967</v>
      </c>
      <c r="AB314" s="13" t="n">
        <f aca="false">AA317</f>
        <v>409307.759294967</v>
      </c>
      <c r="AC314" s="13" t="n">
        <f aca="false">AB317</f>
        <v>312656.800268528</v>
      </c>
      <c r="AD314" s="13" t="n">
        <f aca="false">AC317</f>
        <v>200656.800268528</v>
      </c>
      <c r="AE314" s="13" t="n">
        <f aca="false">AD317</f>
        <v>88656.8002685279</v>
      </c>
      <c r="AF314" s="13" t="n">
        <f aca="false">AE317</f>
        <v>0</v>
      </c>
      <c r="AG314" s="13" t="n">
        <f aca="false">AF317</f>
        <v>0</v>
      </c>
      <c r="AH314" s="13" t="n">
        <f aca="false">AG317</f>
        <v>0</v>
      </c>
      <c r="AI314" s="13" t="n">
        <f aca="false">AH317</f>
        <v>0</v>
      </c>
      <c r="AJ314" s="13" t="n">
        <f aca="false">AI317</f>
        <v>0</v>
      </c>
      <c r="AK314" s="13" t="n">
        <f aca="false">AJ317</f>
        <v>0</v>
      </c>
      <c r="AL314" s="13" t="n">
        <f aca="false">AK317</f>
        <v>0</v>
      </c>
      <c r="AM314" s="13" t="n">
        <f aca="false">AL317</f>
        <v>0</v>
      </c>
      <c r="AN314" s="13" t="n">
        <f aca="false">AM317</f>
        <v>0</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154</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59254.784303833</v>
      </c>
      <c r="Q315" s="13" t="n">
        <f aca="false">IF(AND(MOD(13,3)=0,Q314&gt;0),Q314*Assumptions!$B$35,0)</f>
        <v>0</v>
      </c>
      <c r="R315" s="13" t="n">
        <f aca="false">IF(AND(MOD(14,3)=0,R314&gt;0),R314*Assumptions!$B$35,0)</f>
        <v>0</v>
      </c>
      <c r="S315" s="13" t="n">
        <f aca="false">IF(AND(MOD(15,3)=0,S314&gt;0),S314*Assumptions!$B$35,0)</f>
        <v>48876.8387152267</v>
      </c>
      <c r="T315" s="13" t="n">
        <f aca="false">IF(AND(MOD(16,3)=0,T314&gt;0),T314*Assumptions!$B$35,0)</f>
        <v>0</v>
      </c>
      <c r="U315" s="13" t="n">
        <f aca="false">IF(AND(MOD(17,3)=0,U314&gt;0),U314*Assumptions!$B$35,0)</f>
        <v>0</v>
      </c>
      <c r="V315" s="13" t="n">
        <f aca="false">IF(AND(MOD(18,3)=0,V314&gt;0),V314*Assumptions!$B$35,0)</f>
        <v>38109.7201670478</v>
      </c>
      <c r="W315" s="13" t="n">
        <f aca="false">IF(AND(MOD(19,3)=0,W314&gt;0),W314*Assumptions!$B$35,0)</f>
        <v>0</v>
      </c>
      <c r="X315" s="13" t="n">
        <f aca="false">IF(AND(MOD(20,3)=0,X314&gt;0),X314*Assumptions!$B$35,0)</f>
        <v>0</v>
      </c>
      <c r="Y315" s="13" t="n">
        <f aca="false">IF(AND(MOD(21,3)=0,Y314&gt;0),Y314*Assumptions!$B$35,0)</f>
        <v>26938.8346733121</v>
      </c>
      <c r="Z315" s="13" t="n">
        <f aca="false">IF(AND(MOD(22,3)=0,Z314&gt;0),Z314*Assumptions!$B$35,0)</f>
        <v>0</v>
      </c>
      <c r="AA315" s="13" t="n">
        <f aca="false">IF(AND(MOD(23,3)=0,AA314&gt;0),AA314*Assumptions!$B$35,0)</f>
        <v>0</v>
      </c>
      <c r="AB315" s="13" t="n">
        <f aca="false">IF(AND(MOD(24,3)=0,AB314&gt;0),AB314*Assumptions!$B$35,0)</f>
        <v>15349.0409735613</v>
      </c>
      <c r="AC315" s="13" t="n">
        <f aca="false">IF(AND(MOD(25,3)=0,AC314&gt;0),AC314*Assumptions!$B$35,0)</f>
        <v>0</v>
      </c>
      <c r="AD315" s="13" t="n">
        <f aca="false">IF(AND(MOD(26,3)=0,AD314&gt;0),AD314*Assumptions!$B$35,0)</f>
        <v>0</v>
      </c>
      <c r="AE315" s="13" t="n">
        <f aca="false">IF(AND(MOD(27,3)=0,AE314&gt;0),AE314*Assumptions!$B$35,0)</f>
        <v>3324.6300100698</v>
      </c>
      <c r="AF315" s="13" t="n">
        <f aca="false">IF(AND(MOD(28,3)=0,AF314&gt;0),AF314*Assumptions!$B$35,0)</f>
        <v>0</v>
      </c>
      <c r="AG315" s="13" t="n">
        <f aca="false">IF(AND(MOD(29,3)=0,AG314&gt;0),AG314*Assumptions!$B$35,0)</f>
        <v>0</v>
      </c>
      <c r="AH315" s="13" t="n">
        <f aca="false">IF(AND(MOD(30,3)=0,AH314&gt;0),AH314*Assumptions!$B$35,0)</f>
        <v>0</v>
      </c>
      <c r="AI315" s="13" t="n">
        <f aca="false">IF(AND(MOD(31,3)=0,AI314&gt;0),AI314*Assumptions!$B$35,0)</f>
        <v>0</v>
      </c>
      <c r="AJ315" s="13" t="n">
        <f aca="false">IF(AND(MOD(32,3)=0,AJ314&gt;0),AJ314*Assumptions!$B$35,0)</f>
        <v>0</v>
      </c>
      <c r="AK315" s="13" t="n">
        <f aca="false">IF(AND(MOD(33,3)=0,AK314&gt;0),AK314*Assumptions!$B$35,0)</f>
        <v>0</v>
      </c>
      <c r="AL315" s="13" t="n">
        <f aca="false">IF(AND(MOD(34,3)=0,AL314&gt;0),AL314*Assumptions!$B$35,0)</f>
        <v>0</v>
      </c>
      <c r="AM315" s="13" t="n">
        <f aca="false">IF(AND(MOD(35,3)=0,AM314&gt;0),AM314*Assumptions!$B$35,0)</f>
        <v>0</v>
      </c>
      <c r="AN315" s="13" t="n">
        <f aca="false">IF(AND(MOD(36,3)=0,AN314&gt;0),AN314*Assumptions!$B$35,0)</f>
        <v>0</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155</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-112000</v>
      </c>
      <c r="O316" s="13" t="n">
        <f aca="false">IF(AND(11&gt;=Assumptions!$B$37,O314+O315&gt;0),-MIN(Assumptions!$B$36,O314+O315),0)</f>
        <v>-112000</v>
      </c>
      <c r="P316" s="13" t="n">
        <f aca="false">IF(AND(12&gt;=Assumptions!$B$37,P314+P315&gt;0),-MIN(Assumptions!$B$36,P314+P315),0)</f>
        <v>-112000</v>
      </c>
      <c r="Q316" s="13" t="n">
        <f aca="false">IF(AND(13&gt;=Assumptions!$B$37,Q314+Q315&gt;0),-MIN(Assumptions!$B$36,Q314+Q315),0)</f>
        <v>-112000</v>
      </c>
      <c r="R316" s="13" t="n">
        <f aca="false">IF(AND(14&gt;=Assumptions!$B$37,R314+R315&gt;0),-MIN(Assumptions!$B$36,R314+R315),0)</f>
        <v>-112000</v>
      </c>
      <c r="S316" s="13" t="n">
        <f aca="false">IF(AND(15&gt;=Assumptions!$B$37,S314+S315&gt;0),-MIN(Assumptions!$B$36,S314+S315),0)</f>
        <v>-112000</v>
      </c>
      <c r="T316" s="13" t="n">
        <f aca="false">IF(AND(16&gt;=Assumptions!$B$37,T314+T315&gt;0),-MIN(Assumptions!$B$36,T314+T315),0)</f>
        <v>-112000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-91981.4302785977</v>
      </c>
      <c r="AF316" s="13" t="n">
        <f aca="false">IF(AND(28&gt;=Assumptions!$B$37,AF314+AF315&gt;0),-MIN(Assumptions!$B$36,AF314+AF315),0)</f>
        <v>0</v>
      </c>
      <c r="AG316" s="13" t="n">
        <f aca="false">IF(AND(29&gt;=Assumptions!$B$37,AG314+AG315&gt;0),-MIN(Assumptions!$B$36,AG314+AG315),0)</f>
        <v>0</v>
      </c>
      <c r="AH316" s="13" t="n">
        <f aca="false">IF(AND(30&gt;=Assumptions!$B$37,AH314+AH315&gt;0),-MIN(Assumptions!$B$36,AH314+AH315),0)</f>
        <v>0</v>
      </c>
      <c r="AI316" s="13" t="n">
        <f aca="false">IF(AND(31&gt;=Assumptions!$B$37,AI314+AI315&gt;0),-MIN(Assumptions!$B$36,AI314+AI315),0)</f>
        <v>0</v>
      </c>
      <c r="AJ316" s="13" t="n">
        <f aca="false">IF(AND(32&gt;=Assumptions!$B$37,AJ314+AJ315&gt;0),-MIN(Assumptions!$B$36,AJ314+AJ315),0)</f>
        <v>0</v>
      </c>
      <c r="AK316" s="13" t="n">
        <f aca="false">IF(AND(33&gt;=Assumptions!$B$37,AK314+AK315&gt;0),-MIN(Assumptions!$B$36,AK314+AK315),0)</f>
        <v>0</v>
      </c>
      <c r="AL316" s="13" t="n">
        <f aca="false">IF(AND(34&gt;=Assumptions!$B$37,AL314+AL315&gt;0),-MIN(Assumptions!$B$36,AL314+AL315),0)</f>
        <v>0</v>
      </c>
      <c r="AM316" s="13" t="n">
        <f aca="false">IF(AND(35&gt;=Assumptions!$B$37,AM314+AM315&gt;0),-MIN(Assumptions!$B$36,AM314+AM315),0)</f>
        <v>0</v>
      </c>
      <c r="AN316" s="13" t="n">
        <f aca="false">IF(AND(36&gt;=Assumptions!$B$37,AN314+AN315&gt;0),-MIN(Assumptions!$B$36,AN314+AN315),0)</f>
        <v>0</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156</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1692127.58143555</v>
      </c>
      <c r="O317" s="46" t="n">
        <f aca="false">MAX(0,O314+O315+O316)</f>
        <v>1580127.58143555</v>
      </c>
      <c r="P317" s="46" t="n">
        <f aca="false">MAX(0,P314+P315+P316)</f>
        <v>1527382.36573938</v>
      </c>
      <c r="Q317" s="46" t="n">
        <f aca="false">MAX(0,Q314+Q315+Q316)</f>
        <v>1415382.36573938</v>
      </c>
      <c r="R317" s="46" t="n">
        <f aca="false">MAX(0,R314+R315+R316)</f>
        <v>1303382.36573938</v>
      </c>
      <c r="S317" s="46" t="n">
        <f aca="false">MAX(0,S314+S315+S316)</f>
        <v>1240259.20445461</v>
      </c>
      <c r="T317" s="46" t="n">
        <f aca="false">MAX(0,T314+T315+T316)</f>
        <v>1128259.20445461</v>
      </c>
      <c r="U317" s="46" t="n">
        <f aca="false">MAX(0,U314+U315+U316)</f>
        <v>1016259.20445461</v>
      </c>
      <c r="V317" s="46" t="n">
        <f aca="false">MAX(0,V314+V315+V316)</f>
        <v>942368.924621655</v>
      </c>
      <c r="W317" s="46" t="n">
        <f aca="false">MAX(0,W314+W315+W316)</f>
        <v>830368.924621655</v>
      </c>
      <c r="X317" s="46" t="n">
        <f aca="false">MAX(0,X314+X315+X316)</f>
        <v>718368.924621655</v>
      </c>
      <c r="Y317" s="46" t="n">
        <f aca="false">MAX(0,Y314+Y315+Y316)</f>
        <v>633307.759294967</v>
      </c>
      <c r="Z317" s="46" t="n">
        <f aca="false">MAX(0,Z314+Z315+Z316)</f>
        <v>521307.759294967</v>
      </c>
      <c r="AA317" s="46" t="n">
        <f aca="false">MAX(0,AA314+AA315+AA316)</f>
        <v>409307.759294967</v>
      </c>
      <c r="AB317" s="46" t="n">
        <f aca="false">MAX(0,AB314+AB315+AB316)</f>
        <v>312656.800268528</v>
      </c>
      <c r="AC317" s="46" t="n">
        <f aca="false">MAX(0,AC314+AC315+AC316)</f>
        <v>200656.800268528</v>
      </c>
      <c r="AD317" s="46" t="n">
        <f aca="false">MAX(0,AD314+AD315+AD316)</f>
        <v>88656.8002685279</v>
      </c>
      <c r="AE317" s="46" t="n">
        <f aca="false">MAX(0,AE314+AE315+AE316)</f>
        <v>0</v>
      </c>
      <c r="AF317" s="46" t="n">
        <f aca="false">MAX(0,AF314+AF315+AF316)</f>
        <v>0</v>
      </c>
      <c r="AG317" s="46" t="n">
        <f aca="false">MAX(0,AG314+AG315+AG316)</f>
        <v>0</v>
      </c>
      <c r="AH317" s="46" t="n">
        <f aca="false">MAX(0,AH314+AH315+AH316)</f>
        <v>0</v>
      </c>
      <c r="AI317" s="46" t="n">
        <f aca="false">MAX(0,AI314+AI315+AI316)</f>
        <v>0</v>
      </c>
      <c r="AJ317" s="46" t="n">
        <f aca="false">MAX(0,AJ314+AJ315+AJ316)</f>
        <v>0</v>
      </c>
      <c r="AK317" s="46" t="n">
        <f aca="false">MAX(0,AK314+AK315+AK316)</f>
        <v>0</v>
      </c>
      <c r="AL317" s="46" t="n">
        <f aca="false">MAX(0,AL314+AL315+AL316)</f>
        <v>0</v>
      </c>
      <c r="AM317" s="46" t="n">
        <f aca="false">MAX(0,AM314+AM315+AM316)</f>
        <v>0</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157</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153</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500000</v>
      </c>
      <c r="AO321" s="13" t="n">
        <f aca="false">AN323</f>
        <v>500000</v>
      </c>
      <c r="AP321" s="13" t="n">
        <f aca="false">AO323</f>
        <v>500000</v>
      </c>
      <c r="AQ321" s="13" t="n">
        <f aca="false">AP323</f>
        <v>500000</v>
      </c>
      <c r="AR321" s="13" t="n">
        <f aca="false">AQ323</f>
        <v>500000</v>
      </c>
      <c r="AS321" s="13" t="n">
        <f aca="false">AR323</f>
        <v>500000</v>
      </c>
      <c r="AT321" s="13" t="n">
        <f aca="false">AS323</f>
        <v>500000</v>
      </c>
      <c r="AU321" s="13" t="n">
        <f aca="false">AT323</f>
        <v>500000</v>
      </c>
      <c r="AV321" s="13" t="n">
        <f aca="false">AU323</f>
        <v>500000</v>
      </c>
      <c r="AW321" s="13" t="n">
        <f aca="false">AV323</f>
        <v>500000</v>
      </c>
      <c r="AX321" s="13" t="n">
        <f aca="false">AW323</f>
        <v>500000</v>
      </c>
      <c r="AY321" s="13" t="n">
        <f aca="false">AX323</f>
        <v>500000</v>
      </c>
      <c r="AZ321" s="13" t="n">
        <f aca="false">AY323</f>
        <v>500000</v>
      </c>
      <c r="BA321" s="13" t="n">
        <f aca="false">AZ323</f>
        <v>500000</v>
      </c>
      <c r="BB321" s="13" t="n">
        <f aca="false">BA323</f>
        <v>500000</v>
      </c>
      <c r="BC321" s="13" t="n">
        <f aca="false">BB323</f>
        <v>500000</v>
      </c>
      <c r="BD321" s="13" t="n">
        <f aca="false">BC323</f>
        <v>500000</v>
      </c>
      <c r="BE321" s="13" t="n">
        <f aca="false">BD323</f>
        <v>500000</v>
      </c>
      <c r="BF321" s="13" t="n">
        <f aca="false">BE323</f>
        <v>500000</v>
      </c>
      <c r="BG321" s="13" t="n">
        <f aca="false">BF323</f>
        <v>500000</v>
      </c>
      <c r="BH321" s="13" t="n">
        <f aca="false">BG323</f>
        <v>500000</v>
      </c>
      <c r="BI321" s="13" t="n">
        <f aca="false">BH323</f>
        <v>500000</v>
      </c>
      <c r="BJ321" s="13" t="n">
        <f aca="false">BI323</f>
        <v>500000</v>
      </c>
      <c r="BK321" s="13" t="n">
        <f aca="false">BJ323</f>
        <v>500000</v>
      </c>
      <c r="BL321" s="13" t="n">
        <f aca="false">BK323</f>
        <v>500000</v>
      </c>
      <c r="BM321" s="13" t="n">
        <f aca="false">BL323</f>
        <v>500000</v>
      </c>
      <c r="BN321" s="13" t="n">
        <f aca="false">BM323</f>
        <v>500000</v>
      </c>
      <c r="BO321" s="13" t="n">
        <f aca="false">BN323</f>
        <v>500000</v>
      </c>
      <c r="BP321" s="13" t="n">
        <f aca="false">BO323</f>
        <v>500000</v>
      </c>
      <c r="BQ321" s="13" t="n">
        <f aca="false">BP323</f>
        <v>500000</v>
      </c>
      <c r="BR321" s="13" t="n">
        <f aca="false">BQ323</f>
        <v>500000</v>
      </c>
      <c r="BS321" s="13" t="n">
        <f aca="false">BR323</f>
        <v>500000</v>
      </c>
      <c r="BT321" s="13" t="n">
        <f aca="false">BS323</f>
        <v>500000</v>
      </c>
      <c r="BU321" s="13" t="n">
        <f aca="false">BT323</f>
        <v>500000</v>
      </c>
      <c r="BV321" s="13" t="n">
        <f aca="false">BU323</f>
        <v>500000</v>
      </c>
      <c r="BW321" s="13" t="n">
        <f aca="false">BV323</f>
        <v>500000</v>
      </c>
      <c r="BX321" s="13" t="n">
        <f aca="false">BW323</f>
        <v>500000</v>
      </c>
      <c r="BY321" s="13" t="n">
        <f aca="false">BX323</f>
        <v>500000</v>
      </c>
      <c r="BZ321" s="13" t="n">
        <f aca="false">BY323</f>
        <v>500000</v>
      </c>
      <c r="CA321" s="13" t="n">
        <f aca="false">BZ323</f>
        <v>500000</v>
      </c>
      <c r="CB321" s="13" t="n">
        <f aca="false">CA323</f>
        <v>500000</v>
      </c>
      <c r="CC321" s="13" t="n">
        <f aca="false">CB323</f>
        <v>500000</v>
      </c>
      <c r="CD321" s="13" t="n">
        <f aca="false">CC323</f>
        <v>500000</v>
      </c>
      <c r="CE321" s="13" t="n">
        <f aca="false">CD323</f>
        <v>500000</v>
      </c>
      <c r="CF321" s="13" t="n">
        <f aca="false">CE323</f>
        <v>500000</v>
      </c>
      <c r="CG321" s="13" t="n">
        <f aca="false">CF323</f>
        <v>500000</v>
      </c>
      <c r="CH321" s="13" t="n">
        <f aca="false">CG323</f>
        <v>500000</v>
      </c>
      <c r="CI321" s="13" t="n">
        <f aca="false">CH323</f>
        <v>500000</v>
      </c>
      <c r="CJ321" s="13" t="n">
        <f aca="false">CI323</f>
        <v>500000</v>
      </c>
      <c r="CK321" s="13" t="n">
        <f aca="false">CJ323</f>
        <v>500000</v>
      </c>
      <c r="CL321" s="13" t="n">
        <f aca="false">CK323</f>
        <v>500000</v>
      </c>
      <c r="CM321" s="13" t="n">
        <f aca="false">CL323</f>
        <v>500000</v>
      </c>
      <c r="CN321" s="13" t="n">
        <f aca="false">CM323</f>
        <v>500000</v>
      </c>
      <c r="CO321" s="13" t="n">
        <f aca="false">CN323</f>
        <v>500000</v>
      </c>
      <c r="CP321" s="13" t="n">
        <f aca="false">CO323</f>
        <v>500000</v>
      </c>
      <c r="CQ321" s="13" t="n">
        <f aca="false">CP323</f>
        <v>500000</v>
      </c>
      <c r="CR321" s="13" t="n">
        <f aca="false">CQ323</f>
        <v>500000</v>
      </c>
      <c r="CS321" s="13" t="n">
        <f aca="false">CR323</f>
        <v>500000</v>
      </c>
      <c r="CT321" s="13" t="n">
        <f aca="false">CS323</f>
        <v>500000</v>
      </c>
      <c r="CU321" s="13" t="n">
        <f aca="false">CT323</f>
        <v>500000</v>
      </c>
      <c r="CV321" s="13" t="n">
        <f aca="false">CU323</f>
        <v>500000</v>
      </c>
      <c r="CW321" s="13" t="n">
        <f aca="false">CV323</f>
        <v>500000</v>
      </c>
      <c r="CX321" s="13" t="n">
        <f aca="false">CW323</f>
        <v>500000</v>
      </c>
      <c r="CY321" s="13" t="n">
        <f aca="false">CX323</f>
        <v>500000</v>
      </c>
      <c r="CZ321" s="13" t="n">
        <f aca="false">CY323</f>
        <v>500000</v>
      </c>
      <c r="DA321" s="13" t="n">
        <f aca="false">CZ323</f>
        <v>500000</v>
      </c>
      <c r="DB321" s="13" t="n">
        <f aca="false">DA323</f>
        <v>500000</v>
      </c>
      <c r="DC321" s="13" t="n">
        <f aca="false">DB323</f>
        <v>500000</v>
      </c>
      <c r="DD321" s="13" t="n">
        <f aca="false">DC323</f>
        <v>500000</v>
      </c>
      <c r="DE321" s="13" t="n">
        <f aca="false">DD323</f>
        <v>500000</v>
      </c>
    </row>
    <row r="322" customFormat="false" ht="15" hidden="false" customHeight="true" outlineLevel="0" collapsed="false">
      <c r="A322" s="22" t="s">
        <v>158</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-250000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156</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500000</v>
      </c>
      <c r="AN323" s="46" t="n">
        <f aca="false">MAX(0,AN321+AN322)</f>
        <v>500000</v>
      </c>
      <c r="AO323" s="46" t="n">
        <f aca="false">MAX(0,AO321+AO322)</f>
        <v>500000</v>
      </c>
      <c r="AP323" s="46" t="n">
        <f aca="false">MAX(0,AP321+AP322)</f>
        <v>500000</v>
      </c>
      <c r="AQ323" s="46" t="n">
        <f aca="false">MAX(0,AQ321+AQ322)</f>
        <v>500000</v>
      </c>
      <c r="AR323" s="46" t="n">
        <f aca="false">MAX(0,AR321+AR322)</f>
        <v>500000</v>
      </c>
      <c r="AS323" s="46" t="n">
        <f aca="false">MAX(0,AS321+AS322)</f>
        <v>500000</v>
      </c>
      <c r="AT323" s="46" t="n">
        <f aca="false">MAX(0,AT321+AT322)</f>
        <v>500000</v>
      </c>
      <c r="AU323" s="46" t="n">
        <f aca="false">MAX(0,AU321+AU322)</f>
        <v>500000</v>
      </c>
      <c r="AV323" s="46" t="n">
        <f aca="false">MAX(0,AV321+AV322)</f>
        <v>500000</v>
      </c>
      <c r="AW323" s="46" t="n">
        <f aca="false">MAX(0,AW321+AW322)</f>
        <v>500000</v>
      </c>
      <c r="AX323" s="46" t="n">
        <f aca="false">MAX(0,AX321+AX322)</f>
        <v>500000</v>
      </c>
      <c r="AY323" s="46" t="n">
        <f aca="false">MAX(0,AY321+AY322)</f>
        <v>500000</v>
      </c>
      <c r="AZ323" s="46" t="n">
        <f aca="false">MAX(0,AZ321+AZ322)</f>
        <v>500000</v>
      </c>
      <c r="BA323" s="46" t="n">
        <f aca="false">MAX(0,BA321+BA322)</f>
        <v>500000</v>
      </c>
      <c r="BB323" s="46" t="n">
        <f aca="false">MAX(0,BB321+BB322)</f>
        <v>500000</v>
      </c>
      <c r="BC323" s="46" t="n">
        <f aca="false">MAX(0,BC321+BC322)</f>
        <v>500000</v>
      </c>
      <c r="BD323" s="46" t="n">
        <f aca="false">MAX(0,BD321+BD322)</f>
        <v>500000</v>
      </c>
      <c r="BE323" s="46" t="n">
        <f aca="false">MAX(0,BE321+BE322)</f>
        <v>500000</v>
      </c>
      <c r="BF323" s="46" t="n">
        <f aca="false">MAX(0,BF321+BF322)</f>
        <v>500000</v>
      </c>
      <c r="BG323" s="46" t="n">
        <f aca="false">MAX(0,BG321+BG322)</f>
        <v>500000</v>
      </c>
      <c r="BH323" s="46" t="n">
        <f aca="false">MAX(0,BH321+BH322)</f>
        <v>500000</v>
      </c>
      <c r="BI323" s="46" t="n">
        <f aca="false">MAX(0,BI321+BI322)</f>
        <v>500000</v>
      </c>
      <c r="BJ323" s="46" t="n">
        <f aca="false">MAX(0,BJ321+BJ322)</f>
        <v>500000</v>
      </c>
      <c r="BK323" s="46" t="n">
        <f aca="false">MAX(0,BK321+BK322)</f>
        <v>500000</v>
      </c>
      <c r="BL323" s="46" t="n">
        <f aca="false">MAX(0,BL321+BL322)</f>
        <v>500000</v>
      </c>
      <c r="BM323" s="46" t="n">
        <f aca="false">MAX(0,BM321+BM322)</f>
        <v>500000</v>
      </c>
      <c r="BN323" s="46" t="n">
        <f aca="false">MAX(0,BN321+BN322)</f>
        <v>500000</v>
      </c>
      <c r="BO323" s="46" t="n">
        <f aca="false">MAX(0,BO321+BO322)</f>
        <v>500000</v>
      </c>
      <c r="BP323" s="46" t="n">
        <f aca="false">MAX(0,BP321+BP322)</f>
        <v>500000</v>
      </c>
      <c r="BQ323" s="46" t="n">
        <f aca="false">MAX(0,BQ321+BQ322)</f>
        <v>500000</v>
      </c>
      <c r="BR323" s="46" t="n">
        <f aca="false">MAX(0,BR321+BR322)</f>
        <v>500000</v>
      </c>
      <c r="BS323" s="46" t="n">
        <f aca="false">MAX(0,BS321+BS322)</f>
        <v>500000</v>
      </c>
      <c r="BT323" s="46" t="n">
        <f aca="false">MAX(0,BT321+BT322)</f>
        <v>500000</v>
      </c>
      <c r="BU323" s="46" t="n">
        <f aca="false">MAX(0,BU321+BU322)</f>
        <v>500000</v>
      </c>
      <c r="BV323" s="46" t="n">
        <f aca="false">MAX(0,BV321+BV322)</f>
        <v>500000</v>
      </c>
      <c r="BW323" s="46" t="n">
        <f aca="false">MAX(0,BW321+BW322)</f>
        <v>500000</v>
      </c>
      <c r="BX323" s="46" t="n">
        <f aca="false">MAX(0,BX321+BX322)</f>
        <v>500000</v>
      </c>
      <c r="BY323" s="46" t="n">
        <f aca="false">MAX(0,BY321+BY322)</f>
        <v>500000</v>
      </c>
      <c r="BZ323" s="46" t="n">
        <f aca="false">MAX(0,BZ321+BZ322)</f>
        <v>500000</v>
      </c>
      <c r="CA323" s="46" t="n">
        <f aca="false">MAX(0,CA321+CA322)</f>
        <v>500000</v>
      </c>
      <c r="CB323" s="46" t="n">
        <f aca="false">MAX(0,CB321+CB322)</f>
        <v>500000</v>
      </c>
      <c r="CC323" s="46" t="n">
        <f aca="false">MAX(0,CC321+CC322)</f>
        <v>500000</v>
      </c>
      <c r="CD323" s="46" t="n">
        <f aca="false">MAX(0,CD321+CD322)</f>
        <v>500000</v>
      </c>
      <c r="CE323" s="46" t="n">
        <f aca="false">MAX(0,CE321+CE322)</f>
        <v>500000</v>
      </c>
      <c r="CF323" s="46" t="n">
        <f aca="false">MAX(0,CF321+CF322)</f>
        <v>500000</v>
      </c>
      <c r="CG323" s="46" t="n">
        <f aca="false">MAX(0,CG321+CG322)</f>
        <v>500000</v>
      </c>
      <c r="CH323" s="46" t="n">
        <f aca="false">MAX(0,CH321+CH322)</f>
        <v>500000</v>
      </c>
      <c r="CI323" s="46" t="n">
        <f aca="false">MAX(0,CI321+CI322)</f>
        <v>500000</v>
      </c>
      <c r="CJ323" s="46" t="n">
        <f aca="false">MAX(0,CJ321+CJ322)</f>
        <v>500000</v>
      </c>
      <c r="CK323" s="46" t="n">
        <f aca="false">MAX(0,CK321+CK322)</f>
        <v>500000</v>
      </c>
      <c r="CL323" s="46" t="n">
        <f aca="false">MAX(0,CL321+CL322)</f>
        <v>500000</v>
      </c>
      <c r="CM323" s="46" t="n">
        <f aca="false">MAX(0,CM321+CM322)</f>
        <v>500000</v>
      </c>
      <c r="CN323" s="46" t="n">
        <f aca="false">MAX(0,CN321+CN322)</f>
        <v>500000</v>
      </c>
      <c r="CO323" s="46" t="n">
        <f aca="false">MAX(0,CO321+CO322)</f>
        <v>500000</v>
      </c>
      <c r="CP323" s="46" t="n">
        <f aca="false">MAX(0,CP321+CP322)</f>
        <v>500000</v>
      </c>
      <c r="CQ323" s="46" t="n">
        <f aca="false">MAX(0,CQ321+CQ322)</f>
        <v>500000</v>
      </c>
      <c r="CR323" s="46" t="n">
        <f aca="false">MAX(0,CR321+CR322)</f>
        <v>500000</v>
      </c>
      <c r="CS323" s="46" t="n">
        <f aca="false">MAX(0,CS321+CS322)</f>
        <v>500000</v>
      </c>
      <c r="CT323" s="46" t="n">
        <f aca="false">MAX(0,CT321+CT322)</f>
        <v>500000</v>
      </c>
      <c r="CU323" s="46" t="n">
        <f aca="false">MAX(0,CU321+CU322)</f>
        <v>500000</v>
      </c>
      <c r="CV323" s="46" t="n">
        <f aca="false">MAX(0,CV321+CV322)</f>
        <v>500000</v>
      </c>
      <c r="CW323" s="46" t="n">
        <f aca="false">MAX(0,CW321+CW322)</f>
        <v>500000</v>
      </c>
      <c r="CX323" s="46" t="n">
        <f aca="false">MAX(0,CX321+CX322)</f>
        <v>500000</v>
      </c>
      <c r="CY323" s="46" t="n">
        <f aca="false">MAX(0,CY321+CY322)</f>
        <v>500000</v>
      </c>
      <c r="CZ323" s="46" t="n">
        <f aca="false">MAX(0,CZ321+CZ322)</f>
        <v>500000</v>
      </c>
      <c r="DA323" s="46" t="n">
        <f aca="false">MAX(0,DA321+DA322)</f>
        <v>500000</v>
      </c>
      <c r="DB323" s="46" t="n">
        <f aca="false">MAX(0,DB321+DB322)</f>
        <v>500000</v>
      </c>
      <c r="DC323" s="46" t="n">
        <f aca="false">MAX(0,DC321+DC322)</f>
        <v>500000</v>
      </c>
      <c r="DD323" s="46" t="n">
        <f aca="false">MAX(0,DD321+DD322)</f>
        <v>500000</v>
      </c>
      <c r="DE323" s="46" t="n">
        <f aca="false">MAX(0,DE321+DE322)</f>
        <v>500000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159</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160</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161</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162</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163</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164</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165</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166</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167</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168</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169</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170</v>
      </c>
      <c r="B336" s="56"/>
      <c r="C336" s="56"/>
      <c r="D336" s="56"/>
      <c r="E336" s="56" t="n">
        <f aca="false">IF(Projects!$G$14="Yes",Assumptions!$B$75,0)</f>
        <v>264927.15</v>
      </c>
      <c r="F336" s="56" t="n">
        <f aca="false">E340</f>
        <v>264927.15</v>
      </c>
      <c r="G336" s="56" t="n">
        <f aca="false">IF(Projects!$G$14="Yes",F340+Assumptions!$B$76*0.2,F340)</f>
        <v>441545.25</v>
      </c>
      <c r="H336" s="56" t="n">
        <f aca="false">G340</f>
        <v>458103.196875</v>
      </c>
      <c r="I336" s="56" t="n">
        <f aca="false">H340</f>
        <v>458103.196875</v>
      </c>
      <c r="J336" s="56" t="n">
        <f aca="false">IF(Projects!$G$14="Yes",I340+Assumptions!$B$76*0.2,I340)</f>
        <v>634721.296875</v>
      </c>
      <c r="K336" s="56" t="n">
        <f aca="false">J340</f>
        <v>658523.345507813</v>
      </c>
      <c r="L336" s="56" t="n">
        <f aca="false">K340</f>
        <v>658523.345507813</v>
      </c>
      <c r="M336" s="56" t="n">
        <f aca="false">L340</f>
        <v>658523.345507813</v>
      </c>
      <c r="N336" s="56" t="n">
        <f aca="false">IF(Projects!$G$14="Yes",M340+Assumptions!$B$76*0.1,M340)</f>
        <v>771527.020964355</v>
      </c>
      <c r="O336" s="56" t="n">
        <f aca="false">N340</f>
        <v>771527.020964355</v>
      </c>
      <c r="P336" s="56" t="n">
        <f aca="false">O340</f>
        <v>771527.020964355</v>
      </c>
      <c r="Q336" s="56" t="n">
        <f aca="false">P340</f>
        <v>800459.284250519</v>
      </c>
      <c r="R336" s="56" t="n">
        <f aca="false">Q340</f>
        <v>800459.284250519</v>
      </c>
      <c r="S336" s="56" t="n">
        <f aca="false">IF(Projects!$G$14="Yes",R340+Assumptions!$B$76*0.1,R340)</f>
        <v>888768.334250519</v>
      </c>
      <c r="T336" s="56" t="n">
        <f aca="false">S340</f>
        <v>922097.146784913</v>
      </c>
      <c r="U336" s="56" t="n">
        <f aca="false">T340</f>
        <v>922097.146784913</v>
      </c>
      <c r="V336" s="56" t="n">
        <f aca="false">U340</f>
        <v>922097.146784913</v>
      </c>
      <c r="W336" s="56" t="n">
        <f aca="false">V340</f>
        <v>956675.789789348</v>
      </c>
      <c r="X336" s="56" t="n">
        <f aca="false">W340</f>
        <v>956675.789789348</v>
      </c>
      <c r="Y336" s="56" t="n">
        <f aca="false">IF(Projects!$G$14="Yes",X340+Assumptions!$B$76*0.1,X340)</f>
        <v>1044984.83978935</v>
      </c>
      <c r="Z336" s="56" t="n">
        <f aca="false">Y340</f>
        <v>1084171.77128145</v>
      </c>
      <c r="AA336" s="56" t="n">
        <f aca="false">Z340</f>
        <v>1084171.77128145</v>
      </c>
      <c r="AB336" s="56" t="n">
        <f aca="false">AA340</f>
        <v>1084171.77128145</v>
      </c>
      <c r="AC336" s="56" t="n">
        <f aca="false">AB340</f>
        <v>1124828.2127045</v>
      </c>
      <c r="AD336" s="56" t="n">
        <f aca="false">AC340</f>
        <v>1124828.2127045</v>
      </c>
      <c r="AE336" s="56" t="n">
        <f aca="false">IF(Projects!$G$14="Yes",AD340+Assumptions!$B$76,AD340)</f>
        <v>2007918.7127045</v>
      </c>
      <c r="AF336" s="56" t="n">
        <f aca="false">AE340</f>
        <v>283215.664430921</v>
      </c>
      <c r="AG336" s="56" t="n">
        <f aca="false">AF340</f>
        <v>283215.664430921</v>
      </c>
      <c r="AH336" s="56" t="n">
        <f aca="false">AG340</f>
        <v>283215.664430921</v>
      </c>
      <c r="AI336" s="56" t="n">
        <f aca="false">AH340</f>
        <v>293836.251847081</v>
      </c>
      <c r="AJ336" s="56" t="n">
        <f aca="false">AI340</f>
        <v>293836.251847081</v>
      </c>
      <c r="AK336" s="56" t="n">
        <f aca="false">AJ340</f>
        <v>293836.251847081</v>
      </c>
      <c r="AL336" s="56" t="n">
        <f aca="false">AK340</f>
        <v>304855.111291347</v>
      </c>
      <c r="AM336" s="56" t="n">
        <f aca="false">AL340</f>
        <v>304855.111291347</v>
      </c>
      <c r="AN336" s="56" t="n">
        <f aca="false">AM340</f>
        <v>304855.111291347</v>
      </c>
      <c r="AO336" s="56" t="n">
        <f aca="false">AN340</f>
        <v>316287.177964772</v>
      </c>
      <c r="AP336" s="56" t="n">
        <f aca="false">AO340</f>
        <v>316287.177964772</v>
      </c>
      <c r="AQ336" s="56" t="n">
        <f aca="false">AP340</f>
        <v>316287.177964772</v>
      </c>
      <c r="AR336" s="56" t="n">
        <f aca="false">AQ340</f>
        <v>328147.947138451</v>
      </c>
      <c r="AS336" s="56" t="n">
        <f aca="false">AR340</f>
        <v>328147.947138451</v>
      </c>
      <c r="AT336" s="56" t="n">
        <f aca="false">AS340</f>
        <v>328147.947138451</v>
      </c>
      <c r="AU336" s="56" t="n">
        <f aca="false">AT340</f>
        <v>340453.495156143</v>
      </c>
      <c r="AV336" s="56" t="n">
        <f aca="false">AU340</f>
        <v>340453.495156143</v>
      </c>
      <c r="AW336" s="56" t="n">
        <f aca="false">AV340</f>
        <v>340453.495156143</v>
      </c>
      <c r="AX336" s="56" t="n">
        <f aca="false">AW340</f>
        <v>353220.501224498</v>
      </c>
      <c r="AY336" s="56" t="n">
        <f aca="false">AX340</f>
        <v>353220.501224498</v>
      </c>
      <c r="AZ336" s="56" t="n">
        <f aca="false">AY340</f>
        <v>353220.501224498</v>
      </c>
      <c r="BA336" s="56" t="n">
        <f aca="false">AZ340</f>
        <v>366466.270020417</v>
      </c>
      <c r="BB336" s="56" t="n">
        <f aca="false">BA340</f>
        <v>366466.270020417</v>
      </c>
      <c r="BC336" s="56" t="n">
        <f aca="false">BB340</f>
        <v>366466.270020417</v>
      </c>
      <c r="BD336" s="56" t="n">
        <f aca="false">BC340</f>
        <v>380208.755146183</v>
      </c>
      <c r="BE336" s="56" t="n">
        <f aca="false">BD340</f>
        <v>380208.755146183</v>
      </c>
      <c r="BF336" s="56" t="n">
        <f aca="false">BE340</f>
        <v>380208.755146183</v>
      </c>
      <c r="BG336" s="56" t="n">
        <f aca="false">BF340</f>
        <v>394466.583464164</v>
      </c>
      <c r="BH336" s="56" t="n">
        <f aca="false">BG340</f>
        <v>394466.583464164</v>
      </c>
      <c r="BI336" s="56" t="n">
        <f aca="false">BH340</f>
        <v>394466.583464164</v>
      </c>
      <c r="BJ336" s="56" t="n">
        <f aca="false">BI340</f>
        <v>409259.080344071</v>
      </c>
      <c r="BK336" s="56" t="n">
        <f aca="false">BJ340</f>
        <v>409259.080344071</v>
      </c>
      <c r="BL336" s="56" t="n">
        <f aca="false">BK340</f>
        <v>409259.080344071</v>
      </c>
      <c r="BM336" s="56" t="n">
        <f aca="false">BL340</f>
        <v>424606.295856973</v>
      </c>
      <c r="BN336" s="56" t="n">
        <f aca="false">BM340</f>
        <v>424606.295856973</v>
      </c>
      <c r="BO336" s="56" t="n">
        <f aca="false">BN340</f>
        <v>424606.295856973</v>
      </c>
      <c r="BP336" s="56" t="n">
        <f aca="false">BO340</f>
        <v>440529.03195161</v>
      </c>
      <c r="BQ336" s="56" t="n">
        <f aca="false">BP340</f>
        <v>440529.03195161</v>
      </c>
      <c r="BR336" s="56" t="n">
        <f aca="false">BQ340</f>
        <v>440529.03195161</v>
      </c>
      <c r="BS336" s="56" t="n">
        <f aca="false">BR340</f>
        <v>457048.870649795</v>
      </c>
      <c r="BT336" s="56" t="n">
        <f aca="false">BS340</f>
        <v>457048.870649795</v>
      </c>
      <c r="BU336" s="56" t="n">
        <f aca="false">BT340</f>
        <v>457048.870649795</v>
      </c>
      <c r="BV336" s="56" t="n">
        <f aca="false">BU340</f>
        <v>474188.203299162</v>
      </c>
      <c r="BW336" s="56" t="n">
        <f aca="false">BV340</f>
        <v>474188.203299162</v>
      </c>
      <c r="BX336" s="56" t="n">
        <f aca="false">BW340</f>
        <v>474188.203299162</v>
      </c>
      <c r="BY336" s="56" t="n">
        <f aca="false">BX340</f>
        <v>491970.260922881</v>
      </c>
      <c r="BZ336" s="56" t="n">
        <f aca="false">BY340</f>
        <v>491970.260922881</v>
      </c>
      <c r="CA336" s="56" t="n">
        <f aca="false">BZ340</f>
        <v>491970.260922881</v>
      </c>
      <c r="CB336" s="56" t="n">
        <f aca="false">CA340</f>
        <v>510419.145707489</v>
      </c>
      <c r="CC336" s="56" t="n">
        <f aca="false">CB340</f>
        <v>510419.145707489</v>
      </c>
      <c r="CD336" s="56" t="n">
        <f aca="false">CC340</f>
        <v>510419.145707489</v>
      </c>
      <c r="CE336" s="56" t="n">
        <f aca="false">CD340</f>
        <v>529559.86367152</v>
      </c>
      <c r="CF336" s="56" t="n">
        <f aca="false">CE340</f>
        <v>529559.86367152</v>
      </c>
      <c r="CG336" s="56" t="n">
        <f aca="false">CF340</f>
        <v>529559.86367152</v>
      </c>
      <c r="CH336" s="56" t="n">
        <f aca="false">CG340</f>
        <v>549418.358559202</v>
      </c>
      <c r="CI336" s="56" t="n">
        <f aca="false">CH340</f>
        <v>549418.358559202</v>
      </c>
      <c r="CJ336" s="56" t="n">
        <f aca="false">CI340</f>
        <v>549418.358559202</v>
      </c>
      <c r="CK336" s="56" t="n">
        <f aca="false">CJ340</f>
        <v>570021.547005172</v>
      </c>
      <c r="CL336" s="56" t="n">
        <f aca="false">CK340</f>
        <v>570021.547005172</v>
      </c>
      <c r="CM336" s="56" t="n">
        <f aca="false">CL340</f>
        <v>570021.547005172</v>
      </c>
      <c r="CN336" s="56" t="n">
        <f aca="false">CM340</f>
        <v>591397.355017866</v>
      </c>
      <c r="CO336" s="56" t="n">
        <f aca="false">CN340</f>
        <v>569702.675017866</v>
      </c>
      <c r="CP336" s="56" t="n">
        <f aca="false">CO340</f>
        <v>496547.675017866</v>
      </c>
      <c r="CQ336" s="56" t="n">
        <f aca="false">CP340</f>
        <v>442013.212831036</v>
      </c>
      <c r="CR336" s="56" t="n">
        <f aca="false">CQ340</f>
        <v>368858.212831036</v>
      </c>
      <c r="CS336" s="56" t="n">
        <f aca="false">CR340</f>
        <v>295703.212831036</v>
      </c>
      <c r="CT336" s="56" t="n">
        <f aca="false">CS340</f>
        <v>233637.0833122</v>
      </c>
      <c r="CU336" s="56" t="n">
        <f aca="false">CT340</f>
        <v>160482.0833122</v>
      </c>
      <c r="CV336" s="56" t="n">
        <f aca="false">CU340</f>
        <v>87327.0833121997</v>
      </c>
      <c r="CW336" s="56" t="n">
        <f aca="false">CV340</f>
        <v>17446.8489364072</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171</v>
      </c>
      <c r="B337" s="56"/>
      <c r="C337" s="56"/>
      <c r="D337" s="56"/>
      <c r="E337" s="56" t="n">
        <f aca="false">IF(AND(MOD(1,3)=0,E336&gt;0),E336*Assumptions!$B$59,0)</f>
        <v>0</v>
      </c>
      <c r="F337" s="56" t="n">
        <f aca="false">IF(AND(MOD(2,3)=0,F336&gt;0),F336*Assumptions!$B$59,0)</f>
        <v>0</v>
      </c>
      <c r="G337" s="56" t="n">
        <f aca="false">IF(AND(MOD(3,3)=0,G336&gt;0),G336*Assumptions!$B$59,0)</f>
        <v>16557.946875</v>
      </c>
      <c r="H337" s="56" t="n">
        <f aca="false">IF(AND(MOD(4,3)=0,H336&gt;0),H336*Assumptions!$B$59,0)</f>
        <v>0</v>
      </c>
      <c r="I337" s="56" t="n">
        <f aca="false">IF(AND(MOD(5,3)=0,I336&gt;0),I336*Assumptions!$B$59,0)</f>
        <v>0</v>
      </c>
      <c r="J337" s="56" t="n">
        <f aca="false">IF(AND(MOD(6,3)=0,J336&gt;0),J336*Assumptions!$B$59,0)</f>
        <v>23802.0486328125</v>
      </c>
      <c r="K337" s="56" t="n">
        <f aca="false">IF(AND(MOD(7,3)=0,K336&gt;0),K336*Assumptions!$B$59,0)</f>
        <v>0</v>
      </c>
      <c r="L337" s="56" t="n">
        <f aca="false">IF(AND(MOD(8,3)=0,L336&gt;0),L336*Assumptions!$B$59,0)</f>
        <v>0</v>
      </c>
      <c r="M337" s="56" t="n">
        <f aca="false">IF(AND(MOD(9,3)=0,M336&gt;0),M336*Assumptions!$B$59,0)</f>
        <v>24694.625456543</v>
      </c>
      <c r="N337" s="56" t="n">
        <f aca="false">IF(AND(MOD(10,3)=0,N336&gt;0),N336*Assumptions!$B$59,0)</f>
        <v>0</v>
      </c>
      <c r="O337" s="56" t="n">
        <f aca="false">IF(AND(MOD(11,3)=0,O336&gt;0),O336*Assumptions!$B$59,0)</f>
        <v>0</v>
      </c>
      <c r="P337" s="56" t="n">
        <f aca="false">IF(AND(MOD(12,3)=0,P336&gt;0),P336*Assumptions!$B$59,0)</f>
        <v>28932.2632861633</v>
      </c>
      <c r="Q337" s="56" t="n">
        <f aca="false">IF(AND(MOD(13,3)=0,Q336&gt;0),Q336*Assumptions!$B$59,0)</f>
        <v>0</v>
      </c>
      <c r="R337" s="56" t="n">
        <f aca="false">IF(AND(MOD(14,3)=0,R336&gt;0),R336*Assumptions!$B$59,0)</f>
        <v>0</v>
      </c>
      <c r="S337" s="56" t="n">
        <f aca="false">IF(AND(MOD(15,3)=0,S336&gt;0),S336*Assumptions!$B$59,0)</f>
        <v>33328.8125343945</v>
      </c>
      <c r="T337" s="56" t="n">
        <f aca="false">IF(AND(MOD(16,3)=0,T336&gt;0),T336*Assumptions!$B$59,0)</f>
        <v>0</v>
      </c>
      <c r="U337" s="56" t="n">
        <f aca="false">IF(AND(MOD(17,3)=0,U336&gt;0),U336*Assumptions!$B$59,0)</f>
        <v>0</v>
      </c>
      <c r="V337" s="56" t="n">
        <f aca="false">IF(AND(MOD(18,3)=0,V336&gt;0),V336*Assumptions!$B$59,0)</f>
        <v>34578.6430044343</v>
      </c>
      <c r="W337" s="56" t="n">
        <f aca="false">IF(AND(MOD(19,3)=0,W336&gt;0),W336*Assumptions!$B$59,0)</f>
        <v>0</v>
      </c>
      <c r="X337" s="56" t="n">
        <f aca="false">IF(AND(MOD(20,3)=0,X336&gt;0),X336*Assumptions!$B$59,0)</f>
        <v>0</v>
      </c>
      <c r="Y337" s="56" t="n">
        <f aca="false">IF(AND(MOD(21,3)=0,Y336&gt;0),Y336*Assumptions!$B$59,0)</f>
        <v>39186.9314921005</v>
      </c>
      <c r="Z337" s="56" t="n">
        <f aca="false">IF(AND(MOD(22,3)=0,Z336&gt;0),Z336*Assumptions!$B$59,0)</f>
        <v>0</v>
      </c>
      <c r="AA337" s="56" t="n">
        <f aca="false">IF(AND(MOD(23,3)=0,AA336&gt;0),AA336*Assumptions!$B$59,0)</f>
        <v>0</v>
      </c>
      <c r="AB337" s="56" t="n">
        <f aca="false">IF(AND(MOD(24,3)=0,AB336&gt;0),AB336*Assumptions!$B$59,0)</f>
        <v>40656.4414230543</v>
      </c>
      <c r="AC337" s="56" t="n">
        <f aca="false">IF(AND(MOD(25,3)=0,AC336&gt;0),AC336*Assumptions!$B$59,0)</f>
        <v>0</v>
      </c>
      <c r="AD337" s="56" t="n">
        <f aca="false">IF(AND(MOD(26,3)=0,AD336&gt;0),AD336*Assumptions!$B$59,0)</f>
        <v>0</v>
      </c>
      <c r="AE337" s="56" t="n">
        <f aca="false">IF(AND(MOD(27,3)=0,AE336&gt;0),AE336*Assumptions!$B$59,0)</f>
        <v>75296.9517264189</v>
      </c>
      <c r="AF337" s="56" t="n">
        <f aca="false">IF(AND(MOD(28,3)=0,AF336&gt;0),AF336*Assumptions!$B$59,0)</f>
        <v>0</v>
      </c>
      <c r="AG337" s="56" t="n">
        <f aca="false">IF(AND(MOD(29,3)=0,AG336&gt;0),AG336*Assumptions!$B$59,0)</f>
        <v>0</v>
      </c>
      <c r="AH337" s="56" t="n">
        <f aca="false">IF(AND(MOD(30,3)=0,AH336&gt;0),AH336*Assumptions!$B$59,0)</f>
        <v>10620.5874161596</v>
      </c>
      <c r="AI337" s="56" t="n">
        <f aca="false">IF(AND(MOD(31,3)=0,AI336&gt;0),AI336*Assumptions!$B$59,0)</f>
        <v>0</v>
      </c>
      <c r="AJ337" s="56" t="n">
        <f aca="false">IF(AND(MOD(32,3)=0,AJ336&gt;0),AJ336*Assumptions!$B$59,0)</f>
        <v>0</v>
      </c>
      <c r="AK337" s="56" t="n">
        <f aca="false">IF(AND(MOD(33,3)=0,AK336&gt;0),AK336*Assumptions!$B$59,0)</f>
        <v>11018.8594442655</v>
      </c>
      <c r="AL337" s="56" t="n">
        <f aca="false">IF(AND(MOD(34,3)=0,AL336&gt;0),AL336*Assumptions!$B$59,0)</f>
        <v>0</v>
      </c>
      <c r="AM337" s="56" t="n">
        <f aca="false">IF(AND(MOD(35,3)=0,AM336&gt;0),AM336*Assumptions!$B$59,0)</f>
        <v>0</v>
      </c>
      <c r="AN337" s="56" t="n">
        <f aca="false">IF(AND(MOD(36,3)=0,AN336&gt;0),AN336*Assumptions!$B$59,0)</f>
        <v>11432.0666734255</v>
      </c>
      <c r="AO337" s="56" t="n">
        <f aca="false">IF(AND(MOD(37,3)=0,AO336&gt;0),AO336*Assumptions!$B$59,0)</f>
        <v>0</v>
      </c>
      <c r="AP337" s="56" t="n">
        <f aca="false">IF(AND(MOD(38,3)=0,AP336&gt;0),AP336*Assumptions!$B$59,0)</f>
        <v>0</v>
      </c>
      <c r="AQ337" s="56" t="n">
        <f aca="false">IF(AND(MOD(39,3)=0,AQ336&gt;0),AQ336*Assumptions!$B$59,0)</f>
        <v>11860.769173679</v>
      </c>
      <c r="AR337" s="56" t="n">
        <f aca="false">IF(AND(MOD(40,3)=0,AR336&gt;0),AR336*Assumptions!$B$59,0)</f>
        <v>0</v>
      </c>
      <c r="AS337" s="56" t="n">
        <f aca="false">IF(AND(MOD(41,3)=0,AS336&gt;0),AS336*Assumptions!$B$59,0)</f>
        <v>0</v>
      </c>
      <c r="AT337" s="56" t="n">
        <f aca="false">IF(AND(MOD(42,3)=0,AT336&gt;0),AT336*Assumptions!$B$59,0)</f>
        <v>12305.5480176919</v>
      </c>
      <c r="AU337" s="56" t="n">
        <f aca="false">IF(AND(MOD(43,3)=0,AU336&gt;0),AU336*Assumptions!$B$59,0)</f>
        <v>0</v>
      </c>
      <c r="AV337" s="56" t="n">
        <f aca="false">IF(AND(MOD(44,3)=0,AV336&gt;0),AV336*Assumptions!$B$59,0)</f>
        <v>0</v>
      </c>
      <c r="AW337" s="56" t="n">
        <f aca="false">IF(AND(MOD(45,3)=0,AW336&gt;0),AW336*Assumptions!$B$59,0)</f>
        <v>12767.0060683554</v>
      </c>
      <c r="AX337" s="56" t="n">
        <f aca="false">IF(AND(MOD(46,3)=0,AX336&gt;0),AX336*Assumptions!$B$59,0)</f>
        <v>0</v>
      </c>
      <c r="AY337" s="56" t="n">
        <f aca="false">IF(AND(MOD(47,3)=0,AY336&gt;0),AY336*Assumptions!$B$59,0)</f>
        <v>0</v>
      </c>
      <c r="AZ337" s="56" t="n">
        <f aca="false">IF(AND(MOD(48,3)=0,AZ336&gt;0),AZ336*Assumptions!$B$59,0)</f>
        <v>13245.7687959187</v>
      </c>
      <c r="BA337" s="56" t="n">
        <f aca="false">IF(AND(MOD(49,3)=0,BA336&gt;0),BA336*Assumptions!$B$59,0)</f>
        <v>0</v>
      </c>
      <c r="BB337" s="56" t="n">
        <f aca="false">IF(AND(MOD(50,3)=0,BB336&gt;0),BB336*Assumptions!$B$59,0)</f>
        <v>0</v>
      </c>
      <c r="BC337" s="56" t="n">
        <f aca="false">IF(AND(MOD(51,3)=0,BC336&gt;0),BC336*Assumptions!$B$59,0)</f>
        <v>13742.4851257656</v>
      </c>
      <c r="BD337" s="56" t="n">
        <f aca="false">IF(AND(MOD(52,3)=0,BD336&gt;0),BD336*Assumptions!$B$59,0)</f>
        <v>0</v>
      </c>
      <c r="BE337" s="56" t="n">
        <f aca="false">IF(AND(MOD(53,3)=0,BE336&gt;0),BE336*Assumptions!$B$59,0)</f>
        <v>0</v>
      </c>
      <c r="BF337" s="56" t="n">
        <f aca="false">IF(AND(MOD(54,3)=0,BF336&gt;0),BF336*Assumptions!$B$59,0)</f>
        <v>14257.8283179818</v>
      </c>
      <c r="BG337" s="56" t="n">
        <f aca="false">IF(AND(MOD(55,3)=0,BG336&gt;0),BG336*Assumptions!$B$59,0)</f>
        <v>0</v>
      </c>
      <c r="BH337" s="56" t="n">
        <f aca="false">IF(AND(MOD(56,3)=0,BH336&gt;0),BH336*Assumptions!$B$59,0)</f>
        <v>0</v>
      </c>
      <c r="BI337" s="56" t="n">
        <f aca="false">IF(AND(MOD(57,3)=0,BI336&gt;0),BI336*Assumptions!$B$59,0)</f>
        <v>14792.4968799062</v>
      </c>
      <c r="BJ337" s="56" t="n">
        <f aca="false">IF(AND(MOD(58,3)=0,BJ336&gt;0),BJ336*Assumptions!$B$59,0)</f>
        <v>0</v>
      </c>
      <c r="BK337" s="56" t="n">
        <f aca="false">IF(AND(MOD(59,3)=0,BK336&gt;0),BK336*Assumptions!$B$59,0)</f>
        <v>0</v>
      </c>
      <c r="BL337" s="56" t="n">
        <f aca="false">IF(AND(MOD(60,3)=0,BL336&gt;0),BL336*Assumptions!$B$59,0)</f>
        <v>15347.2155129026</v>
      </c>
      <c r="BM337" s="56" t="n">
        <f aca="false">IF(AND(MOD(61,3)=0,BM336&gt;0),BM336*Assumptions!$B$59,0)</f>
        <v>0</v>
      </c>
      <c r="BN337" s="56" t="n">
        <f aca="false">IF(AND(MOD(62,3)=0,BN336&gt;0),BN336*Assumptions!$B$59,0)</f>
        <v>0</v>
      </c>
      <c r="BO337" s="56" t="n">
        <f aca="false">IF(AND(MOD(63,3)=0,BO336&gt;0),BO336*Assumptions!$B$59,0)</f>
        <v>15922.7360946365</v>
      </c>
      <c r="BP337" s="56" t="n">
        <f aca="false">IF(AND(MOD(64,3)=0,BP336&gt;0),BP336*Assumptions!$B$59,0)</f>
        <v>0</v>
      </c>
      <c r="BQ337" s="56" t="n">
        <f aca="false">IF(AND(MOD(65,3)=0,BQ336&gt;0),BQ336*Assumptions!$B$59,0)</f>
        <v>0</v>
      </c>
      <c r="BR337" s="56" t="n">
        <f aca="false">IF(AND(MOD(66,3)=0,BR336&gt;0),BR336*Assumptions!$B$59,0)</f>
        <v>16519.8386981854</v>
      </c>
      <c r="BS337" s="56" t="n">
        <f aca="false">IF(AND(MOD(67,3)=0,BS336&gt;0),BS336*Assumptions!$B$59,0)</f>
        <v>0</v>
      </c>
      <c r="BT337" s="56" t="n">
        <f aca="false">IF(AND(MOD(68,3)=0,BT336&gt;0),BT336*Assumptions!$B$59,0)</f>
        <v>0</v>
      </c>
      <c r="BU337" s="56" t="n">
        <f aca="false">IF(AND(MOD(69,3)=0,BU336&gt;0),BU336*Assumptions!$B$59,0)</f>
        <v>17139.3326493673</v>
      </c>
      <c r="BV337" s="56" t="n">
        <f aca="false">IF(AND(MOD(70,3)=0,BV336&gt;0),BV336*Assumptions!$B$59,0)</f>
        <v>0</v>
      </c>
      <c r="BW337" s="56" t="n">
        <f aca="false">IF(AND(MOD(71,3)=0,BW336&gt;0),BW336*Assumptions!$B$59,0)</f>
        <v>0</v>
      </c>
      <c r="BX337" s="56" t="n">
        <f aca="false">IF(AND(MOD(72,3)=0,BX336&gt;0),BX336*Assumptions!$B$59,0)</f>
        <v>17782.0576237186</v>
      </c>
      <c r="BY337" s="56" t="n">
        <f aca="false">IF(AND(MOD(73,3)=0,BY336&gt;0),BY336*Assumptions!$B$59,0)</f>
        <v>0</v>
      </c>
      <c r="BZ337" s="56" t="n">
        <f aca="false">IF(AND(MOD(74,3)=0,BZ336&gt;0),BZ336*Assumptions!$B$59,0)</f>
        <v>0</v>
      </c>
      <c r="CA337" s="56" t="n">
        <f aca="false">IF(AND(MOD(75,3)=0,CA336&gt;0),CA336*Assumptions!$B$59,0)</f>
        <v>18448.884784608</v>
      </c>
      <c r="CB337" s="56" t="n">
        <f aca="false">IF(AND(MOD(76,3)=0,CB336&gt;0),CB336*Assumptions!$B$59,0)</f>
        <v>0</v>
      </c>
      <c r="CC337" s="56" t="n">
        <f aca="false">IF(AND(MOD(77,3)=0,CC336&gt;0),CC336*Assumptions!$B$59,0)</f>
        <v>0</v>
      </c>
      <c r="CD337" s="56" t="n">
        <f aca="false">IF(AND(MOD(78,3)=0,CD336&gt;0),CD336*Assumptions!$B$59,0)</f>
        <v>19140.7179640308</v>
      </c>
      <c r="CE337" s="56" t="n">
        <f aca="false">IF(AND(MOD(79,3)=0,CE336&gt;0),CE336*Assumptions!$B$59,0)</f>
        <v>0</v>
      </c>
      <c r="CF337" s="56" t="n">
        <f aca="false">IF(AND(MOD(80,3)=0,CF336&gt;0),CF336*Assumptions!$B$59,0)</f>
        <v>0</v>
      </c>
      <c r="CG337" s="56" t="n">
        <f aca="false">IF(AND(MOD(81,3)=0,CG336&gt;0),CG336*Assumptions!$B$59,0)</f>
        <v>19858.494887682</v>
      </c>
      <c r="CH337" s="56" t="n">
        <f aca="false">IF(AND(MOD(82,3)=0,CH336&gt;0),CH336*Assumptions!$B$59,0)</f>
        <v>0</v>
      </c>
      <c r="CI337" s="56" t="n">
        <f aca="false">IF(AND(MOD(83,3)=0,CI336&gt;0),CI336*Assumptions!$B$59,0)</f>
        <v>0</v>
      </c>
      <c r="CJ337" s="56" t="n">
        <f aca="false">IF(AND(MOD(84,3)=0,CJ336&gt;0),CJ336*Assumptions!$B$59,0)</f>
        <v>20603.1884459701</v>
      </c>
      <c r="CK337" s="56" t="n">
        <f aca="false">IF(AND(MOD(85,3)=0,CK336&gt;0),CK336*Assumptions!$B$59,0)</f>
        <v>0</v>
      </c>
      <c r="CL337" s="56" t="n">
        <f aca="false">IF(AND(MOD(86,3)=0,CL336&gt;0),CL336*Assumptions!$B$59,0)</f>
        <v>0</v>
      </c>
      <c r="CM337" s="56" t="n">
        <f aca="false">IF(AND(MOD(87,3)=0,CM336&gt;0),CM336*Assumptions!$B$59,0)</f>
        <v>21375.8080126939</v>
      </c>
      <c r="CN337" s="56" t="n">
        <f aca="false">IF(AND(MOD(88,3)=0,CN336&gt;0),CN336*Assumptions!$B$59,0)</f>
        <v>0</v>
      </c>
      <c r="CO337" s="56" t="n">
        <f aca="false">IF(AND(MOD(89,3)=0,CO336&gt;0),CO336*Assumptions!$B$59,0)</f>
        <v>0</v>
      </c>
      <c r="CP337" s="56" t="n">
        <f aca="false">IF(AND(MOD(90,3)=0,CP336&gt;0),CP336*Assumptions!$B$59,0)</f>
        <v>18620.53781317</v>
      </c>
      <c r="CQ337" s="56" t="n">
        <f aca="false">IF(AND(MOD(91,3)=0,CQ336&gt;0),CQ336*Assumptions!$B$59,0)</f>
        <v>0</v>
      </c>
      <c r="CR337" s="56" t="n">
        <f aca="false">IF(AND(MOD(92,3)=0,CR336&gt;0),CR336*Assumptions!$B$59,0)</f>
        <v>0</v>
      </c>
      <c r="CS337" s="56" t="n">
        <f aca="false">IF(AND(MOD(93,3)=0,CS336&gt;0),CS336*Assumptions!$B$59,0)</f>
        <v>11088.8704811638</v>
      </c>
      <c r="CT337" s="56" t="n">
        <f aca="false">IF(AND(MOD(94,3)=0,CT336&gt;0),CT336*Assumptions!$B$59,0)</f>
        <v>0</v>
      </c>
      <c r="CU337" s="56" t="n">
        <f aca="false">IF(AND(MOD(95,3)=0,CU336&gt;0),CU336*Assumptions!$B$59,0)</f>
        <v>0</v>
      </c>
      <c r="CV337" s="56" t="n">
        <f aca="false">IF(AND(MOD(96,3)=0,CV336&gt;0),CV336*Assumptions!$B$59,0)</f>
        <v>3274.76562420749</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172</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-1800000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173</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-21694.6799999999</v>
      </c>
      <c r="CO339" s="58" t="n">
        <f aca="false">-MIN(CO336+CO337+CO338,MAX(0,CO256-Helpers!CM26))</f>
        <v>-73155</v>
      </c>
      <c r="CP339" s="58" t="n">
        <f aca="false">-MIN(CP336+CP337+CP338,MAX(0,CP256-Helpers!CN26))</f>
        <v>-73155</v>
      </c>
      <c r="CQ339" s="58" t="n">
        <f aca="false">-MIN(CQ336+CQ337+CQ338,MAX(0,CQ256-Helpers!CO26))</f>
        <v>-73155</v>
      </c>
      <c r="CR339" s="58" t="n">
        <f aca="false">-MIN(CR336+CR337+CR338,MAX(0,CR256-Helpers!CP26))</f>
        <v>-73155</v>
      </c>
      <c r="CS339" s="58" t="n">
        <f aca="false">-MIN(CS336+CS337+CS338,MAX(0,CS256-Helpers!CQ26))</f>
        <v>-73155</v>
      </c>
      <c r="CT339" s="58" t="n">
        <f aca="false">-MIN(CT336+CT337+CT338,MAX(0,CT256-Helpers!CR26))</f>
        <v>-73155</v>
      </c>
      <c r="CU339" s="58" t="n">
        <f aca="false">-MIN(CU336+CU337+CU338,MAX(0,CU256-Helpers!CS26))</f>
        <v>-73155</v>
      </c>
      <c r="CV339" s="58" t="n">
        <f aca="false">-MIN(CV336+CV337+CV338,MAX(0,CV256-Helpers!CT26))</f>
        <v>-73155</v>
      </c>
      <c r="CW339" s="58" t="n">
        <f aca="false">-MIN(CW336+CW337+CW338,MAX(0,CW256-Helpers!CU26))</f>
        <v>-17446.8489364072</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174</v>
      </c>
      <c r="B340" s="54"/>
      <c r="C340" s="54"/>
      <c r="D340" s="54"/>
      <c r="E340" s="54" t="n">
        <f aca="false">MAX(0,E336+E337+E338+E339)</f>
        <v>264927.15</v>
      </c>
      <c r="F340" s="54" t="n">
        <f aca="false">MAX(0,F336+F337+F338+F339)</f>
        <v>264927.15</v>
      </c>
      <c r="G340" s="54" t="n">
        <f aca="false">MAX(0,G336+G337+G338+G339)</f>
        <v>458103.196875</v>
      </c>
      <c r="H340" s="54" t="n">
        <f aca="false">MAX(0,H336+H337+H338+H339)</f>
        <v>458103.196875</v>
      </c>
      <c r="I340" s="54" t="n">
        <f aca="false">MAX(0,I336+I337+I338+I339)</f>
        <v>458103.196875</v>
      </c>
      <c r="J340" s="54" t="n">
        <f aca="false">MAX(0,J336+J337+J338+J339)</f>
        <v>658523.345507813</v>
      </c>
      <c r="K340" s="54" t="n">
        <f aca="false">MAX(0,K336+K337+K338+K339)</f>
        <v>658523.345507813</v>
      </c>
      <c r="L340" s="54" t="n">
        <f aca="false">MAX(0,L336+L337+L338+L339)</f>
        <v>658523.345507813</v>
      </c>
      <c r="M340" s="54" t="n">
        <f aca="false">MAX(0,M336+M337+M338+M339)</f>
        <v>683217.970964355</v>
      </c>
      <c r="N340" s="54" t="n">
        <f aca="false">MAX(0,N336+N337+N338+N339)</f>
        <v>771527.020964355</v>
      </c>
      <c r="O340" s="54" t="n">
        <f aca="false">MAX(0,O336+O337+O338+O339)</f>
        <v>771527.020964355</v>
      </c>
      <c r="P340" s="54" t="n">
        <f aca="false">MAX(0,P336+P337+P338+P339)</f>
        <v>800459.284250519</v>
      </c>
      <c r="Q340" s="54" t="n">
        <f aca="false">MAX(0,Q336+Q337+Q338+Q339)</f>
        <v>800459.284250519</v>
      </c>
      <c r="R340" s="54" t="n">
        <f aca="false">MAX(0,R336+R337+R338+R339)</f>
        <v>800459.284250519</v>
      </c>
      <c r="S340" s="54" t="n">
        <f aca="false">MAX(0,S336+S337+S338+S339)</f>
        <v>922097.146784913</v>
      </c>
      <c r="T340" s="54" t="n">
        <f aca="false">MAX(0,T336+T337+T338+T339)</f>
        <v>922097.146784913</v>
      </c>
      <c r="U340" s="54" t="n">
        <f aca="false">MAX(0,U336+U337+U338+U339)</f>
        <v>922097.146784913</v>
      </c>
      <c r="V340" s="54" t="n">
        <f aca="false">MAX(0,V336+V337+V338+V339)</f>
        <v>956675.789789348</v>
      </c>
      <c r="W340" s="54" t="n">
        <f aca="false">MAX(0,W336+W337+W338+W339)</f>
        <v>956675.789789348</v>
      </c>
      <c r="X340" s="54" t="n">
        <f aca="false">MAX(0,X336+X337+X338+X339)</f>
        <v>956675.789789348</v>
      </c>
      <c r="Y340" s="54" t="n">
        <f aca="false">MAX(0,Y336+Y337+Y338+Y339)</f>
        <v>1084171.77128145</v>
      </c>
      <c r="Z340" s="54" t="n">
        <f aca="false">MAX(0,Z336+Z337+Z338+Z339)</f>
        <v>1084171.77128145</v>
      </c>
      <c r="AA340" s="54" t="n">
        <f aca="false">MAX(0,AA336+AA337+AA338+AA339)</f>
        <v>1084171.77128145</v>
      </c>
      <c r="AB340" s="54" t="n">
        <f aca="false">MAX(0,AB336+AB337+AB338+AB339)</f>
        <v>1124828.2127045</v>
      </c>
      <c r="AC340" s="54" t="n">
        <f aca="false">MAX(0,AC336+AC337+AC338+AC339)</f>
        <v>1124828.2127045</v>
      </c>
      <c r="AD340" s="54" t="n">
        <f aca="false">MAX(0,AD336+AD337+AD338+AD339)</f>
        <v>1124828.2127045</v>
      </c>
      <c r="AE340" s="54" t="n">
        <f aca="false">MAX(0,AE336+AE337+AE338+AE339)</f>
        <v>283215.664430921</v>
      </c>
      <c r="AF340" s="54" t="n">
        <f aca="false">MAX(0,AF336+AF337+AF338+AF339)</f>
        <v>283215.664430921</v>
      </c>
      <c r="AG340" s="54" t="n">
        <f aca="false">MAX(0,AG336+AG337+AG338+AG339)</f>
        <v>283215.664430921</v>
      </c>
      <c r="AH340" s="54" t="n">
        <f aca="false">MAX(0,AH336+AH337+AH338+AH339)</f>
        <v>293836.251847081</v>
      </c>
      <c r="AI340" s="54" t="n">
        <f aca="false">MAX(0,AI336+AI337+AI338+AI339)</f>
        <v>293836.251847081</v>
      </c>
      <c r="AJ340" s="54" t="n">
        <f aca="false">MAX(0,AJ336+AJ337+AJ338+AJ339)</f>
        <v>293836.251847081</v>
      </c>
      <c r="AK340" s="54" t="n">
        <f aca="false">MAX(0,AK336+AK337+AK338+AK339)</f>
        <v>304855.111291347</v>
      </c>
      <c r="AL340" s="54" t="n">
        <f aca="false">MAX(0,AL336+AL337+AL338+AL339)</f>
        <v>304855.111291347</v>
      </c>
      <c r="AM340" s="54" t="n">
        <f aca="false">MAX(0,AM336+AM337+AM338+AM339)</f>
        <v>304855.111291347</v>
      </c>
      <c r="AN340" s="54" t="n">
        <f aca="false">MAX(0,AN336+AN337+AN338+AN339)</f>
        <v>316287.177964772</v>
      </c>
      <c r="AO340" s="54" t="n">
        <f aca="false">MAX(0,AO336+AO337+AO338+AO339)</f>
        <v>316287.177964772</v>
      </c>
      <c r="AP340" s="54" t="n">
        <f aca="false">MAX(0,AP336+AP337+AP338+AP339)</f>
        <v>316287.177964772</v>
      </c>
      <c r="AQ340" s="54" t="n">
        <f aca="false">MAX(0,AQ336+AQ337+AQ338+AQ339)</f>
        <v>328147.947138451</v>
      </c>
      <c r="AR340" s="54" t="n">
        <f aca="false">MAX(0,AR336+AR337+AR338+AR339)</f>
        <v>328147.947138451</v>
      </c>
      <c r="AS340" s="54" t="n">
        <f aca="false">MAX(0,AS336+AS337+AS338+AS339)</f>
        <v>328147.947138451</v>
      </c>
      <c r="AT340" s="54" t="n">
        <f aca="false">MAX(0,AT336+AT337+AT338+AT339)</f>
        <v>340453.495156143</v>
      </c>
      <c r="AU340" s="54" t="n">
        <f aca="false">MAX(0,AU336+AU337+AU338+AU339)</f>
        <v>340453.495156143</v>
      </c>
      <c r="AV340" s="54" t="n">
        <f aca="false">MAX(0,AV336+AV337+AV338+AV339)</f>
        <v>340453.495156143</v>
      </c>
      <c r="AW340" s="54" t="n">
        <f aca="false">MAX(0,AW336+AW337+AW338+AW339)</f>
        <v>353220.501224498</v>
      </c>
      <c r="AX340" s="54" t="n">
        <f aca="false">MAX(0,AX336+AX337+AX338+AX339)</f>
        <v>353220.501224498</v>
      </c>
      <c r="AY340" s="54" t="n">
        <f aca="false">MAX(0,AY336+AY337+AY338+AY339)</f>
        <v>353220.501224498</v>
      </c>
      <c r="AZ340" s="54" t="n">
        <f aca="false">MAX(0,AZ336+AZ337+AZ338+AZ339)</f>
        <v>366466.270020417</v>
      </c>
      <c r="BA340" s="54" t="n">
        <f aca="false">MAX(0,BA336+BA337+BA338+BA339)</f>
        <v>366466.270020417</v>
      </c>
      <c r="BB340" s="54" t="n">
        <f aca="false">MAX(0,BB336+BB337+BB338+BB339)</f>
        <v>366466.270020417</v>
      </c>
      <c r="BC340" s="54" t="n">
        <f aca="false">MAX(0,BC336+BC337+BC338+BC339)</f>
        <v>380208.755146183</v>
      </c>
      <c r="BD340" s="54" t="n">
        <f aca="false">MAX(0,BD336+BD337+BD338+BD339)</f>
        <v>380208.755146183</v>
      </c>
      <c r="BE340" s="54" t="n">
        <f aca="false">MAX(0,BE336+BE337+BE338+BE339)</f>
        <v>380208.755146183</v>
      </c>
      <c r="BF340" s="54" t="n">
        <f aca="false">MAX(0,BF336+BF337+BF338+BF339)</f>
        <v>394466.583464164</v>
      </c>
      <c r="BG340" s="54" t="n">
        <f aca="false">MAX(0,BG336+BG337+BG338+BG339)</f>
        <v>394466.583464164</v>
      </c>
      <c r="BH340" s="54" t="n">
        <f aca="false">MAX(0,BH336+BH337+BH338+BH339)</f>
        <v>394466.583464164</v>
      </c>
      <c r="BI340" s="54" t="n">
        <f aca="false">MAX(0,BI336+BI337+BI338+BI339)</f>
        <v>409259.080344071</v>
      </c>
      <c r="BJ340" s="54" t="n">
        <f aca="false">MAX(0,BJ336+BJ337+BJ338+BJ339)</f>
        <v>409259.080344071</v>
      </c>
      <c r="BK340" s="54" t="n">
        <f aca="false">MAX(0,BK336+BK337+BK338+BK339)</f>
        <v>409259.080344071</v>
      </c>
      <c r="BL340" s="54" t="n">
        <f aca="false">MAX(0,BL336+BL337+BL338+BL339)</f>
        <v>424606.295856973</v>
      </c>
      <c r="BM340" s="54" t="n">
        <f aca="false">MAX(0,BM336+BM337+BM338+BM339)</f>
        <v>424606.295856973</v>
      </c>
      <c r="BN340" s="54" t="n">
        <f aca="false">MAX(0,BN336+BN337+BN338+BN339)</f>
        <v>424606.295856973</v>
      </c>
      <c r="BO340" s="54" t="n">
        <f aca="false">MAX(0,BO336+BO337+BO338+BO339)</f>
        <v>440529.03195161</v>
      </c>
      <c r="BP340" s="54" t="n">
        <f aca="false">MAX(0,BP336+BP337+BP338+BP339)</f>
        <v>440529.03195161</v>
      </c>
      <c r="BQ340" s="54" t="n">
        <f aca="false">MAX(0,BQ336+BQ337+BQ338+BQ339)</f>
        <v>440529.03195161</v>
      </c>
      <c r="BR340" s="54" t="n">
        <f aca="false">MAX(0,BR336+BR337+BR338+BR339)</f>
        <v>457048.870649795</v>
      </c>
      <c r="BS340" s="54" t="n">
        <f aca="false">MAX(0,BS336+BS337+BS338+BS339)</f>
        <v>457048.870649795</v>
      </c>
      <c r="BT340" s="54" t="n">
        <f aca="false">MAX(0,BT336+BT337+BT338+BT339)</f>
        <v>457048.870649795</v>
      </c>
      <c r="BU340" s="54" t="n">
        <f aca="false">MAX(0,BU336+BU337+BU338+BU339)</f>
        <v>474188.203299162</v>
      </c>
      <c r="BV340" s="54" t="n">
        <f aca="false">MAX(0,BV336+BV337+BV338+BV339)</f>
        <v>474188.203299162</v>
      </c>
      <c r="BW340" s="54" t="n">
        <f aca="false">MAX(0,BW336+BW337+BW338+BW339)</f>
        <v>474188.203299162</v>
      </c>
      <c r="BX340" s="54" t="n">
        <f aca="false">MAX(0,BX336+BX337+BX338+BX339)</f>
        <v>491970.260922881</v>
      </c>
      <c r="BY340" s="54" t="n">
        <f aca="false">MAX(0,BY336+BY337+BY338+BY339)</f>
        <v>491970.260922881</v>
      </c>
      <c r="BZ340" s="54" t="n">
        <f aca="false">MAX(0,BZ336+BZ337+BZ338+BZ339)</f>
        <v>491970.260922881</v>
      </c>
      <c r="CA340" s="54" t="n">
        <f aca="false">MAX(0,CA336+CA337+CA338+CA339)</f>
        <v>510419.145707489</v>
      </c>
      <c r="CB340" s="54" t="n">
        <f aca="false">MAX(0,CB336+CB337+CB338+CB339)</f>
        <v>510419.145707489</v>
      </c>
      <c r="CC340" s="54" t="n">
        <f aca="false">MAX(0,CC336+CC337+CC338+CC339)</f>
        <v>510419.145707489</v>
      </c>
      <c r="CD340" s="54" t="n">
        <f aca="false">MAX(0,CD336+CD337+CD338+CD339)</f>
        <v>529559.86367152</v>
      </c>
      <c r="CE340" s="54" t="n">
        <f aca="false">MAX(0,CE336+CE337+CE338+CE339)</f>
        <v>529559.86367152</v>
      </c>
      <c r="CF340" s="54" t="n">
        <f aca="false">MAX(0,CF336+CF337+CF338+CF339)</f>
        <v>529559.86367152</v>
      </c>
      <c r="CG340" s="54" t="n">
        <f aca="false">MAX(0,CG336+CG337+CG338+CG339)</f>
        <v>549418.358559202</v>
      </c>
      <c r="CH340" s="54" t="n">
        <f aca="false">MAX(0,CH336+CH337+CH338+CH339)</f>
        <v>549418.358559202</v>
      </c>
      <c r="CI340" s="54" t="n">
        <f aca="false">MAX(0,CI336+CI337+CI338+CI339)</f>
        <v>549418.358559202</v>
      </c>
      <c r="CJ340" s="54" t="n">
        <f aca="false">MAX(0,CJ336+CJ337+CJ338+CJ339)</f>
        <v>570021.547005172</v>
      </c>
      <c r="CK340" s="54" t="n">
        <f aca="false">MAX(0,CK336+CK337+CK338+CK339)</f>
        <v>570021.547005172</v>
      </c>
      <c r="CL340" s="54" t="n">
        <f aca="false">MAX(0,CL336+CL337+CL338+CL339)</f>
        <v>570021.547005172</v>
      </c>
      <c r="CM340" s="54" t="n">
        <f aca="false">MAX(0,CM336+CM337+CM338+CM339)</f>
        <v>591397.355017866</v>
      </c>
      <c r="CN340" s="54" t="n">
        <f aca="false">MAX(0,CN336+CN337+CN338+CN339)</f>
        <v>569702.675017866</v>
      </c>
      <c r="CO340" s="54" t="n">
        <f aca="false">MAX(0,CO336+CO337+CO338+CO339)</f>
        <v>496547.675017866</v>
      </c>
      <c r="CP340" s="54" t="n">
        <f aca="false">MAX(0,CP336+CP337+CP338+CP339)</f>
        <v>442013.212831036</v>
      </c>
      <c r="CQ340" s="54" t="n">
        <f aca="false">MAX(0,CQ336+CQ337+CQ338+CQ339)</f>
        <v>368858.212831036</v>
      </c>
      <c r="CR340" s="54" t="n">
        <f aca="false">MAX(0,CR336+CR337+CR338+CR339)</f>
        <v>295703.212831036</v>
      </c>
      <c r="CS340" s="54" t="n">
        <f aca="false">MAX(0,CS336+CS337+CS338+CS339)</f>
        <v>233637.0833122</v>
      </c>
      <c r="CT340" s="54" t="n">
        <f aca="false">MAX(0,CT336+CT337+CT338+CT339)</f>
        <v>160482.0833122</v>
      </c>
      <c r="CU340" s="54" t="n">
        <f aca="false">MAX(0,CU336+CU337+CU338+CU339)</f>
        <v>87327.0833121997</v>
      </c>
      <c r="CV340" s="54" t="n">
        <f aca="false">MAX(0,CV336+CV337+CV338+CV339)</f>
        <v>17446.8489364072</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175</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176</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177</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178</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179</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180</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20699563.289615</v>
      </c>
      <c r="N353" s="13" t="n">
        <f aca="false">Helpers!L13</f>
        <v>20002952.87841</v>
      </c>
      <c r="O353" s="13" t="n">
        <f aca="false">Helpers!M13</f>
        <v>19163431.1222</v>
      </c>
      <c r="P353" s="13" t="n">
        <f aca="false">Helpers!N13</f>
        <v>18176553.96934</v>
      </c>
      <c r="Q353" s="13" t="n">
        <f aca="false">Helpers!O13</f>
        <v>17044958.08205</v>
      </c>
      <c r="R353" s="13" t="n">
        <f aca="false">Helpers!P13</f>
        <v>15779317.68964</v>
      </c>
      <c r="S353" s="13" t="n">
        <f aca="false">Helpers!Q13</f>
        <v>14398535.959155</v>
      </c>
      <c r="T353" s="13" t="n">
        <f aca="false">Helpers!R13</f>
        <v>12929149.620035</v>
      </c>
      <c r="U353" s="13" t="n">
        <f aca="false">Helpers!S13</f>
        <v>11403883.052575</v>
      </c>
      <c r="V353" s="13" t="n">
        <f aca="false">Helpers!T13</f>
        <v>9859521.947425</v>
      </c>
      <c r="W353" s="13" t="n">
        <f aca="false">Helpers!U13</f>
        <v>8334255.379965</v>
      </c>
      <c r="X353" s="13" t="n">
        <f aca="false">Helpers!V13</f>
        <v>6864869.040845</v>
      </c>
      <c r="Y353" s="13" t="n">
        <f aca="false">Helpers!W13</f>
        <v>5484087.31036</v>
      </c>
      <c r="Z353" s="13" t="n">
        <f aca="false">Helpers!X13</f>
        <v>4218446.91795</v>
      </c>
      <c r="AA353" s="13" t="n">
        <f aca="false">Helpers!Y13</f>
        <v>3086851.03066</v>
      </c>
      <c r="AB353" s="13" t="n">
        <f aca="false">Helpers!Z13</f>
        <v>2099973.8778</v>
      </c>
      <c r="AC353" s="13" t="n">
        <f aca="false">Helpers!AA13</f>
        <v>1260452.12159</v>
      </c>
      <c r="AD353" s="13" t="n">
        <f aca="false">Helpers!AB13</f>
        <v>563841.710385</v>
      </c>
      <c r="AE353" s="13" t="n">
        <f aca="false">Helpers!AC13</f>
        <v>0</v>
      </c>
      <c r="AF353" s="13" t="n">
        <f aca="false">Helpers!AD13</f>
        <v>0</v>
      </c>
      <c r="AG353" s="13" t="n">
        <f aca="false">Helpers!AE13</f>
        <v>0</v>
      </c>
      <c r="AH353" s="13" t="n">
        <f aca="false">Helpers!AF13</f>
        <v>0</v>
      </c>
      <c r="AI353" s="13" t="n">
        <f aca="false">Helpers!AG13</f>
        <v>0</v>
      </c>
      <c r="AJ353" s="13" t="n">
        <f aca="false">Helpers!AH13</f>
        <v>0</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40688781.070168</v>
      </c>
      <c r="AF355" s="13" t="n">
        <f aca="false">Helpers!AD15</f>
        <v>39922975.994792</v>
      </c>
      <c r="AG355" s="13" t="n">
        <f aca="false">Helpers!AE15</f>
        <v>39050930.869808</v>
      </c>
      <c r="AH355" s="13" t="n">
        <f aca="false">Helpers!AF15</f>
        <v>38067807.203272</v>
      </c>
      <c r="AI355" s="13" t="n">
        <f aca="false">Helpers!AG15</f>
        <v>36970462.043152</v>
      </c>
      <c r="AJ355" s="13" t="n">
        <f aca="false">Helpers!AH15</f>
        <v>35757820.169016</v>
      </c>
      <c r="AK355" s="13" t="n">
        <f aca="false">Helpers!AI15</f>
        <v>34431080.865192</v>
      </c>
      <c r="AL355" s="13" t="n">
        <f aca="false">Helpers!AJ15</f>
        <v>32993924.693928</v>
      </c>
      <c r="AM355" s="13" t="n">
        <f aca="false">Helpers!AK15</f>
        <v>31452678.91392</v>
      </c>
      <c r="AN355" s="13" t="n">
        <f aca="false">Helpers!AL15</f>
        <v>29816193.416416</v>
      </c>
      <c r="AO355" s="13" t="n">
        <f aca="false">Helpers!AM15</f>
        <v>28095882.079848</v>
      </c>
      <c r="AP355" s="13" t="n">
        <f aca="false">Helpers!AN15</f>
        <v>26305433.287408</v>
      </c>
      <c r="AQ355" s="13" t="n">
        <f aca="false">Helpers!AO15</f>
        <v>24460479.089992</v>
      </c>
      <c r="AR355" s="13" t="n">
        <f aca="false">Helpers!AP15</f>
        <v>22578305.723776</v>
      </c>
      <c r="AS355" s="13" t="n">
        <f aca="false">Helpers!AQ15</f>
        <v>20677233.290736</v>
      </c>
      <c r="AT355" s="13" t="n">
        <f aca="false">Helpers!AR15</f>
        <v>18776160.857696</v>
      </c>
      <c r="AU355" s="13" t="n">
        <f aca="false">Helpers!AS15</f>
        <v>16893987.49148</v>
      </c>
      <c r="AV355" s="13" t="n">
        <f aca="false">Helpers!AT15</f>
        <v>15049033.294064</v>
      </c>
      <c r="AW355" s="13" t="n">
        <f aca="false">Helpers!AU15</f>
        <v>13258584.501624</v>
      </c>
      <c r="AX355" s="13" t="n">
        <f aca="false">Helpers!AV15</f>
        <v>11538273.165056</v>
      </c>
      <c r="AY355" s="13" t="n">
        <f aca="false">Helpers!AW15</f>
        <v>9901787.667552</v>
      </c>
      <c r="AZ355" s="13" t="n">
        <f aca="false">Helpers!AX15</f>
        <v>8360541.887544</v>
      </c>
      <c r="BA355" s="13" t="n">
        <f aca="false">Helpers!AY15</f>
        <v>6923385.71628</v>
      </c>
      <c r="BB355" s="13" t="n">
        <f aca="false">Helpers!AZ15</f>
        <v>5596646.412456</v>
      </c>
      <c r="BC355" s="13" t="n">
        <f aca="false">Helpers!BA15</f>
        <v>4384004.53832</v>
      </c>
      <c r="BD355" s="13" t="n">
        <f aca="false">Helpers!BB15</f>
        <v>3286659.3782</v>
      </c>
      <c r="BE355" s="13" t="n">
        <f aca="false">Helpers!BC15</f>
        <v>2303535.711664</v>
      </c>
      <c r="BF355" s="13" t="n">
        <f aca="false">Helpers!BD15</f>
        <v>1431490.58668</v>
      </c>
      <c r="BG355" s="13" t="n">
        <f aca="false">Helpers!BE15</f>
        <v>665685.511304001</v>
      </c>
      <c r="BH355" s="13" t="n">
        <f aca="false">Helpers!BF15</f>
        <v>-165.418527995574</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181</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93841157.4299332</v>
      </c>
      <c r="N356" s="30" t="n">
        <f aca="false">SUM(N348:N355)+N357</f>
        <v>89898626.9272109</v>
      </c>
      <c r="O356" s="30" t="n">
        <f aca="false">SUM(O348:O355)+O357</f>
        <v>85937639.1724672</v>
      </c>
      <c r="P356" s="30" t="n">
        <f aca="false">SUM(P348:P355)+P357</f>
        <v>81571690.8249268</v>
      </c>
      <c r="Q356" s="30" t="n">
        <f aca="false">SUM(Q348:Q355)+Q357</f>
        <v>95425108.0594347</v>
      </c>
      <c r="R356" s="30" t="n">
        <f aca="false">SUM(R348:R355)+R357</f>
        <v>101465214.319242</v>
      </c>
      <c r="S356" s="30" t="n">
        <f aca="false">SUM(S348:S355)+S357</f>
        <v>139923409.92022</v>
      </c>
      <c r="T356" s="30" t="n">
        <f aca="false">SUM(T348:T355)+T357</f>
        <v>132080966.275982</v>
      </c>
      <c r="U356" s="30" t="n">
        <f aca="false">SUM(U348:U355)+U357</f>
        <v>124742417.256107</v>
      </c>
      <c r="V356" s="30" t="n">
        <f aca="false">SUM(V348:V355)+V357</f>
        <v>129730690.935604</v>
      </c>
      <c r="W356" s="30" t="n">
        <f aca="false">SUM(W348:W355)+W357</f>
        <v>134735562.212475</v>
      </c>
      <c r="X356" s="30" t="n">
        <f aca="false">SUM(X348:X355)+X357</f>
        <v>124265764.140738</v>
      </c>
      <c r="Y356" s="30" t="n">
        <f aca="false">SUM(Y348:Y355)+Y357</f>
        <v>114921954.782205</v>
      </c>
      <c r="Z356" s="30" t="n">
        <f aca="false">SUM(Z348:Z355)+Z357</f>
        <v>104402876.369504</v>
      </c>
      <c r="AA356" s="30" t="n">
        <f aca="false">SUM(AA348:AA355)+AA357</f>
        <v>94330088.7043768</v>
      </c>
      <c r="AB356" s="30" t="n">
        <f aca="false">SUM(AB348:AB355)+AB357</f>
        <v>81088973.3302383</v>
      </c>
      <c r="AC356" s="30" t="n">
        <f aca="false">SUM(AC348:AC355)+AC357</f>
        <v>73446878.9520495</v>
      </c>
      <c r="AD356" s="30" t="n">
        <f aca="false">SUM(AD348:AD355)+AD357</f>
        <v>65760331.7756841</v>
      </c>
      <c r="AE356" s="30" t="n">
        <f aca="false">SUM(AE348:AE355)+AE357</f>
        <v>99064774.3854532</v>
      </c>
      <c r="AF356" s="30" t="n">
        <f aca="false">SUM(AF348:AF355)+AF357</f>
        <v>91383140.099936</v>
      </c>
      <c r="AG356" s="30" t="n">
        <f aca="false">SUM(AG348:AG355)+AG357</f>
        <v>82795282.8899107</v>
      </c>
      <c r="AH356" s="30" t="n">
        <f aca="false">SUM(AH348:AH355)+AH357</f>
        <v>74580971.284942</v>
      </c>
      <c r="AI356" s="30" t="n">
        <f aca="false">SUM(AI348:AI355)+AI357</f>
        <v>67065521.035357</v>
      </c>
      <c r="AJ356" s="30" t="n">
        <f aca="false">SUM(AJ348:AJ355)+AJ357</f>
        <v>60730892.632296</v>
      </c>
      <c r="AK356" s="30" t="n">
        <f aca="false">SUM(AK348:AK355)+AK357</f>
        <v>55038862.430782</v>
      </c>
      <c r="AL356" s="30" t="n">
        <f aca="false">SUM(AL348:AL355)+AL357</f>
        <v>49386041.246598</v>
      </c>
      <c r="AM356" s="30" t="n">
        <f aca="false">SUM(AM348:AM355)+AM357</f>
        <v>43812655.598405</v>
      </c>
      <c r="AN356" s="30" t="n">
        <f aca="false">SUM(AN348:AN355)+AN357</f>
        <v>39331082.509006</v>
      </c>
      <c r="AO356" s="30" t="n">
        <f aca="false">SUM(AO348:AO355)+AO357</f>
        <v>35674218.379398</v>
      </c>
      <c r="AP356" s="30" t="n">
        <f aca="false">SUM(AP348:AP355)+AP357</f>
        <v>32431521.071818</v>
      </c>
      <c r="AQ356" s="30" t="n">
        <f aca="false">SUM(AQ348:AQ355)+AQ357</f>
        <v>29259209.377692</v>
      </c>
      <c r="AR356" s="30" t="n">
        <f aca="false">SUM(AR348:AR355)+AR357</f>
        <v>26175882.269526</v>
      </c>
      <c r="AS356" s="30" t="n">
        <f aca="false">SUM(AS348:AS355)+AS357</f>
        <v>23198682.913276</v>
      </c>
      <c r="AT356" s="30" t="n">
        <f aca="false">SUM(AT348:AT355)+AT357</f>
        <v>20343070.101246</v>
      </c>
      <c r="AU356" s="30" t="n">
        <f aca="false">SUM(AU348:AU355)+AU357</f>
        <v>17622646.68817</v>
      </c>
      <c r="AV356" s="30" t="n">
        <f aca="false">SUM(AV348:AV355)+AV357</f>
        <v>15048852.226984</v>
      </c>
      <c r="AW356" s="30" t="n">
        <f aca="false">SUM(AW348:AW355)+AW357</f>
        <v>13258584.501624</v>
      </c>
      <c r="AX356" s="30" t="n">
        <f aca="false">SUM(AX348:AX355)+AX357</f>
        <v>11538273.165056</v>
      </c>
      <c r="AY356" s="30" t="n">
        <f aca="false">SUM(AY348:AY355)+AY357</f>
        <v>9901787.667552</v>
      </c>
      <c r="AZ356" s="30" t="n">
        <f aca="false">SUM(AZ348:AZ355)+AZ357</f>
        <v>8360541.887544</v>
      </c>
      <c r="BA356" s="30" t="n">
        <f aca="false">SUM(BA348:BA355)+BA357</f>
        <v>6923385.71628</v>
      </c>
      <c r="BB356" s="30" t="n">
        <f aca="false">SUM(BB348:BB355)+BB357</f>
        <v>5596646.412456</v>
      </c>
      <c r="BC356" s="30" t="n">
        <f aca="false">SUM(BC348:BC355)+BC357</f>
        <v>4384004.53832</v>
      </c>
      <c r="BD356" s="30" t="n">
        <f aca="false">SUM(BD348:BD355)+BD357</f>
        <v>3286659.3782</v>
      </c>
      <c r="BE356" s="30" t="n">
        <f aca="false">SUM(BE348:BE355)+BE357</f>
        <v>2303535.711664</v>
      </c>
      <c r="BF356" s="30" t="n">
        <f aca="false">SUM(BF348:BF355)+BF357</f>
        <v>1431490.58668</v>
      </c>
      <c r="BG356" s="30" t="n">
        <f aca="false">SUM(BG348:BG355)+BG357</f>
        <v>665685.511304001</v>
      </c>
      <c r="BH356" s="30" t="n">
        <f aca="false">SUM(BH348:BH355)+BH357</f>
        <v>-165.418527995574</v>
      </c>
      <c r="BI356" s="30" t="n">
        <f aca="false">SUM(BI348:BI355)+BI357</f>
        <v>0</v>
      </c>
      <c r="BJ356" s="30" t="n">
        <f aca="false">SUM(BJ348:BJ355)+BJ357</f>
        <v>0</v>
      </c>
      <c r="BK356" s="30" t="n">
        <f aca="false">SUM(BK348:BK355)+BK357</f>
        <v>0</v>
      </c>
      <c r="BL356" s="30" t="n">
        <f aca="false">SUM(BL348:BL355)+BL357</f>
        <v>0</v>
      </c>
      <c r="BM356" s="30" t="n">
        <f aca="false">SUM(BM348:BM355)+BM357</f>
        <v>0</v>
      </c>
      <c r="BN356" s="30" t="n">
        <f aca="false">SUM(BN348:BN355)+BN357</f>
        <v>0</v>
      </c>
      <c r="BO356" s="30" t="n">
        <f aca="false">SUM(BO348:BO355)+BO357</f>
        <v>0</v>
      </c>
      <c r="BP356" s="30" t="n">
        <f aca="false">SUM(BP348:BP355)+BP357</f>
        <v>0</v>
      </c>
      <c r="BQ356" s="30" t="n">
        <f aca="false">SUM(BQ348:BQ355)+BQ357</f>
        <v>0</v>
      </c>
      <c r="BR356" s="30" t="n">
        <f aca="false">SUM(BR348:BR355)+BR357</f>
        <v>0</v>
      </c>
      <c r="BS356" s="30" t="n">
        <f aca="false">SUM(BS348:BS355)+BS357</f>
        <v>0</v>
      </c>
      <c r="BT356" s="30" t="n">
        <f aca="false">SUM(BT348:BT355)+BT357</f>
        <v>0</v>
      </c>
      <c r="BU356" s="30" t="n">
        <f aca="false">SUM(BU348:BU355)+BU357</f>
        <v>0</v>
      </c>
      <c r="BV356" s="30" t="n">
        <f aca="false">SUM(BV348:BV355)+BV357</f>
        <v>0</v>
      </c>
      <c r="BW356" s="30" t="n">
        <f aca="false">SUM(BW348:BW355)+BW357</f>
        <v>0</v>
      </c>
      <c r="BX356" s="30" t="n">
        <f aca="false">SUM(BX348:BX355)+BX357</f>
        <v>0</v>
      </c>
      <c r="BY356" s="30" t="n">
        <f aca="false">SUM(BY348:BY355)+BY357</f>
        <v>0</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182</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4783413.12674</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3394049.6962</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2196510.74851</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1189523.942765</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363442.002</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183</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184</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185</v>
      </c>
      <c r="B361" s="13"/>
      <c r="C361" s="13"/>
      <c r="D361" s="13"/>
      <c r="E361" s="13"/>
      <c r="F361" s="13"/>
      <c r="G361" s="13"/>
      <c r="H361" s="13"/>
      <c r="I361" s="13"/>
      <c r="J361" s="13" t="n">
        <f aca="false">Assumptions!B29</f>
        <v>1287106</v>
      </c>
      <c r="K361" s="13" t="n">
        <f aca="false">J369</f>
        <v>1121321.7942407</v>
      </c>
      <c r="L361" s="13" t="n">
        <f aca="false">K369</f>
        <v>1624723.12483538</v>
      </c>
      <c r="M361" s="13" t="n">
        <f aca="false">L369</f>
        <v>2077341.84486452</v>
      </c>
      <c r="N361" s="13" t="n">
        <f aca="false">M369</f>
        <v>2169280.11445269</v>
      </c>
      <c r="O361" s="13" t="n">
        <f aca="false">N369</f>
        <v>1282071.57256611</v>
      </c>
      <c r="P361" s="13" t="n">
        <f aca="false">O369</f>
        <v>1638278.79098763</v>
      </c>
      <c r="Q361" s="13" t="n">
        <f aca="false">P369</f>
        <v>1950479.9368901</v>
      </c>
      <c r="R361" s="13" t="n">
        <f aca="false">Q369</f>
        <v>2237197.04704618</v>
      </c>
      <c r="S361" s="13" t="n">
        <f aca="false">R369</f>
        <v>2211305.3633912</v>
      </c>
      <c r="T361" s="13" t="n">
        <f aca="false">S369</f>
        <v>2302048.62669757</v>
      </c>
      <c r="U361" s="13" t="n">
        <f aca="false">T369</f>
        <v>1892783.50569663</v>
      </c>
      <c r="V361" s="13" t="n">
        <f aca="false">U369</f>
        <v>2489520.41186072</v>
      </c>
      <c r="W361" s="13" t="n">
        <f aca="false">V369</f>
        <v>3046741.81041956</v>
      </c>
      <c r="X361" s="13" t="n">
        <f aca="false">W369</f>
        <v>3482491.10358146</v>
      </c>
      <c r="Y361" s="13" t="n">
        <f aca="false">X369</f>
        <v>3799542.63256799</v>
      </c>
      <c r="Z361" s="13" t="n">
        <f aca="false">Y369</f>
        <v>4536405.69841659</v>
      </c>
      <c r="AA361" s="13" t="n">
        <f aca="false">Z369</f>
        <v>5105190.63526519</v>
      </c>
      <c r="AB361" s="13" t="n">
        <f aca="false">AA369</f>
        <v>5885143.51194573</v>
      </c>
      <c r="AC361" s="13" t="n">
        <f aca="false">AB369</f>
        <v>6695584.62021421</v>
      </c>
      <c r="AD361" s="13" t="n">
        <f aca="false">AC369</f>
        <v>7246031.96180816</v>
      </c>
      <c r="AE361" s="13" t="n">
        <f aca="false">AD369</f>
        <v>7588052.03612009</v>
      </c>
      <c r="AF361" s="13" t="n">
        <f aca="false">AE369</f>
        <v>7967900.13019629</v>
      </c>
      <c r="AG361" s="13" t="n">
        <f aca="false">AF369</f>
        <v>7881685.04856809</v>
      </c>
      <c r="AH361" s="13" t="n">
        <f aca="false">AG369</f>
        <v>8621984.79522432</v>
      </c>
      <c r="AI361" s="13" t="n">
        <f aca="false">AH369</f>
        <v>9357417.42803857</v>
      </c>
      <c r="AJ361" s="13" t="n">
        <f aca="false">AI369</f>
        <v>9983905.29572067</v>
      </c>
      <c r="AK361" s="13" t="n">
        <f aca="false">AJ369</f>
        <v>10579594.4663998</v>
      </c>
      <c r="AL361" s="13" t="n">
        <f aca="false">AK369</f>
        <v>11072320.422959</v>
      </c>
      <c r="AM361" s="13" t="n">
        <f aca="false">AL369</f>
        <v>11172660.4802639</v>
      </c>
      <c r="AN361" s="13" t="n">
        <f aca="false">AM369</f>
        <v>11301580.804992</v>
      </c>
      <c r="AO361" s="13" t="n">
        <f aca="false">AN369</f>
        <v>11823857.0201426</v>
      </c>
      <c r="AP361" s="13" t="n">
        <f aca="false">AO369</f>
        <v>12078826.5216229</v>
      </c>
      <c r="AQ361" s="13" t="n">
        <f aca="false">AP369</f>
        <v>12150542.668739</v>
      </c>
      <c r="AR361" s="13" t="n">
        <f aca="false">AQ369</f>
        <v>12059938.9068898</v>
      </c>
      <c r="AS361" s="13" t="n">
        <f aca="false">AR369</f>
        <v>11978950.529656</v>
      </c>
      <c r="AT361" s="13" t="n">
        <f aca="false">AS369</f>
        <v>11897962.1524222</v>
      </c>
      <c r="AU361" s="13" t="n">
        <f aca="false">AT369</f>
        <v>11816973.7751883</v>
      </c>
      <c r="AV361" s="13" t="n">
        <f aca="false">AU369</f>
        <v>11735985.3979545</v>
      </c>
      <c r="AW361" s="13" t="n">
        <f aca="false">AV369</f>
        <v>11913858.3268065</v>
      </c>
      <c r="AX361" s="13" t="n">
        <f aca="false">AW369</f>
        <v>12113984.245129</v>
      </c>
      <c r="AY361" s="13" t="n">
        <f aca="false">AX369</f>
        <v>11869050.3740408</v>
      </c>
      <c r="AZ361" s="13" t="n">
        <f aca="false">AY369</f>
        <v>11624116.5029527</v>
      </c>
      <c r="BA361" s="13" t="n">
        <f aca="false">AZ369</f>
        <v>11379182.6318645</v>
      </c>
      <c r="BB361" s="13" t="n">
        <f aca="false">BA369</f>
        <v>11126654.550178</v>
      </c>
      <c r="BC361" s="13" t="n">
        <f aca="false">BB369</f>
        <v>10874126.4684916</v>
      </c>
      <c r="BD361" s="13" t="n">
        <f aca="false">BC369</f>
        <v>10621598.3868051</v>
      </c>
      <c r="BE361" s="13" t="n">
        <f aca="false">BD369</f>
        <v>10369070.3051187</v>
      </c>
      <c r="BF361" s="13" t="n">
        <f aca="false">BE369</f>
        <v>10116542.2234322</v>
      </c>
      <c r="BG361" s="13" t="n">
        <f aca="false">BF369</f>
        <v>9864014.14174577</v>
      </c>
      <c r="BH361" s="13" t="n">
        <f aca="false">BG369</f>
        <v>9611486.06005932</v>
      </c>
      <c r="BI361" s="13" t="n">
        <f aca="false">BH369</f>
        <v>9595447.43967569</v>
      </c>
      <c r="BJ361" s="13" t="n">
        <f aca="false">BI369</f>
        <v>9599738.61508826</v>
      </c>
      <c r="BK361" s="13" t="n">
        <f aca="false">BJ369</f>
        <v>9197433.87457669</v>
      </c>
      <c r="BL361" s="13" t="n">
        <f aca="false">BK369</f>
        <v>8795129.13406512</v>
      </c>
      <c r="BM361" s="13" t="n">
        <f aca="false">BL369</f>
        <v>8392824.39355355</v>
      </c>
      <c r="BN361" s="13" t="n">
        <f aca="false">BM369</f>
        <v>7982773.55823175</v>
      </c>
      <c r="BO361" s="13" t="n">
        <f aca="false">BN369</f>
        <v>7572722.72290995</v>
      </c>
      <c r="BP361" s="13" t="n">
        <f aca="false">BO369</f>
        <v>7162671.88758815</v>
      </c>
      <c r="BQ361" s="13" t="n">
        <f aca="false">BP369</f>
        <v>6752621.05226635</v>
      </c>
      <c r="BR361" s="13" t="n">
        <f aca="false">BQ369</f>
        <v>6342570.21694455</v>
      </c>
      <c r="BS361" s="13" t="n">
        <f aca="false">BR369</f>
        <v>5932519.38162274</v>
      </c>
      <c r="BT361" s="13" t="n">
        <f aca="false">BS369</f>
        <v>5522468.54630094</v>
      </c>
      <c r="BU361" s="13" t="n">
        <f aca="false">BT369</f>
        <v>5112417.71097914</v>
      </c>
      <c r="BV361" s="13" t="n">
        <f aca="false">BU369</f>
        <v>4702366.87565734</v>
      </c>
      <c r="BW361" s="13" t="n">
        <f aca="false">BV369</f>
        <v>4292316.04033554</v>
      </c>
      <c r="BX361" s="13" t="n">
        <f aca="false">BW369</f>
        <v>3882265.20501373</v>
      </c>
      <c r="BY361" s="13" t="n">
        <f aca="false">BX369</f>
        <v>3472214.36969193</v>
      </c>
      <c r="BZ361" s="13" t="n">
        <f aca="false">BY369</f>
        <v>3054262.5176637</v>
      </c>
      <c r="CA361" s="13" t="n">
        <f aca="false">BZ369</f>
        <v>2636310.66563546</v>
      </c>
      <c r="CB361" s="13" t="n">
        <f aca="false">CA369</f>
        <v>2218358.81360722</v>
      </c>
      <c r="CC361" s="13" t="n">
        <f aca="false">CB369</f>
        <v>1800406.96157898</v>
      </c>
      <c r="CD361" s="13" t="n">
        <f aca="false">CC369</f>
        <v>1382455.10955074</v>
      </c>
      <c r="CE361" s="13" t="n">
        <f aca="false">CD369</f>
        <v>964503.257522507</v>
      </c>
      <c r="CF361" s="13" t="n">
        <f aca="false">CE369</f>
        <v>546551.405494269</v>
      </c>
      <c r="CG361" s="13" t="n">
        <f aca="false">CF369</f>
        <v>128599.553466031</v>
      </c>
      <c r="CH361" s="13" t="n">
        <f aca="false">CG369</f>
        <v>-289352.298562206</v>
      </c>
      <c r="CI361" s="13" t="n">
        <f aca="false">CH369</f>
        <v>-707304.150590444</v>
      </c>
      <c r="CJ361" s="13" t="n">
        <f aca="false">CI369</f>
        <v>-1125256.00261868</v>
      </c>
      <c r="CK361" s="13" t="n">
        <f aca="false">CJ369</f>
        <v>-1543207.85464692</v>
      </c>
      <c r="CL361" s="13" t="n">
        <f aca="false">CK369</f>
        <v>-1969218.74371572</v>
      </c>
      <c r="CM361" s="13" t="n">
        <f aca="false">CL369</f>
        <v>-2395229.63278452</v>
      </c>
      <c r="CN361" s="13" t="n">
        <f aca="false">CM369</f>
        <v>-2821240.52185333</v>
      </c>
      <c r="CO361" s="13" t="n">
        <f aca="false">CN369</f>
        <v>-3247251.41092213</v>
      </c>
      <c r="CP361" s="13" t="n">
        <f aca="false">CO369</f>
        <v>-3673262.29999093</v>
      </c>
      <c r="CQ361" s="13" t="n">
        <f aca="false">CP369</f>
        <v>-4099273.18905973</v>
      </c>
      <c r="CR361" s="13" t="n">
        <f aca="false">CQ369</f>
        <v>-4525284.07812854</v>
      </c>
      <c r="CS361" s="13" t="n">
        <f aca="false">CR369</f>
        <v>-4951294.96719734</v>
      </c>
      <c r="CT361" s="13" t="n">
        <f aca="false">CS369</f>
        <v>-5377305.85626614</v>
      </c>
      <c r="CU361" s="13" t="n">
        <f aca="false">CT369</f>
        <v>-5762963.93129292</v>
      </c>
      <c r="CV361" s="13" t="n">
        <f aca="false">CU369</f>
        <v>-6148622.00631969</v>
      </c>
      <c r="CW361" s="13" t="n">
        <f aca="false">CV369</f>
        <v>-6534280.08134647</v>
      </c>
      <c r="CX361" s="13" t="n">
        <f aca="false">CW369</f>
        <v>-6927351.31787378</v>
      </c>
      <c r="CY361" s="13" t="n">
        <f aca="false">CX369</f>
        <v>-7320422.55440109</v>
      </c>
      <c r="CZ361" s="13" t="n">
        <f aca="false">CY369</f>
        <v>-7713493.79092841</v>
      </c>
      <c r="DA361" s="13" t="n">
        <f aca="false">CZ369</f>
        <v>-8106565.02745572</v>
      </c>
      <c r="DB361" s="13" t="n">
        <f aca="false">DA369</f>
        <v>-8499636.26398303</v>
      </c>
      <c r="DC361" s="13" t="n">
        <f aca="false">DB369</f>
        <v>-8892707.50051034</v>
      </c>
      <c r="DD361" s="13" t="n">
        <f aca="false">DC369</f>
        <v>-9285778.73703766</v>
      </c>
      <c r="DE361" s="13" t="n">
        <f aca="false">DD369</f>
        <v>-9678849.97356497</v>
      </c>
    </row>
    <row r="362" customFormat="false" ht="15" hidden="false" customHeight="true" outlineLevel="0" collapsed="false">
      <c r="A362" s="22" t="s">
        <v>186</v>
      </c>
      <c r="B362" s="13"/>
      <c r="C362" s="13"/>
      <c r="D362" s="13"/>
      <c r="E362" s="13"/>
      <c r="F362" s="13"/>
      <c r="G362" s="13"/>
      <c r="H362" s="13"/>
      <c r="I362" s="13"/>
      <c r="J362" s="13" t="n">
        <f aca="false">J237</f>
        <v>306134.398730297</v>
      </c>
      <c r="K362" s="13" t="n">
        <f aca="false">K237</f>
        <v>384022.760052101</v>
      </c>
      <c r="L362" s="13" t="n">
        <f aca="false">L237</f>
        <v>222829.998449374</v>
      </c>
      <c r="M362" s="13" t="n">
        <f aca="false">M237</f>
        <v>-203669.568231118</v>
      </c>
      <c r="N362" s="13" t="n">
        <f aca="false">N237</f>
        <v>473582.130942704</v>
      </c>
      <c r="O362" s="13" t="n">
        <f aca="false">O237</f>
        <v>299693.857423652</v>
      </c>
      <c r="P362" s="13" t="n">
        <f aca="false">P237</f>
        <v>361392.347423654</v>
      </c>
      <c r="Q362" s="13" t="n">
        <f aca="false">Q237</f>
        <v>57960.9483223677</v>
      </c>
      <c r="R362" s="13" t="n">
        <f aca="false">R237</f>
        <v>149662.931486591</v>
      </c>
      <c r="S362" s="13" t="n">
        <f aca="false">S237</f>
        <v>-305594.204320724</v>
      </c>
      <c r="T362" s="13" t="n">
        <f aca="false">T237</f>
        <v>592712.056344299</v>
      </c>
      <c r="U362" s="13" t="n">
        <f aca="false">U237</f>
        <v>486982.7663443</v>
      </c>
      <c r="V362" s="13" t="n">
        <f aca="false">V237</f>
        <v>399162.965062348</v>
      </c>
      <c r="W362" s="13" t="n">
        <f aca="false">W237</f>
        <v>379081.494886981</v>
      </c>
      <c r="X362" s="13" t="n">
        <f aca="false">X237</f>
        <v>796590.310749051</v>
      </c>
      <c r="Y362" s="13" t="n">
        <f aca="false">Y237</f>
        <v>634829.490749051</v>
      </c>
      <c r="Z362" s="13" t="n">
        <f aca="false">Z237</f>
        <v>761175.67074905</v>
      </c>
      <c r="AA362" s="13" t="n">
        <f aca="false">AA237</f>
        <v>790414.32411019</v>
      </c>
      <c r="AB362" s="13" t="n">
        <f aca="false">AB237</f>
        <v>604082.602009688</v>
      </c>
      <c r="AC362" s="13" t="n">
        <f aca="false">AC237</f>
        <v>368475.499351701</v>
      </c>
      <c r="AD362" s="13" t="n">
        <f aca="false">AD237</f>
        <v>412871.106813241</v>
      </c>
      <c r="AE362" s="13" t="n">
        <f aca="false">AE237</f>
        <v>-149102.892966185</v>
      </c>
      <c r="AF362" s="13" t="n">
        <f aca="false">AF237</f>
        <v>742702.65670813</v>
      </c>
      <c r="AG362" s="13" t="n">
        <f aca="false">AG237</f>
        <v>678212.279751779</v>
      </c>
      <c r="AH362" s="13" t="n">
        <f aca="false">AH237</f>
        <v>657605.158118938</v>
      </c>
      <c r="AI362" s="13" t="n">
        <f aca="false">AI237</f>
        <v>435085.347216045</v>
      </c>
      <c r="AJ362" s="13" t="n">
        <f aca="false">AJ237</f>
        <v>523753.550025699</v>
      </c>
      <c r="AK362" s="13" t="n">
        <f aca="false">AK237</f>
        <v>130517.232425313</v>
      </c>
      <c r="AL362" s="13" t="n">
        <f aca="false">AL237</f>
        <v>146393.224271467</v>
      </c>
      <c r="AM362" s="13" t="n">
        <f aca="false">AM237</f>
        <v>173139.290694545</v>
      </c>
      <c r="AN362" s="13" t="n">
        <f aca="false">AN237</f>
        <v>187615.115722371</v>
      </c>
      <c r="AO362" s="13" t="n">
        <f aca="false">AO237</f>
        <v>68612.4547470749</v>
      </c>
      <c r="AP362" s="13" t="n">
        <f aca="false">AP237</f>
        <v>-76780.065237541</v>
      </c>
      <c r="AQ362" s="13" t="n">
        <f aca="false">AQ237</f>
        <v>-74092.0696029256</v>
      </c>
      <c r="AR362" s="13" t="n">
        <f aca="false">AR237</f>
        <v>-64476.684987541</v>
      </c>
      <c r="AS362" s="13" t="n">
        <f aca="false">AS237</f>
        <v>-64476.684987541</v>
      </c>
      <c r="AT362" s="13" t="n">
        <f aca="false">AT237</f>
        <v>-64476.684987541</v>
      </c>
      <c r="AU362" s="13" t="n">
        <f aca="false">AU237</f>
        <v>-64476.6849875405</v>
      </c>
      <c r="AV362" s="13" t="n">
        <f aca="false">AV237</f>
        <v>208008.900365959</v>
      </c>
      <c r="AW362" s="13" t="n">
        <f aca="false">AW237</f>
        <v>-237050.889044757</v>
      </c>
      <c r="AX362" s="13" t="n">
        <f aca="false">AX237</f>
        <v>-237050.889044757</v>
      </c>
      <c r="AY362" s="13" t="n">
        <f aca="false">AY237</f>
        <v>-237050.889044757</v>
      </c>
      <c r="AZ362" s="13" t="n">
        <f aca="false">AZ237</f>
        <v>-237050.889044757</v>
      </c>
      <c r="BA362" s="13" t="n">
        <f aca="false">BA237</f>
        <v>-244645.099643023</v>
      </c>
      <c r="BB362" s="13" t="n">
        <f aca="false">BB237</f>
        <v>-244645.099643023</v>
      </c>
      <c r="BC362" s="13" t="n">
        <f aca="false">BC237</f>
        <v>-244645.099643023</v>
      </c>
      <c r="BD362" s="13" t="n">
        <f aca="false">BD237</f>
        <v>-244645.099643023</v>
      </c>
      <c r="BE362" s="13" t="n">
        <f aca="false">BE237</f>
        <v>-244645.099643023</v>
      </c>
      <c r="BF362" s="13" t="n">
        <f aca="false">BF237</f>
        <v>-244645.099643023</v>
      </c>
      <c r="BG362" s="13" t="n">
        <f aca="false">BG237</f>
        <v>-244645.099643023</v>
      </c>
      <c r="BH362" s="13" t="n">
        <f aca="false">BH237</f>
        <v>4291.17541257659</v>
      </c>
      <c r="BI362" s="13" t="n">
        <f aca="false">BI237</f>
        <v>-402304.74051157</v>
      </c>
      <c r="BJ362" s="13" t="n">
        <f aca="false">BJ237</f>
        <v>-402304.74051157</v>
      </c>
      <c r="BK362" s="13" t="n">
        <f aca="false">BK237</f>
        <v>-402304.74051157</v>
      </c>
      <c r="BL362" s="13" t="n">
        <f aca="false">BL237</f>
        <v>-402304.74051157</v>
      </c>
      <c r="BM362" s="13" t="n">
        <f aca="false">BM237</f>
        <v>-410050.835321802</v>
      </c>
      <c r="BN362" s="13" t="n">
        <f aca="false">BN237</f>
        <v>-410050.835321802</v>
      </c>
      <c r="BO362" s="13" t="n">
        <f aca="false">BO237</f>
        <v>-410050.835321802</v>
      </c>
      <c r="BP362" s="13" t="n">
        <f aca="false">BP237</f>
        <v>-410050.835321802</v>
      </c>
      <c r="BQ362" s="13" t="n">
        <f aca="false">BQ237</f>
        <v>-410050.835321802</v>
      </c>
      <c r="BR362" s="13" t="n">
        <f aca="false">BR237</f>
        <v>-410050.835321802</v>
      </c>
      <c r="BS362" s="13" t="n">
        <f aca="false">BS237</f>
        <v>-410050.835321802</v>
      </c>
      <c r="BT362" s="13" t="n">
        <f aca="false">BT237</f>
        <v>-410050.835321802</v>
      </c>
      <c r="BU362" s="13" t="n">
        <f aca="false">BU237</f>
        <v>-410050.835321802</v>
      </c>
      <c r="BV362" s="13" t="n">
        <f aca="false">BV237</f>
        <v>-410050.835321802</v>
      </c>
      <c r="BW362" s="13" t="n">
        <f aca="false">BW237</f>
        <v>-410050.835321802</v>
      </c>
      <c r="BX362" s="13" t="n">
        <f aca="false">BX237</f>
        <v>-410050.835321802</v>
      </c>
      <c r="BY362" s="13" t="n">
        <f aca="false">BY237</f>
        <v>-417951.852028238</v>
      </c>
      <c r="BZ362" s="13" t="n">
        <f aca="false">BZ237</f>
        <v>-417951.852028238</v>
      </c>
      <c r="CA362" s="13" t="n">
        <f aca="false">CA237</f>
        <v>-417951.852028238</v>
      </c>
      <c r="CB362" s="13" t="n">
        <f aca="false">CB237</f>
        <v>-417951.852028238</v>
      </c>
      <c r="CC362" s="13" t="n">
        <f aca="false">CC237</f>
        <v>-417951.852028238</v>
      </c>
      <c r="CD362" s="13" t="n">
        <f aca="false">CD237</f>
        <v>-417951.852028238</v>
      </c>
      <c r="CE362" s="13" t="n">
        <f aca="false">CE237</f>
        <v>-417951.852028238</v>
      </c>
      <c r="CF362" s="13" t="n">
        <f aca="false">CF237</f>
        <v>-417951.852028238</v>
      </c>
      <c r="CG362" s="13" t="n">
        <f aca="false">CG237</f>
        <v>-417951.852028238</v>
      </c>
      <c r="CH362" s="13" t="n">
        <f aca="false">CH237</f>
        <v>-417951.852028238</v>
      </c>
      <c r="CI362" s="13" t="n">
        <f aca="false">CI237</f>
        <v>-417951.852028238</v>
      </c>
      <c r="CJ362" s="13" t="n">
        <f aca="false">CJ237</f>
        <v>-417951.852028238</v>
      </c>
      <c r="CK362" s="13" t="n">
        <f aca="false">CK237</f>
        <v>-426010.889068802</v>
      </c>
      <c r="CL362" s="13" t="n">
        <f aca="false">CL237</f>
        <v>-426010.889068802</v>
      </c>
      <c r="CM362" s="13" t="n">
        <f aca="false">CM237</f>
        <v>-426010.889068802</v>
      </c>
      <c r="CN362" s="13" t="n">
        <f aca="false">CN237</f>
        <v>-426010.889068802</v>
      </c>
      <c r="CO362" s="13" t="n">
        <f aca="false">CO237</f>
        <v>-426010.889068802</v>
      </c>
      <c r="CP362" s="13" t="n">
        <f aca="false">CP237</f>
        <v>-426010.889068802</v>
      </c>
      <c r="CQ362" s="13" t="n">
        <f aca="false">CQ237</f>
        <v>-426010.889068802</v>
      </c>
      <c r="CR362" s="13" t="n">
        <f aca="false">CR237</f>
        <v>-426010.889068802</v>
      </c>
      <c r="CS362" s="13" t="n">
        <f aca="false">CS237</f>
        <v>-426010.889068802</v>
      </c>
      <c r="CT362" s="13" t="n">
        <f aca="false">CT237</f>
        <v>-385658.075026777</v>
      </c>
      <c r="CU362" s="13" t="n">
        <f aca="false">CU237</f>
        <v>-385658.075026777</v>
      </c>
      <c r="CV362" s="13" t="n">
        <f aca="false">CV237</f>
        <v>-385658.075026777</v>
      </c>
      <c r="CW362" s="13" t="n">
        <f aca="false">CW237</f>
        <v>-393071.236527312</v>
      </c>
      <c r="CX362" s="13" t="n">
        <f aca="false">CX237</f>
        <v>-393071.236527312</v>
      </c>
      <c r="CY362" s="13" t="n">
        <f aca="false">CY237</f>
        <v>-393071.236527312</v>
      </c>
      <c r="CZ362" s="13" t="n">
        <f aca="false">CZ237</f>
        <v>-393071.236527312</v>
      </c>
      <c r="DA362" s="13" t="n">
        <f aca="false">DA237</f>
        <v>-393071.236527312</v>
      </c>
      <c r="DB362" s="13" t="n">
        <f aca="false">DB237</f>
        <v>-393071.236527312</v>
      </c>
      <c r="DC362" s="13" t="n">
        <f aca="false">DC237</f>
        <v>-393071.236527312</v>
      </c>
      <c r="DD362" s="13" t="n">
        <f aca="false">DD237</f>
        <v>-393071.236527312</v>
      </c>
      <c r="DE362" s="13" t="n">
        <f aca="false">DE237</f>
        <v>-393071.236527312</v>
      </c>
    </row>
    <row r="363" customFormat="false" ht="15" hidden="false" customHeight="true" outlineLevel="0" collapsed="false">
      <c r="A363" s="22" t="s">
        <v>187</v>
      </c>
      <c r="B363" s="13"/>
      <c r="C363" s="13"/>
      <c r="D363" s="13"/>
      <c r="E363" s="13"/>
      <c r="F363" s="13"/>
      <c r="G363" s="13"/>
      <c r="H363" s="13"/>
      <c r="I363" s="13"/>
      <c r="J363" s="13" t="n">
        <v>8872832</v>
      </c>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188</v>
      </c>
      <c r="B364" s="13"/>
      <c r="C364" s="13"/>
      <c r="D364" s="13"/>
      <c r="E364" s="13"/>
      <c r="F364" s="13"/>
      <c r="G364" s="13"/>
      <c r="H364" s="13"/>
      <c r="I364" s="13"/>
      <c r="J364" s="13" t="n">
        <f aca="false">-8606048+'Bonding Program'!$H$8</f>
        <v>-8606048</v>
      </c>
      <c r="K364" s="13" t="n">
        <f aca="false">IF(K$3='Bonding Program'!$H$9,-'Bonding Program'!$H$7,0)</f>
        <v>0</v>
      </c>
      <c r="L364" s="13" t="n">
        <f aca="false">IF(L$3='Bonding Program'!$H$9,-'Bonding Program'!$H$7,0)</f>
        <v>0</v>
      </c>
      <c r="M364" s="13" t="n">
        <f aca="false">IF(M$3='Bonding Program'!$H$9,-'Bonding Program'!$H$7,0)</f>
        <v>0</v>
      </c>
      <c r="N364" s="13" t="n">
        <f aca="false">IF(N$3='Bonding Program'!$H$9,-'Bonding Program'!$H$7,0)</f>
        <v>-692876.895125</v>
      </c>
      <c r="O364" s="13" t="n">
        <f aca="false">IF(O$3='Bonding Program'!$H$9,-'Bonding Program'!$H$7,0)</f>
        <v>0</v>
      </c>
      <c r="P364" s="13" t="n">
        <f aca="false">IF(P$3='Bonding Program'!$H$9,-'Bonding Program'!$H$7,0)</f>
        <v>0</v>
      </c>
      <c r="Q364" s="13" t="n">
        <f aca="false">IF(Q$3='Bonding Program'!$H$9,-'Bonding Program'!$H$7,0)</f>
        <v>0</v>
      </c>
      <c r="R364" s="13" t="n">
        <f aca="false">IF(R$3='Bonding Program'!$H$9,-'Bonding Program'!$H$7,0)</f>
        <v>0</v>
      </c>
      <c r="S364" s="13" t="n">
        <f aca="false">IF(S$3='Bonding Program'!$H$9,-'Bonding Program'!$H$7,0)</f>
        <v>0</v>
      </c>
      <c r="T364" s="13" t="n">
        <f aca="false">IF(T$3='Bonding Program'!$H$9,-'Bonding Program'!$H$7,0)</f>
        <v>0</v>
      </c>
      <c r="U364" s="13" t="n">
        <f aca="false">IF(U$3='Bonding Program'!$H$9,-'Bonding Program'!$H$7,0)</f>
        <v>0</v>
      </c>
      <c r="V364" s="13" t="n">
        <f aca="false">IF(V$3='Bonding Program'!$H$9,-'Bonding Program'!$H$7,0)</f>
        <v>0</v>
      </c>
      <c r="W364" s="13" t="n">
        <f aca="false">IF(W$3='Bonding Program'!$H$9,-'Bonding Program'!$H$7,0)</f>
        <v>0</v>
      </c>
      <c r="X364" s="13" t="n">
        <f aca="false">IF(X$3='Bonding Program'!$H$9,-'Bonding Program'!$H$7,0)</f>
        <v>0</v>
      </c>
      <c r="Y364" s="13" t="n">
        <f aca="false">IF(Y$3='Bonding Program'!$H$9,-'Bonding Program'!$H$7,0)</f>
        <v>0</v>
      </c>
      <c r="Z364" s="13" t="n">
        <f aca="false">IF(Z$3='Bonding Program'!$H$9,-'Bonding Program'!$H$7,0)</f>
        <v>0</v>
      </c>
      <c r="AA364" s="13" t="n">
        <f aca="false">IF(AA$3='Bonding Program'!$H$9,-'Bonding Program'!$H$7,0)</f>
        <v>0</v>
      </c>
      <c r="AB364" s="13" t="n">
        <f aca="false">IF(AB$3='Bonding Program'!$H$9,-'Bonding Program'!$H$7,0)</f>
        <v>0</v>
      </c>
      <c r="AC364" s="13" t="n">
        <f aca="false">IF(AC$3='Bonding Program'!$H$9,-'Bonding Program'!$H$7,0)</f>
        <v>0</v>
      </c>
      <c r="AD364" s="13" t="n">
        <f aca="false">IF(AD$3='Bonding Program'!$H$9,-'Bonding Program'!$H$7,0)</f>
        <v>0</v>
      </c>
      <c r="AE364" s="13" t="n">
        <f aca="false">IF(AE$3='Bonding Program'!$H$9,-'Bonding Program'!$H$7,0)</f>
        <v>0</v>
      </c>
      <c r="AF364" s="13" t="n">
        <f aca="false">IF(AF$3='Bonding Program'!$H$9,-'Bonding Program'!$H$7,0)</f>
        <v>0</v>
      </c>
      <c r="AG364" s="13" t="n">
        <f aca="false">IF(AG$3='Bonding Program'!$H$9,-'Bonding Program'!$H$7,0)</f>
        <v>0</v>
      </c>
      <c r="AH364" s="13" t="n">
        <f aca="false">IF(AH$3='Bonding Program'!$H$9,-'Bonding Program'!$H$7,0)</f>
        <v>0</v>
      </c>
      <c r="AI364" s="13" t="n">
        <f aca="false">IF(AI$3='Bonding Program'!$H$9,-'Bonding Program'!$H$7,0)</f>
        <v>0</v>
      </c>
      <c r="AJ364" s="13" t="n">
        <f aca="false">IF(AJ$3='Bonding Program'!$H$9,-'Bonding Program'!$H$7,0)</f>
        <v>0</v>
      </c>
      <c r="AK364" s="13" t="n">
        <f aca="false">IF(AK$3='Bonding Program'!$H$9,-'Bonding Program'!$H$7,0)</f>
        <v>0</v>
      </c>
      <c r="AL364" s="13" t="n">
        <f aca="false">IF(AL$3='Bonding Program'!$H$9,-'Bonding Program'!$H$7,0)</f>
        <v>0</v>
      </c>
      <c r="AM364" s="13" t="n">
        <f aca="false">IF(AM$3='Bonding Program'!$H$9,-'Bonding Program'!$H$7,0)</f>
        <v>0</v>
      </c>
      <c r="AN364" s="13" t="n">
        <f aca="false">IF(AN$3='Bonding Program'!$H$9,-'Bonding Program'!$H$7,0)</f>
        <v>0</v>
      </c>
      <c r="AO364" s="13" t="n">
        <f aca="false">IF(AO$3='Bonding Program'!$H$9,-'Bonding Program'!$H$7,0)</f>
        <v>0</v>
      </c>
      <c r="AP364" s="13" t="n">
        <f aca="false">IF(AP$3='Bonding Program'!$H$9,-'Bonding Program'!$H$7,0)</f>
        <v>0</v>
      </c>
      <c r="AQ364" s="13" t="n">
        <f aca="false">IF(AQ$3='Bonding Program'!$H$9,-'Bonding Program'!$H$7,0)</f>
        <v>0</v>
      </c>
      <c r="AR364" s="13" t="n">
        <f aca="false">IF(AR$3='Bonding Program'!$H$9,-'Bonding Program'!$H$7,0)</f>
        <v>0</v>
      </c>
      <c r="AS364" s="13" t="n">
        <f aca="false">IF(AS$3='Bonding Program'!$H$9,-'Bonding Program'!$H$7,0)</f>
        <v>0</v>
      </c>
      <c r="AT364" s="13" t="n">
        <f aca="false">IF(AT$3='Bonding Program'!$H$9,-'Bonding Program'!$H$7,0)</f>
        <v>0</v>
      </c>
      <c r="AU364" s="13" t="n">
        <f aca="false">IF(AU$3='Bonding Program'!$H$9,-'Bonding Program'!$H$7,0)</f>
        <v>0</v>
      </c>
      <c r="AV364" s="13" t="n">
        <f aca="false">IF(AV$3='Bonding Program'!$H$9,-'Bonding Program'!$H$7,0)</f>
        <v>0</v>
      </c>
      <c r="AW364" s="13" t="n">
        <f aca="false">IF(AW$3='Bonding Program'!$H$9,-'Bonding Program'!$H$7,0)</f>
        <v>0</v>
      </c>
      <c r="AX364" s="13" t="n">
        <f aca="false">IF(AX$3='Bonding Program'!$H$9,-'Bonding Program'!$H$7,0)</f>
        <v>0</v>
      </c>
      <c r="AY364" s="13" t="n">
        <f aca="false">IF(AY$3='Bonding Program'!$H$9,-'Bonding Program'!$H$7,0)</f>
        <v>0</v>
      </c>
      <c r="AZ364" s="13" t="n">
        <f aca="false">IF(AZ$3='Bonding Program'!$H$9,-'Bonding Program'!$H$7,0)</f>
        <v>0</v>
      </c>
      <c r="BA364" s="13" t="n">
        <f aca="false">IF(BA$3='Bonding Program'!$H$9,-'Bonding Program'!$H$7,0)</f>
        <v>0</v>
      </c>
      <c r="BB364" s="13" t="n">
        <f aca="false">IF(BB$3='Bonding Program'!$H$9,-'Bonding Program'!$H$7,0)</f>
        <v>0</v>
      </c>
      <c r="BC364" s="13" t="n">
        <f aca="false">IF(BC$3='Bonding Program'!$H$9,-'Bonding Program'!$H$7,0)</f>
        <v>0</v>
      </c>
      <c r="BD364" s="13" t="n">
        <f aca="false">IF(BD$3='Bonding Program'!$H$9,-'Bonding Program'!$H$7,0)</f>
        <v>0</v>
      </c>
      <c r="BE364" s="13" t="n">
        <f aca="false">IF(BE$3='Bonding Program'!$H$9,-'Bonding Program'!$H$7,0)</f>
        <v>0</v>
      </c>
      <c r="BF364" s="13" t="n">
        <f aca="false">IF(BF$3='Bonding Program'!$H$9,-'Bonding Program'!$H$7,0)</f>
        <v>0</v>
      </c>
      <c r="BG364" s="13" t="n">
        <f aca="false">IF(BG$3='Bonding Program'!$H$9,-'Bonding Program'!$H$7,0)</f>
        <v>0</v>
      </c>
      <c r="BH364" s="13" t="n">
        <f aca="false">IF(BH$3='Bonding Program'!$H$9,-'Bonding Program'!$H$7,0)</f>
        <v>0</v>
      </c>
      <c r="BI364" s="13" t="n">
        <f aca="false">IF(BI$3='Bonding Program'!$H$9,-'Bonding Program'!$H$7,0)</f>
        <v>0</v>
      </c>
      <c r="BJ364" s="13" t="n">
        <f aca="false">IF(BJ$3='Bonding Program'!$H$9,-'Bonding Program'!$H$7,0)</f>
        <v>0</v>
      </c>
      <c r="BK364" s="13" t="n">
        <f aca="false">IF(BK$3='Bonding Program'!$H$9,-'Bonding Program'!$H$7,0)</f>
        <v>0</v>
      </c>
      <c r="BL364" s="13" t="n">
        <f aca="false">IF(BL$3='Bonding Program'!$H$9,-'Bonding Program'!$H$7,0)</f>
        <v>0</v>
      </c>
      <c r="BM364" s="13" t="n">
        <f aca="false">IF(BM$3='Bonding Program'!$H$9,-'Bonding Program'!$H$7,0)</f>
        <v>0</v>
      </c>
      <c r="BN364" s="13" t="n">
        <f aca="false">IF(BN$3='Bonding Program'!$H$9,-'Bonding Program'!$H$7,0)</f>
        <v>0</v>
      </c>
      <c r="BO364" s="13" t="n">
        <f aca="false">IF(BO$3='Bonding Program'!$H$9,-'Bonding Program'!$H$7,0)</f>
        <v>0</v>
      </c>
      <c r="BP364" s="13" t="n">
        <f aca="false">IF(BP$3='Bonding Program'!$H$9,-'Bonding Program'!$H$7,0)</f>
        <v>0</v>
      </c>
      <c r="BQ364" s="13" t="n">
        <f aca="false">IF(BQ$3='Bonding Program'!$H$9,-'Bonding Program'!$H$7,0)</f>
        <v>0</v>
      </c>
      <c r="BR364" s="13" t="n">
        <f aca="false">IF(BR$3='Bonding Program'!$H$9,-'Bonding Program'!$H$7,0)</f>
        <v>0</v>
      </c>
      <c r="BS364" s="13" t="n">
        <f aca="false">IF(BS$3='Bonding Program'!$H$9,-'Bonding Program'!$H$7,0)</f>
        <v>0</v>
      </c>
      <c r="BT364" s="13" t="n">
        <f aca="false">IF(BT$3='Bonding Program'!$H$9,-'Bonding Program'!$H$7,0)</f>
        <v>0</v>
      </c>
      <c r="BU364" s="13" t="n">
        <f aca="false">IF(BU$3='Bonding Program'!$H$9,-'Bonding Program'!$H$7,0)</f>
        <v>0</v>
      </c>
      <c r="BV364" s="13" t="n">
        <f aca="false">IF(BV$3='Bonding Program'!$H$9,-'Bonding Program'!$H$7,0)</f>
        <v>0</v>
      </c>
      <c r="BW364" s="13" t="n">
        <f aca="false">IF(BW$3='Bonding Program'!$H$9,-'Bonding Program'!$H$7,0)</f>
        <v>0</v>
      </c>
      <c r="BX364" s="13" t="n">
        <f aca="false">IF(BX$3='Bonding Program'!$H$9,-'Bonding Program'!$H$7,0)</f>
        <v>0</v>
      </c>
      <c r="BY364" s="13" t="n">
        <f aca="false">IF(BY$3='Bonding Program'!$H$9,-'Bonding Program'!$H$7,0)</f>
        <v>0</v>
      </c>
      <c r="BZ364" s="13" t="n">
        <f aca="false">IF(BZ$3='Bonding Program'!$H$9,-'Bonding Program'!$H$7,0)</f>
        <v>0</v>
      </c>
      <c r="CA364" s="13" t="n">
        <f aca="false">IF(CA$3='Bonding Program'!$H$9,-'Bonding Program'!$H$7,0)</f>
        <v>0</v>
      </c>
      <c r="CB364" s="13" t="n">
        <f aca="false">IF(CB$3='Bonding Program'!$H$9,-'Bonding Program'!$H$7,0)</f>
        <v>0</v>
      </c>
      <c r="CC364" s="13" t="n">
        <f aca="false">IF(CC$3='Bonding Program'!$H$9,-'Bonding Program'!$H$7,0)</f>
        <v>0</v>
      </c>
      <c r="CD364" s="13" t="n">
        <f aca="false">IF(CD$3='Bonding Program'!$H$9,-'Bonding Program'!$H$7,0)</f>
        <v>0</v>
      </c>
      <c r="CE364" s="13" t="n">
        <f aca="false">IF(CE$3='Bonding Program'!$H$9,-'Bonding Program'!$H$7,0)</f>
        <v>0</v>
      </c>
      <c r="CF364" s="13" t="n">
        <f aca="false">IF(CF$3='Bonding Program'!$H$9,-'Bonding Program'!$H$7,0)</f>
        <v>0</v>
      </c>
      <c r="CG364" s="13" t="n">
        <f aca="false">IF(CG$3='Bonding Program'!$H$9,-'Bonding Program'!$H$7,0)</f>
        <v>0</v>
      </c>
      <c r="CH364" s="13" t="n">
        <f aca="false">IF(CH$3='Bonding Program'!$H$9,-'Bonding Program'!$H$7,0)</f>
        <v>0</v>
      </c>
      <c r="CI364" s="13" t="n">
        <f aca="false">IF(CI$3='Bonding Program'!$H$9,-'Bonding Program'!$H$7,0)</f>
        <v>0</v>
      </c>
      <c r="CJ364" s="13" t="n">
        <f aca="false">IF(CJ$3='Bonding Program'!$H$9,-'Bonding Program'!$H$7,0)</f>
        <v>0</v>
      </c>
      <c r="CK364" s="13" t="n">
        <f aca="false">IF(CK$3='Bonding Program'!$H$9,-'Bonding Program'!$H$7,0)</f>
        <v>0</v>
      </c>
      <c r="CL364" s="13" t="n">
        <f aca="false">IF(CL$3='Bonding Program'!$H$9,-'Bonding Program'!$H$7,0)</f>
        <v>0</v>
      </c>
      <c r="CM364" s="13" t="n">
        <f aca="false">IF(CM$3='Bonding Program'!$H$9,-'Bonding Program'!$H$7,0)</f>
        <v>0</v>
      </c>
      <c r="CN364" s="13" t="n">
        <f aca="false">IF(CN$3='Bonding Program'!$H$9,-'Bonding Program'!$H$7,0)</f>
        <v>0</v>
      </c>
      <c r="CO364" s="13" t="n">
        <f aca="false">IF(CO$3='Bonding Program'!$H$9,-'Bonding Program'!$H$7,0)</f>
        <v>0</v>
      </c>
      <c r="CP364" s="13" t="n">
        <f aca="false">IF(CP$3='Bonding Program'!$H$9,-'Bonding Program'!$H$7,0)</f>
        <v>0</v>
      </c>
      <c r="CQ364" s="13" t="n">
        <f aca="false">IF(CQ$3='Bonding Program'!$H$9,-'Bonding Program'!$H$7,0)</f>
        <v>0</v>
      </c>
      <c r="CR364" s="13" t="n">
        <f aca="false">IF(CR$3='Bonding Program'!$H$9,-'Bonding Program'!$H$7,0)</f>
        <v>0</v>
      </c>
      <c r="CS364" s="13" t="n">
        <f aca="false">IF(CS$3='Bonding Program'!$H$9,-'Bonding Program'!$H$7,0)</f>
        <v>0</v>
      </c>
      <c r="CT364" s="13" t="n">
        <f aca="false">IF(CT$3='Bonding Program'!$H$9,-'Bonding Program'!$H$7,0)</f>
        <v>0</v>
      </c>
      <c r="CU364" s="13" t="n">
        <f aca="false">IF(CU$3='Bonding Program'!$H$9,-'Bonding Program'!$H$7,0)</f>
        <v>0</v>
      </c>
      <c r="CV364" s="13" t="n">
        <f aca="false">IF(CV$3='Bonding Program'!$H$9,-'Bonding Program'!$H$7,0)</f>
        <v>0</v>
      </c>
      <c r="CW364" s="13" t="n">
        <f aca="false">IF(CW$3='Bonding Program'!$H$9,-'Bonding Program'!$H$7,0)</f>
        <v>0</v>
      </c>
      <c r="CX364" s="13" t="n">
        <f aca="false">IF(CX$3='Bonding Program'!$H$9,-'Bonding Program'!$H$7,0)</f>
        <v>0</v>
      </c>
      <c r="CY364" s="13" t="n">
        <f aca="false">IF(CY$3='Bonding Program'!$H$9,-'Bonding Program'!$H$7,0)</f>
        <v>0</v>
      </c>
      <c r="CZ364" s="13" t="n">
        <f aca="false">IF(CZ$3='Bonding Program'!$H$9,-'Bonding Program'!$H$7,0)</f>
        <v>0</v>
      </c>
      <c r="DA364" s="13" t="n">
        <f aca="false">IF(DA$3='Bonding Program'!$H$9,-'Bonding Program'!$H$7,0)</f>
        <v>0</v>
      </c>
      <c r="DB364" s="13" t="n">
        <f aca="false">IF(DB$3='Bonding Program'!$H$9,-'Bonding Program'!$H$7,0)</f>
        <v>0</v>
      </c>
      <c r="DC364" s="13" t="n">
        <f aca="false">IF(DC$3='Bonding Program'!$H$9,-'Bonding Program'!$H$7,0)</f>
        <v>0</v>
      </c>
      <c r="DD364" s="13" t="n">
        <f aca="false">IF(DD$3='Bonding Program'!$H$9,-'Bonding Program'!$H$7,0)</f>
        <v>0</v>
      </c>
      <c r="DE364" s="13" t="n">
        <f aca="false">IF(DE$3='Bonding Program'!$H$9,-'Bonding Program'!$H$7,0)</f>
        <v>0</v>
      </c>
    </row>
    <row r="365" customFormat="false" ht="15" hidden="false" customHeight="true" outlineLevel="0" collapsed="false">
      <c r="A365" s="22" t="s">
        <v>189</v>
      </c>
      <c r="B365" s="13"/>
      <c r="C365" s="13"/>
      <c r="D365" s="13"/>
      <c r="E365" s="13"/>
      <c r="F365" s="13"/>
      <c r="G365" s="13"/>
      <c r="H365" s="13"/>
      <c r="I365" s="13"/>
      <c r="J365" s="13" t="n">
        <f aca="false">-J199</f>
        <v>-702607.028396964</v>
      </c>
      <c r="K365" s="13" t="n">
        <f aca="false">J199-K199-J197-IF(J$3&lt;6,0,-SUMPRODUCT('Deal Terms'!$E$4:$E$47*('Deal Terms'!$G$4:$G$47=0),J$13:J$56+J$60:J$103))</f>
        <v>157384.158678197</v>
      </c>
      <c r="L365" s="13" t="n">
        <f aca="false">K199-L199-K197-IF(K$3&lt;6,0,-SUMPRODUCT('Deal Terms'!$E$4:$E$47*('Deal Terms'!$G$4:$G$47=0),K$13:K$56+K$60:K$103))</f>
        <v>184550.951602727</v>
      </c>
      <c r="M365" s="13" t="n">
        <f aca="false">L199-M199-L197-IF(L$3&lt;6,0,-SUMPRODUCT('Deal Terms'!$E$4:$E$47*('Deal Terms'!$G$4:$G$47=0),L$13:L$56+L$60:L$103))</f>
        <v>333148.446680491</v>
      </c>
      <c r="N365" s="13" t="n">
        <f aca="false">M199-N199-M197-IF(M$3&lt;6,0,-SUMPRODUCT('Deal Terms'!$E$4:$E$47*('Deal Terms'!$G$4:$G$47=0),M$13:M$56+M$60:M$103))</f>
        <v>-626330.992507155</v>
      </c>
      <c r="O365" s="13" t="n">
        <f aca="false">N199-O199-N197-IF(N$3&lt;6,0,-SUMPRODUCT('Deal Terms'!$E$4:$E$47*('Deal Terms'!$G$4:$G$47=0),N$13:N$56+N$60:N$103))</f>
        <v>97836.9635190503</v>
      </c>
      <c r="P365" s="13" t="n">
        <f aca="false">O199-P199-O197-IF(O$3&lt;6,0,-SUMPRODUCT('Deal Terms'!$E$4:$E$47*('Deal Terms'!$G$4:$G$47=0),O$13:O$56+O$60:O$103))</f>
        <v>-6497.72000000067</v>
      </c>
      <c r="Q365" s="13" t="n">
        <f aca="false">P199-Q199-P197-IF(P$3&lt;6,0,-SUMPRODUCT('Deal Terms'!$E$4:$E$47*('Deal Terms'!$G$4:$G$47=0),P$13:P$56+P$60:P$103))</f>
        <v>274838.104841286</v>
      </c>
      <c r="R365" s="13" t="n">
        <f aca="false">Q199-R199-Q197-IF(Q$3&lt;6,0,-SUMPRODUCT('Deal Terms'!$E$4:$E$47*('Deal Terms'!$G$4:$G$47=0),Q$13:Q$56+Q$60:Q$103))</f>
        <v>-128166.088164223</v>
      </c>
      <c r="S365" s="13" t="n">
        <f aca="false">R199-S199-R197-IF(R$3&lt;6,0,-SUMPRODUCT('Deal Terms'!$E$4:$E$47*('Deal Terms'!$G$4:$G$47=0),R$13:R$56+R$60:R$103))</f>
        <v>422546.350807315</v>
      </c>
      <c r="T365" s="13" t="n">
        <f aca="false">S199-T199-S197-IF(S$3&lt;6,0,-SUMPRODUCT('Deal Terms'!$E$4:$E$47*('Deal Terms'!$G$4:$G$47=0),S$13:S$56+S$60:S$103))</f>
        <v>-940637.070665024</v>
      </c>
      <c r="U365" s="13" t="n">
        <f aca="false">T199-U199-T197-IF(T$3&lt;6,0,-SUMPRODUCT('Deal Terms'!$E$4:$E$47*('Deal Terms'!$G$4:$G$47=0),T$13:T$56+T$60:T$103))</f>
        <v>84856.669999999</v>
      </c>
      <c r="V365" s="13" t="n">
        <f aca="false">U199-V199-U197-IF(U$3&lt;6,0,-SUMPRODUCT('Deal Terms'!$E$4:$E$47*('Deal Terms'!$G$4:$G$47=0),U$13:U$56+U$60:U$103))</f>
        <v>84517.8312819512</v>
      </c>
      <c r="W365" s="13" t="n">
        <f aca="false">V199-W199-V197-IF(V$3&lt;6,0,-SUMPRODUCT('Deal Terms'!$E$4:$E$47*('Deal Terms'!$G$4:$G$47=0),V$13:V$56+V$60:V$103))</f>
        <v>23514.440175369</v>
      </c>
      <c r="X365" s="13" t="n">
        <f aca="false">W199-X199-W197-IF(W$3&lt;6,0,-SUMPRODUCT('Deal Terms'!$E$4:$E$47*('Deal Terms'!$G$4:$G$47=0),W$13:W$56+W$60:W$103))</f>
        <v>-411723.49586207</v>
      </c>
      <c r="Y365" s="13" t="n">
        <f aca="false">X199-Y199-X197-IF(X$3&lt;6,0,-SUMPRODUCT('Deal Terms'!$E$4:$E$47*('Deal Terms'!$G$4:$G$47=0),X$13:X$56+X$60:X$103))</f>
        <v>161760.82</v>
      </c>
      <c r="Z365" s="13" t="n">
        <f aca="false">Y199-Z199-Y197-IF(Y$3&lt;6,0,-SUMPRODUCT('Deal Terms'!$E$4:$E$47*('Deal Terms'!$G$4:$G$47=0),Y$13:Y$56+Y$60:Y$103))</f>
        <v>-126346.18</v>
      </c>
      <c r="AA365" s="13" t="n">
        <f aca="false">Z199-AA199-Z197-IF(Z$3&lt;6,0,-SUMPRODUCT('Deal Terms'!$E$4:$E$47*('Deal Terms'!$G$4:$G$47=0),Z$13:Z$56+Z$60:Z$103))</f>
        <v>-29238.6533611398</v>
      </c>
      <c r="AB365" s="13" t="n">
        <f aca="false">AA199-AB199-AA197-IF(AA$3&lt;6,0,-SUMPRODUCT('Deal Terms'!$E$4:$E$47*('Deal Terms'!$G$4:$G$47=0),AA$13:AA$56+AA$60:AA$103))</f>
        <v>186331.722100502</v>
      </c>
      <c r="AC365" s="13" t="n">
        <f aca="false">AB199-AC199-AB197-IF(AB$3&lt;6,0,-SUMPRODUCT('Deal Terms'!$E$4:$E$47*('Deal Terms'!$G$4:$G$47=0),AB$13:AB$56+AB$60:AB$103))</f>
        <v>228725.469243556</v>
      </c>
      <c r="AD365" s="13" t="n">
        <f aca="false">AC199-AD199-AC197-IF(AC$3&lt;6,0,-SUMPRODUCT('Deal Terms'!$E$4:$E$47*('Deal Terms'!$G$4:$G$47=0),AC$13:AC$56+AC$60:AC$103))</f>
        <v>-22949.9100000011</v>
      </c>
      <c r="AE365" s="13" t="n">
        <f aca="false">AD199-AE199-AD197-IF(AD$3&lt;6,0,-SUMPRODUCT('Deal Terms'!$E$4:$E$47*('Deal Terms'!$G$4:$G$47=0),AD$13:AD$56+AD$60:AD$103))</f>
        <v>584281.692087118</v>
      </c>
      <c r="AF365" s="13" t="n">
        <f aca="false">AE199-AF199-AE197-IF(AE$3&lt;6,0,-SUMPRODUCT('Deal Terms'!$E$4:$E$47*('Deal Terms'!$G$4:$G$47=0),AE$13:AE$56+AE$60:AE$103))</f>
        <v>-891805.549674315</v>
      </c>
      <c r="AG365" s="13" t="n">
        <f aca="false">AF199-AG199-AF197-IF(AF$3&lt;6,0,-SUMPRODUCT('Deal Terms'!$E$4:$E$47*('Deal Terms'!$G$4:$G$47=0),AF$13:AF$56+AF$60:AF$103))</f>
        <v>64490.3769563511</v>
      </c>
      <c r="AH365" s="13" t="n">
        <f aca="false">AG199-AH199-AG197-IF(AG$3&lt;6,0,-SUMPRODUCT('Deal Terms'!$E$4:$E$47*('Deal Terms'!$G$4:$G$47=0),AG$13:AG$56+AG$60:AG$103))</f>
        <v>23738.9653251488</v>
      </c>
      <c r="AI365" s="13" t="n">
        <f aca="false">AH199-AI199-AH197-IF(AH$3&lt;6,0,-SUMPRODUCT('Deal Terms'!$E$4:$E$47*('Deal Terms'!$G$4:$G$47=0),AH$13:AH$56+AH$60:AH$103))</f>
        <v>238350.827364432</v>
      </c>
      <c r="AJ365" s="13" t="n">
        <f aca="false">AI199-AJ199-AI197-IF(AI$3&lt;6,0,-SUMPRODUCT('Deal Terms'!$E$4:$E$47*('Deal Terms'!$G$4:$G$47=0),AI$13:AI$56+AI$60:AI$103))</f>
        <v>-74822.0489635002</v>
      </c>
      <c r="AK365" s="13" t="n">
        <f aca="false">AJ199-AK199-AJ197-IF(AJ$3&lt;6,0,-SUMPRODUCT('Deal Terms'!$E$4:$E$47*('Deal Terms'!$G$4:$G$47=0),AJ$13:AJ$56+AJ$60:AJ$103))</f>
        <v>393236.317600385</v>
      </c>
      <c r="AL365" s="13" t="n">
        <f aca="false">AK199-AL199-AK197-IF(AK$3&lt;6,0,-SUMPRODUCT('Deal Terms'!$E$4:$E$47*('Deal Terms'!$G$4:$G$47=0),AK$13:AK$56+AK$60:AK$103))</f>
        <v>-14310.0700000003</v>
      </c>
      <c r="AM365" s="13" t="n">
        <f aca="false">AL199-AM199-AL197-IF(AL$3&lt;6,0,-SUMPRODUCT('Deal Terms'!$E$4:$E$47*('Deal Terms'!$G$4:$G$47=0),AL$13:AL$56+AL$60:AL$103))</f>
        <v>-11881.7800000003</v>
      </c>
      <c r="AN365" s="13" t="n">
        <f aca="false">AM199-AN199-AM197-IF(AM$3&lt;6,0,-SUMPRODUCT('Deal Terms'!$E$4:$E$47*('Deal Terms'!$G$4:$G$47=0),AM$13:AM$56+AM$60:AM$103))</f>
        <v>22886.7878952506</v>
      </c>
      <c r="AO365" s="13" t="n">
        <f aca="false">AN199-AO199-AN197-IF(AN$3&lt;6,0,-SUMPRODUCT('Deal Terms'!$E$4:$E$47*('Deal Terms'!$G$4:$G$47=0),AN$13:AN$56+AN$60:AN$103))</f>
        <v>128615.1819095</v>
      </c>
      <c r="AP365" s="13" t="n">
        <f aca="false">AO199-AP199-AO197-IF(AO$3&lt;6,0,-SUMPRODUCT('Deal Terms'!$E$4:$E$47*('Deal Terms'!$G$4:$G$47=0),AO$13:AO$56+AO$60:AO$103))</f>
        <v>165007.9046</v>
      </c>
      <c r="AQ365" s="13" t="n">
        <f aca="false">AP199-AQ199-AP197-IF(AP$3&lt;6,0,-SUMPRODUCT('Deal Terms'!$E$4:$E$47*('Deal Terms'!$G$4:$G$47=0),AP$13:AP$56+AP$60:AP$103))</f>
        <v>0</v>
      </c>
      <c r="AR365" s="13" t="n">
        <f aca="false">AQ199-AR199-AQ197-IF(AQ$3&lt;6,0,-SUMPRODUCT('Deal Terms'!$E$4:$E$47*('Deal Terms'!$G$4:$G$47=0),AQ$13:AQ$56+AQ$60:AQ$103))</f>
        <v>0</v>
      </c>
      <c r="AS365" s="13" t="n">
        <f aca="false">AR199-AS199-AR197-IF(AR$3&lt;6,0,-SUMPRODUCT('Deal Terms'!$E$4:$E$47*('Deal Terms'!$G$4:$G$47=0),AR$13:AR$56+AR$60:AR$103))</f>
        <v>0</v>
      </c>
      <c r="AT365" s="13" t="n">
        <f aca="false">AS199-AT199-AS197-IF(AS$3&lt;6,0,-SUMPRODUCT('Deal Terms'!$E$4:$E$47*('Deal Terms'!$G$4:$G$47=0),AS$13:AS$56+AS$60:AS$103))</f>
        <v>0</v>
      </c>
      <c r="AU365" s="13" t="n">
        <f aca="false">AT199-AU199-AT197-IF(AT$3&lt;6,0,-SUMPRODUCT('Deal Terms'!$E$4:$E$47*('Deal Terms'!$G$4:$G$47=0),AT$13:AT$56+AT$60:AT$103))</f>
        <v>0</v>
      </c>
      <c r="AV365" s="13" t="n">
        <f aca="false">AU199-AV199-AU197-IF(AU$3&lt;6,0,-SUMPRODUCT('Deal Terms'!$E$4:$E$47*('Deal Terms'!$G$4:$G$47=0),AU$13:AU$56+AU$60:AU$103))</f>
        <v>-272485.5853535</v>
      </c>
      <c r="AW365" s="13" t="n">
        <f aca="false">AV199-AW199-AV197-IF(AV$3&lt;6,0,-SUMPRODUCT('Deal Terms'!$E$4:$E$47*('Deal Terms'!$G$4:$G$47=0),AV$13:AV$56+AV$60:AV$103))</f>
        <v>445059.789410717</v>
      </c>
      <c r="AX365" s="13" t="n">
        <f aca="false">AW199-AX199-AW197-IF(AW$3&lt;6,0,-SUMPRODUCT('Deal Terms'!$E$4:$E$47*('Deal Terms'!$G$4:$G$47=0),AW$13:AW$56+AW$60:AW$103))</f>
        <v>0</v>
      </c>
      <c r="AY365" s="13" t="n">
        <f aca="false">AX199-AY199-AX197-IF(AX$3&lt;6,0,-SUMPRODUCT('Deal Terms'!$E$4:$E$47*('Deal Terms'!$G$4:$G$47=0),AX$13:AX$56+AX$60:AX$103))</f>
        <v>0</v>
      </c>
      <c r="AZ365" s="13" t="n">
        <f aca="false">AY199-AZ199-AY197-IF(AY$3&lt;6,0,-SUMPRODUCT('Deal Terms'!$E$4:$E$47*('Deal Terms'!$G$4:$G$47=0),AY$13:AY$56+AY$60:AY$103))</f>
        <v>0</v>
      </c>
      <c r="BA365" s="13" t="n">
        <f aca="false">AZ199-BA199-AZ197-IF(AZ$3&lt;6,0,-SUMPRODUCT('Deal Terms'!$E$4:$E$47*('Deal Terms'!$G$4:$G$47=0),AZ$13:AZ$56+AZ$60:AZ$103))</f>
        <v>0</v>
      </c>
      <c r="BB365" s="13" t="n">
        <f aca="false">BA199-BB199-BA197-IF(BA$3&lt;6,0,-SUMPRODUCT('Deal Terms'!$E$4:$E$47*('Deal Terms'!$G$4:$G$47=0),BA$13:BA$56+BA$60:BA$103))</f>
        <v>0</v>
      </c>
      <c r="BC365" s="13" t="n">
        <f aca="false">BB199-BC199-BB197-IF(BB$3&lt;6,0,-SUMPRODUCT('Deal Terms'!$E$4:$E$47*('Deal Terms'!$G$4:$G$47=0),BB$13:BB$56+BB$60:BB$103))</f>
        <v>0</v>
      </c>
      <c r="BD365" s="13" t="n">
        <f aca="false">BC199-BD199-BC197-IF(BC$3&lt;6,0,-SUMPRODUCT('Deal Terms'!$E$4:$E$47*('Deal Terms'!$G$4:$G$47=0),BC$13:BC$56+BC$60:BC$103))</f>
        <v>0</v>
      </c>
      <c r="BE365" s="13" t="n">
        <f aca="false">BD199-BE199-BD197-IF(BD$3&lt;6,0,-SUMPRODUCT('Deal Terms'!$E$4:$E$47*('Deal Terms'!$G$4:$G$47=0),BD$13:BD$56+BD$60:BD$103))</f>
        <v>0</v>
      </c>
      <c r="BF365" s="13" t="n">
        <f aca="false">BE199-BF199-BE197-IF(BE$3&lt;6,0,-SUMPRODUCT('Deal Terms'!$E$4:$E$47*('Deal Terms'!$G$4:$G$47=0),BE$13:BE$56+BE$60:BE$103))</f>
        <v>0</v>
      </c>
      <c r="BG365" s="13" t="n">
        <f aca="false">BF199-BG199-BF197-IF(BF$3&lt;6,0,-SUMPRODUCT('Deal Terms'!$E$4:$E$47*('Deal Terms'!$G$4:$G$47=0),BF$13:BF$56+BF$60:BF$103))</f>
        <v>0</v>
      </c>
      <c r="BH365" s="13" t="n">
        <f aca="false">BG199-BH199-BG197-IF(BG$3&lt;6,0,-SUMPRODUCT('Deal Terms'!$E$4:$E$47*('Deal Terms'!$G$4:$G$47=0),BG$13:BG$56+BG$60:BG$103))</f>
        <v>-248936.2750556</v>
      </c>
      <c r="BI365" s="13" t="n">
        <f aca="false">BH199-BI199-BH197-IF(BH$3&lt;6,0,-SUMPRODUCT('Deal Terms'!$E$4:$E$47*('Deal Terms'!$G$4:$G$47=0),BH$13:BH$56+BH$60:BH$103))</f>
        <v>406595.915924147</v>
      </c>
      <c r="BJ365" s="13" t="n">
        <f aca="false">BI199-BJ199-BI197-IF(BI$3&lt;6,0,-SUMPRODUCT('Deal Terms'!$E$4:$E$47*('Deal Terms'!$G$4:$G$47=0),BI$13:BI$56+BI$60:BI$103))</f>
        <v>0</v>
      </c>
      <c r="BK365" s="13" t="n">
        <f aca="false">BJ199-BK199-BJ197-IF(BJ$3&lt;6,0,-SUMPRODUCT('Deal Terms'!$E$4:$E$47*('Deal Terms'!$G$4:$G$47=0),BJ$13:BJ$56+BJ$60:BJ$103))</f>
        <v>0</v>
      </c>
      <c r="BL365" s="13" t="n">
        <f aca="false">BK199-BL199-BK197-IF(BK$3&lt;6,0,-SUMPRODUCT('Deal Terms'!$E$4:$E$47*('Deal Terms'!$G$4:$G$47=0),BK$13:BK$56+BK$60:BK$103))</f>
        <v>0</v>
      </c>
      <c r="BM365" s="13" t="n">
        <f aca="false">BL199-BM199-BL197-IF(BL$3&lt;6,0,-SUMPRODUCT('Deal Terms'!$E$4:$E$47*('Deal Terms'!$G$4:$G$47=0),BL$13:BL$56+BL$60:BL$103))</f>
        <v>0</v>
      </c>
      <c r="BN365" s="13" t="n">
        <f aca="false">BM199-BN199-BM197-IF(BM$3&lt;6,0,-SUMPRODUCT('Deal Terms'!$E$4:$E$47*('Deal Terms'!$G$4:$G$47=0),BM$13:BM$56+BM$60:BM$103))</f>
        <v>0</v>
      </c>
      <c r="BO365" s="13" t="n">
        <f aca="false">BN199-BO199-BN197-IF(BN$3&lt;6,0,-SUMPRODUCT('Deal Terms'!$E$4:$E$47*('Deal Terms'!$G$4:$G$47=0),BN$13:BN$56+BN$60:BN$103))</f>
        <v>0</v>
      </c>
      <c r="BP365" s="13" t="n">
        <f aca="false">BO199-BP199-BO197-IF(BO$3&lt;6,0,-SUMPRODUCT('Deal Terms'!$E$4:$E$47*('Deal Terms'!$G$4:$G$47=0),BO$13:BO$56+BO$60:BO$103))</f>
        <v>0</v>
      </c>
      <c r="BQ365" s="13" t="n">
        <f aca="false">BP199-BQ199-BP197-IF(BP$3&lt;6,0,-SUMPRODUCT('Deal Terms'!$E$4:$E$47*('Deal Terms'!$G$4:$G$47=0),BP$13:BP$56+BP$60:BP$103))</f>
        <v>0</v>
      </c>
      <c r="BR365" s="13" t="n">
        <f aca="false">BQ199-BR199-BQ197-IF(BQ$3&lt;6,0,-SUMPRODUCT('Deal Terms'!$E$4:$E$47*('Deal Terms'!$G$4:$G$47=0),BQ$13:BQ$56+BQ$60:BQ$103))</f>
        <v>0</v>
      </c>
      <c r="BS365" s="13" t="n">
        <f aca="false">BR199-BS199-BR197-IF(BR$3&lt;6,0,-SUMPRODUCT('Deal Terms'!$E$4:$E$47*('Deal Terms'!$G$4:$G$47=0),BR$13:BR$56+BR$60:BR$103))</f>
        <v>0</v>
      </c>
      <c r="BT365" s="13" t="n">
        <f aca="false">BS199-BT199-BS197-IF(BS$3&lt;6,0,-SUMPRODUCT('Deal Terms'!$E$4:$E$47*('Deal Terms'!$G$4:$G$47=0),BS$13:BS$56+BS$60:BS$103))</f>
        <v>0</v>
      </c>
      <c r="BU365" s="13" t="n">
        <f aca="false">BT199-BU199-BT197-IF(BT$3&lt;6,0,-SUMPRODUCT('Deal Terms'!$E$4:$E$47*('Deal Terms'!$G$4:$G$47=0),BT$13:BT$56+BT$60:BT$103))</f>
        <v>0</v>
      </c>
      <c r="BV365" s="13" t="n">
        <f aca="false">BU199-BV199-BU197-IF(BU$3&lt;6,0,-SUMPRODUCT('Deal Terms'!$E$4:$E$47*('Deal Terms'!$G$4:$G$47=0),BU$13:BU$56+BU$60:BU$103))</f>
        <v>0</v>
      </c>
      <c r="BW365" s="13" t="n">
        <f aca="false">BV199-BW199-BV197-IF(BV$3&lt;6,0,-SUMPRODUCT('Deal Terms'!$E$4:$E$47*('Deal Terms'!$G$4:$G$47=0),BV$13:BV$56+BV$60:BV$103))</f>
        <v>0</v>
      </c>
      <c r="BX365" s="13" t="n">
        <f aca="false">BW199-BX199-BW197-IF(BW$3&lt;6,0,-SUMPRODUCT('Deal Terms'!$E$4:$E$47*('Deal Terms'!$G$4:$G$47=0),BW$13:BW$56+BW$60:BW$103))</f>
        <v>0</v>
      </c>
      <c r="BY365" s="13" t="n">
        <f aca="false">BX199-BY199-BX197-IF(BX$3&lt;6,0,-SUMPRODUCT('Deal Terms'!$E$4:$E$47*('Deal Terms'!$G$4:$G$47=0),BX$13:BX$56+BX$60:BX$103))</f>
        <v>0</v>
      </c>
      <c r="BZ365" s="13" t="n">
        <f aca="false">BY199-BZ199-BY197-IF(BY$3&lt;6,0,-SUMPRODUCT('Deal Terms'!$E$4:$E$47*('Deal Terms'!$G$4:$G$47=0),BY$13:BY$56+BY$60:BY$103))</f>
        <v>0</v>
      </c>
      <c r="CA365" s="13" t="n">
        <f aca="false">BZ199-CA199-BZ197-IF(BZ$3&lt;6,0,-SUMPRODUCT('Deal Terms'!$E$4:$E$47*('Deal Terms'!$G$4:$G$47=0),BZ$13:BZ$56+BZ$60:BZ$103))</f>
        <v>0</v>
      </c>
      <c r="CB365" s="13" t="n">
        <f aca="false">CA199-CB199-CA197-IF(CA$3&lt;6,0,-SUMPRODUCT('Deal Terms'!$E$4:$E$47*('Deal Terms'!$G$4:$G$47=0),CA$13:CA$56+CA$60:CA$103))</f>
        <v>0</v>
      </c>
      <c r="CC365" s="13" t="n">
        <f aca="false">CB199-CC199-CB197-IF(CB$3&lt;6,0,-SUMPRODUCT('Deal Terms'!$E$4:$E$47*('Deal Terms'!$G$4:$G$47=0),CB$13:CB$56+CB$60:CB$103))</f>
        <v>0</v>
      </c>
      <c r="CD365" s="13" t="n">
        <f aca="false">CC199-CD199-CC197-IF(CC$3&lt;6,0,-SUMPRODUCT('Deal Terms'!$E$4:$E$47*('Deal Terms'!$G$4:$G$47=0),CC$13:CC$56+CC$60:CC$103))</f>
        <v>0</v>
      </c>
      <c r="CE365" s="13" t="n">
        <f aca="false">CD199-CE199-CD197-IF(CD$3&lt;6,0,-SUMPRODUCT('Deal Terms'!$E$4:$E$47*('Deal Terms'!$G$4:$G$47=0),CD$13:CD$56+CD$60:CD$103))</f>
        <v>0</v>
      </c>
      <c r="CF365" s="13" t="n">
        <f aca="false">CE199-CF199-CE197-IF(CE$3&lt;6,0,-SUMPRODUCT('Deal Terms'!$E$4:$E$47*('Deal Terms'!$G$4:$G$47=0),CE$13:CE$56+CE$60:CE$103))</f>
        <v>0</v>
      </c>
      <c r="CG365" s="13" t="n">
        <f aca="false">CF199-CG199-CF197-IF(CF$3&lt;6,0,-SUMPRODUCT('Deal Terms'!$E$4:$E$47*('Deal Terms'!$G$4:$G$47=0),CF$13:CF$56+CF$60:CF$103))</f>
        <v>0</v>
      </c>
      <c r="CH365" s="13" t="n">
        <f aca="false">CG199-CH199-CG197-IF(CG$3&lt;6,0,-SUMPRODUCT('Deal Terms'!$E$4:$E$47*('Deal Terms'!$G$4:$G$47=0),CG$13:CG$56+CG$60:CG$103))</f>
        <v>0</v>
      </c>
      <c r="CI365" s="13" t="n">
        <f aca="false">CH199-CI199-CH197-IF(CH$3&lt;6,0,-SUMPRODUCT('Deal Terms'!$E$4:$E$47*('Deal Terms'!$G$4:$G$47=0),CH$13:CH$56+CH$60:CH$103))</f>
        <v>0</v>
      </c>
      <c r="CJ365" s="13" t="n">
        <f aca="false">CI199-CJ199-CI197-IF(CI$3&lt;6,0,-SUMPRODUCT('Deal Terms'!$E$4:$E$47*('Deal Terms'!$G$4:$G$47=0),CI$13:CI$56+CI$60:CI$103))</f>
        <v>0</v>
      </c>
      <c r="CK365" s="13" t="n">
        <f aca="false">CJ199-CK199-CJ197-IF(CJ$3&lt;6,0,-SUMPRODUCT('Deal Terms'!$E$4:$E$47*('Deal Terms'!$G$4:$G$47=0),CJ$13:CJ$56+CJ$60:CJ$103))</f>
        <v>0</v>
      </c>
      <c r="CL365" s="13" t="n">
        <f aca="false">CK199-CL199-CK197-IF(CK$3&lt;6,0,-SUMPRODUCT('Deal Terms'!$E$4:$E$47*('Deal Terms'!$G$4:$G$47=0),CK$13:CK$56+CK$60:CK$103))</f>
        <v>0</v>
      </c>
      <c r="CM365" s="13" t="n">
        <f aca="false">CL199-CM199-CL197-IF(CL$3&lt;6,0,-SUMPRODUCT('Deal Terms'!$E$4:$E$47*('Deal Terms'!$G$4:$G$47=0),CL$13:CL$56+CL$60:CL$103))</f>
        <v>0</v>
      </c>
      <c r="CN365" s="13" t="n">
        <f aca="false">CM199-CN199-CM197-IF(CM$3&lt;6,0,-SUMPRODUCT('Deal Terms'!$E$4:$E$47*('Deal Terms'!$G$4:$G$47=0),CM$13:CM$56+CM$60:CM$103))</f>
        <v>0</v>
      </c>
      <c r="CO365" s="13" t="n">
        <f aca="false">CN199-CO199-CN197-IF(CN$3&lt;6,0,-SUMPRODUCT('Deal Terms'!$E$4:$E$47*('Deal Terms'!$G$4:$G$47=0),CN$13:CN$56+CN$60:CN$103))</f>
        <v>0</v>
      </c>
      <c r="CP365" s="13" t="n">
        <f aca="false">CO199-CP199-CO197-IF(CO$3&lt;6,0,-SUMPRODUCT('Deal Terms'!$E$4:$E$47*('Deal Terms'!$G$4:$G$47=0),CO$13:CO$56+CO$60:CO$103))</f>
        <v>0</v>
      </c>
      <c r="CQ365" s="13" t="n">
        <f aca="false">CP199-CQ199-CP197-IF(CP$3&lt;6,0,-SUMPRODUCT('Deal Terms'!$E$4:$E$47*('Deal Terms'!$G$4:$G$47=0),CP$13:CP$56+CP$60:CP$103))</f>
        <v>0</v>
      </c>
      <c r="CR365" s="13" t="n">
        <f aca="false">CQ199-CR199-CQ197-IF(CQ$3&lt;6,0,-SUMPRODUCT('Deal Terms'!$E$4:$E$47*('Deal Terms'!$G$4:$G$47=0),CQ$13:CQ$56+CQ$60:CQ$103))</f>
        <v>0</v>
      </c>
      <c r="CS365" s="13" t="n">
        <f aca="false">CR199-CS199-CR197-IF(CR$3&lt;6,0,-SUMPRODUCT('Deal Terms'!$E$4:$E$47*('Deal Terms'!$G$4:$G$47=0),CR$13:CR$56+CR$60:CR$103))</f>
        <v>0</v>
      </c>
      <c r="CT365" s="13" t="n">
        <f aca="false">CS199-CT199-CS197-IF(CS$3&lt;6,0,-SUMPRODUCT('Deal Terms'!$E$4:$E$47*('Deal Terms'!$G$4:$G$47=0),CS$13:CS$56+CS$60:CS$103))</f>
        <v>0</v>
      </c>
      <c r="CU365" s="13" t="n">
        <f aca="false">CT199-CU199-CT197-IF(CT$3&lt;6,0,-SUMPRODUCT('Deal Terms'!$E$4:$E$47*('Deal Terms'!$G$4:$G$47=0),CT$13:CT$56+CT$60:CT$103))</f>
        <v>0</v>
      </c>
      <c r="CV365" s="13" t="n">
        <f aca="false">CU199-CV199-CU197-IF(CU$3&lt;6,0,-SUMPRODUCT('Deal Terms'!$E$4:$E$47*('Deal Terms'!$G$4:$G$47=0),CU$13:CU$56+CU$60:CU$103))</f>
        <v>0</v>
      </c>
      <c r="CW365" s="13" t="n">
        <f aca="false">CV199-CW199-CV197-IF(CV$3&lt;6,0,-SUMPRODUCT('Deal Terms'!$E$4:$E$47*('Deal Terms'!$G$4:$G$47=0),CV$13:CV$56+CV$60:CV$103))</f>
        <v>0</v>
      </c>
      <c r="CX365" s="13" t="n">
        <f aca="false">CW199-CX199-CW197-IF(CW$3&lt;6,0,-SUMPRODUCT('Deal Terms'!$E$4:$E$47*('Deal Terms'!$G$4:$G$47=0),CW$13:CW$56+CW$60:CW$103))</f>
        <v>0</v>
      </c>
      <c r="CY365" s="13" t="n">
        <f aca="false">CX199-CY199-CX197-IF(CX$3&lt;6,0,-SUMPRODUCT('Deal Terms'!$E$4:$E$47*('Deal Terms'!$G$4:$G$47=0),CX$13:CX$56+CX$60:CX$103))</f>
        <v>0</v>
      </c>
      <c r="CZ365" s="13" t="n">
        <f aca="false">CY199-CZ199-CY197-IF(CY$3&lt;6,0,-SUMPRODUCT('Deal Terms'!$E$4:$E$47*('Deal Terms'!$G$4:$G$47=0),CY$13:CY$56+CY$60:CY$103))</f>
        <v>0</v>
      </c>
      <c r="DA365" s="13" t="n">
        <f aca="false">CZ199-DA199-CZ197-IF(CZ$3&lt;6,0,-SUMPRODUCT('Deal Terms'!$E$4:$E$47*('Deal Terms'!$G$4:$G$47=0),CZ$13:CZ$56+CZ$60:CZ$103))</f>
        <v>0</v>
      </c>
      <c r="DB365" s="13" t="n">
        <f aca="false">DA199-DB199-DA197-IF(DA$3&lt;6,0,-SUMPRODUCT('Deal Terms'!$E$4:$E$47*('Deal Terms'!$G$4:$G$47=0),DA$13:DA$56+DA$60:DA$103))</f>
        <v>0</v>
      </c>
      <c r="DC365" s="13" t="n">
        <f aca="false">DB199-DC199-DB197-IF(DB$3&lt;6,0,-SUMPRODUCT('Deal Terms'!$E$4:$E$47*('Deal Terms'!$G$4:$G$47=0),DB$13:DB$56+DB$60:DB$103))</f>
        <v>0</v>
      </c>
      <c r="DD365" s="13" t="n">
        <f aca="false">DC199-DD199-DC197-IF(DC$3&lt;6,0,-SUMPRODUCT('Deal Terms'!$E$4:$E$47*('Deal Terms'!$G$4:$G$47=0),DC$13:DC$56+DC$60:DC$103))</f>
        <v>0</v>
      </c>
      <c r="DE365" s="13" t="n">
        <f aca="false">DD199-DE199-DD197-IF(DD$3&lt;6,0,-SUMPRODUCT('Deal Terms'!$E$4:$E$47*('Deal Terms'!$G$4:$G$47=0),DD$13:DD$56+DD$60:DD$103))</f>
        <v>0</v>
      </c>
    </row>
    <row r="366" customFormat="false" ht="15" hidden="false" customHeight="true" outlineLevel="0" collapsed="false">
      <c r="A366" s="22" t="s">
        <v>190</v>
      </c>
      <c r="B366" s="13"/>
      <c r="C366" s="13"/>
      <c r="D366" s="13"/>
      <c r="E366" s="13"/>
      <c r="F366" s="13"/>
      <c r="G366" s="13"/>
      <c r="H366" s="13"/>
      <c r="I366" s="13"/>
      <c r="J366" s="13" t="n">
        <v>0</v>
      </c>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t="n">
        <f aca="false">-0.05*(J10+J11)</f>
        <v>-36095.5760926295</v>
      </c>
      <c r="K367" s="13" t="n">
        <f aca="false">-0.05*(K10+K11)</f>
        <v>-38005.5881356239</v>
      </c>
      <c r="L367" s="13" t="n">
        <f aca="false">-0.05*(L10+L11)</f>
        <v>-31952.7880229579</v>
      </c>
      <c r="M367" s="13" t="n">
        <f aca="false">-0.05*(M10+M11)</f>
        <v>-37540.6088612026</v>
      </c>
      <c r="N367" s="13" t="n">
        <f aca="false">-0.05*(N10+N11)</f>
        <v>-41582.7851971352</v>
      </c>
      <c r="O367" s="13" t="n">
        <f aca="false">-0.05*(O10+O11)</f>
        <v>-41323.6025211827</v>
      </c>
      <c r="P367" s="13" t="n">
        <f aca="false">-0.05*(P10+P11)</f>
        <v>-42693.4815211827</v>
      </c>
      <c r="Q367" s="13" t="n">
        <f aca="false">-0.05*(Q10+Q11)</f>
        <v>-46081.9430075667</v>
      </c>
      <c r="R367" s="13" t="n">
        <f aca="false">-0.05*(R10+R11)</f>
        <v>-47388.5269773542</v>
      </c>
      <c r="S367" s="13" t="n">
        <f aca="false">-0.05*(S10+S11)</f>
        <v>-56636.366680215</v>
      </c>
      <c r="T367" s="13" t="n">
        <f aca="false">-0.05*(T10+T11)</f>
        <v>-61340.106680215</v>
      </c>
      <c r="U367" s="13" t="n">
        <f aca="false">-0.05*(U10+U11)</f>
        <v>-55918.058180215</v>
      </c>
      <c r="V367" s="13" t="n">
        <f aca="false">-0.05*(V10+V11)</f>
        <v>-63912.1897854525</v>
      </c>
      <c r="W367" s="13" t="n">
        <f aca="false">-0.05*(W10+W11)</f>
        <v>-59084.5089004525</v>
      </c>
      <c r="X367" s="13" t="n">
        <f aca="false">-0.05*(X10+X11)</f>
        <v>-67815.2859004525</v>
      </c>
      <c r="Y367" s="13" t="n">
        <f aca="false">-0.05*(Y10+Y11)</f>
        <v>-59727.2449004525</v>
      </c>
      <c r="Z367" s="13" t="n">
        <f aca="false">-0.05*(Z10+Z11)</f>
        <v>-66044.5539004525</v>
      </c>
      <c r="AA367" s="13" t="n">
        <f aca="false">-0.05*(AA10+AA11)</f>
        <v>-67506.4865685095</v>
      </c>
      <c r="AB367" s="13" t="n">
        <f aca="false">-0.05*(AB10+AB11)</f>
        <v>-58189.9004634844</v>
      </c>
      <c r="AC367" s="13" t="n">
        <f aca="false">-0.05*(AC10+AC11)</f>
        <v>-46753.6270013066</v>
      </c>
      <c r="AD367" s="13" t="n">
        <f aca="false">-0.05*(AD10+AD11)</f>
        <v>-47901.1225013066</v>
      </c>
      <c r="AE367" s="13" t="n">
        <f aca="false">-0.05*(AE10+AE11)</f>
        <v>-55330.705044734</v>
      </c>
      <c r="AF367" s="13" t="n">
        <f aca="false">-0.05*(AF10+AF11)</f>
        <v>-63277.3153806665</v>
      </c>
      <c r="AG367" s="13" t="n">
        <f aca="false">-0.05*(AG10+AG11)</f>
        <v>-60052.796532849</v>
      </c>
      <c r="AH367" s="13" t="n">
        <f aca="false">-0.05*(AH10+AH11)</f>
        <v>-58865.8482665915</v>
      </c>
      <c r="AI367" s="13" t="n">
        <f aca="false">-0.05*(AI10+AI11)</f>
        <v>-46948.3068983699</v>
      </c>
      <c r="AJ367" s="13" t="n">
        <f aca="false">-0.05*(AJ10+AJ11)</f>
        <v>-50689.4093465449</v>
      </c>
      <c r="AK367" s="13" t="n">
        <f aca="false">-0.05*(AK10+AK11)</f>
        <v>-31027.5934665257</v>
      </c>
      <c r="AL367" s="13" t="n">
        <f aca="false">-0.05*(AL10+AL11)</f>
        <v>-31743.0969665257</v>
      </c>
      <c r="AM367" s="13" t="n">
        <f aca="false">-0.05*(AM10+AM11)</f>
        <v>-32337.1859665257</v>
      </c>
      <c r="AN367" s="13" t="n">
        <f aca="false">-0.05*(AN10+AN11)</f>
        <v>-31192.8465717632</v>
      </c>
      <c r="AO367" s="13" t="n">
        <f aca="false">-0.05*(AO10+AO11)</f>
        <v>-24762.0874762882</v>
      </c>
      <c r="AP367" s="13" t="n">
        <f aca="false">-0.05*(AP10+AP11)</f>
        <v>-16511.6922462882</v>
      </c>
      <c r="AQ367" s="13" t="n">
        <f aca="false">-0.05*(AQ10+AQ11)</f>
        <v>-16511.6922462882</v>
      </c>
      <c r="AR367" s="13" t="n">
        <f aca="false">-0.05*(AR10+AR11)</f>
        <v>-16511.6922462882</v>
      </c>
      <c r="AS367" s="13" t="n">
        <f aca="false">-0.05*(AS10+AS11)</f>
        <v>-16511.6922462882</v>
      </c>
      <c r="AT367" s="13" t="n">
        <f aca="false">-0.05*(AT10+AT11)</f>
        <v>-16511.6922462882</v>
      </c>
      <c r="AU367" s="13" t="n">
        <f aca="false">-0.05*(AU10+AU11)</f>
        <v>-16511.6922462882</v>
      </c>
      <c r="AV367" s="13" t="n">
        <f aca="false">-0.05*(AV10+AV11)</f>
        <v>-30135.9715139632</v>
      </c>
      <c r="AW367" s="13" t="n">
        <f aca="false">-0.05*(AW10+AW11)</f>
        <v>-7882.98204342733</v>
      </c>
      <c r="AX367" s="13" t="n">
        <f aca="false">-0.05*(AX10+AX11)</f>
        <v>-7882.98204342733</v>
      </c>
      <c r="AY367" s="13" t="n">
        <f aca="false">-0.05*(AY10+AY11)</f>
        <v>-7882.98204342733</v>
      </c>
      <c r="AZ367" s="13" t="n">
        <f aca="false">-0.05*(AZ10+AZ11)</f>
        <v>-7882.98204342733</v>
      </c>
      <c r="BA367" s="13" t="n">
        <f aca="false">-0.05*(BA10+BA11)</f>
        <v>-7882.98204342733</v>
      </c>
      <c r="BB367" s="13" t="n">
        <f aca="false">-0.05*(BB10+BB11)</f>
        <v>-7882.98204342733</v>
      </c>
      <c r="BC367" s="13" t="n">
        <f aca="false">-0.05*(BC10+BC11)</f>
        <v>-7882.98204342733</v>
      </c>
      <c r="BD367" s="13" t="n">
        <f aca="false">-0.05*(BD10+BD11)</f>
        <v>-7882.98204342733</v>
      </c>
      <c r="BE367" s="13" t="n">
        <f aca="false">-0.05*(BE10+BE11)</f>
        <v>-7882.98204342733</v>
      </c>
      <c r="BF367" s="13" t="n">
        <f aca="false">-0.05*(BF10+BF11)</f>
        <v>-7882.98204342733</v>
      </c>
      <c r="BG367" s="13" t="n">
        <f aca="false">-0.05*(BG10+BG11)</f>
        <v>-7882.98204342733</v>
      </c>
      <c r="BH367" s="13" t="n">
        <f aca="false">-0.05*(BH10+BH11)</f>
        <v>-20329.7957962073</v>
      </c>
      <c r="BI367" s="13" t="n">
        <f aca="false">-0.05*(BI10+BI11)</f>
        <v>-0</v>
      </c>
      <c r="BJ367" s="13" t="n">
        <f aca="false">-0.05*(BJ10+BJ11)</f>
        <v>-0</v>
      </c>
      <c r="BK367" s="13" t="n">
        <f aca="false">-0.05*(BK10+BK11)</f>
        <v>-0</v>
      </c>
      <c r="BL367" s="13" t="n">
        <f aca="false">-0.05*(BL10+BL11)</f>
        <v>-0</v>
      </c>
      <c r="BM367" s="13" t="n">
        <f aca="false">-0.05*(BM10+BM11)</f>
        <v>-0</v>
      </c>
      <c r="BN367" s="13" t="n">
        <f aca="false">-0.05*(BN10+BN11)</f>
        <v>-0</v>
      </c>
      <c r="BO367" s="13" t="n">
        <f aca="false">-0.05*(BO10+BO11)</f>
        <v>-0</v>
      </c>
      <c r="BP367" s="13" t="n">
        <f aca="false">-0.05*(BP10+BP11)</f>
        <v>-0</v>
      </c>
      <c r="BQ367" s="13" t="n">
        <f aca="false">-0.05*(BQ10+BQ11)</f>
        <v>-0</v>
      </c>
      <c r="BR367" s="13" t="n">
        <f aca="false">-0.05*(BR10+BR11)</f>
        <v>-0</v>
      </c>
      <c r="BS367" s="13" t="n">
        <f aca="false">-0.05*(BS10+BS11)</f>
        <v>-0</v>
      </c>
      <c r="BT367" s="13" t="n">
        <f aca="false">-0.05*(BT10+BT11)</f>
        <v>-0</v>
      </c>
      <c r="BU367" s="13" t="n">
        <f aca="false">-0.05*(BU10+BU11)</f>
        <v>-0</v>
      </c>
      <c r="BV367" s="13" t="n">
        <f aca="false">-0.05*(BV10+BV11)</f>
        <v>-0</v>
      </c>
      <c r="BW367" s="13" t="n">
        <f aca="false">-0.05*(BW10+BW11)</f>
        <v>-0</v>
      </c>
      <c r="BX367" s="13" t="n">
        <f aca="false">-0.05*(BX10+BX11)</f>
        <v>-0</v>
      </c>
      <c r="BY367" s="13" t="n">
        <f aca="false">-0.05*(BY10+BY11)</f>
        <v>-0</v>
      </c>
      <c r="BZ367" s="13" t="n">
        <f aca="false">-0.05*(BZ10+BZ11)</f>
        <v>-0</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192</v>
      </c>
      <c r="B368" s="13"/>
      <c r="C368" s="13"/>
      <c r="D368" s="13"/>
      <c r="E368" s="13"/>
      <c r="F368" s="13"/>
      <c r="G368" s="13"/>
      <c r="H368" s="13"/>
      <c r="I368" s="13"/>
      <c r="J368" s="13" t="n">
        <f aca="false">SUMIFS(Retention!$E$2:$E$44,Retention!$F$2:$F$44,J$3)</f>
        <v>0</v>
      </c>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112954.35763675</v>
      </c>
      <c r="AI368" s="13" t="n">
        <f aca="false">SUMIFS(Retention!$E$2:$E$44,Retention!$F$2:$F$44,AI$3)</f>
        <v>0</v>
      </c>
      <c r="AJ368" s="13" t="n">
        <f aca="false">SUMIFS(Retention!$E$2:$E$44,Retention!$F$2:$F$44,AJ$3)</f>
        <v>197447.0789635</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342967.15810475</v>
      </c>
      <c r="AO368" s="13" t="n">
        <f aca="false">SUMIFS(Retention!$E$2:$E$44,Retention!$F$2:$F$44,AO$3)</f>
        <v>82503.9523</v>
      </c>
      <c r="AP368" s="13" t="n">
        <f aca="false">SUMIFS(Retention!$E$2:$E$44,Retention!$F$2:$F$44,AP$3)</f>
        <v>0</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0</v>
      </c>
      <c r="AU368" s="13" t="n">
        <f aca="false">SUMIFS(Retention!$E$2:$E$44,Retention!$F$2:$F$44,AU$3)</f>
        <v>0</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0</v>
      </c>
      <c r="AZ368" s="13" t="n">
        <f aca="false">SUMIFS(Retention!$E$2:$E$44,Retention!$F$2:$F$44,AZ$3)</f>
        <v>0</v>
      </c>
      <c r="BA368" s="13" t="n">
        <f aca="false">SUMIFS(Retention!$E$2:$E$44,Retention!$F$2:$F$44,BA$3)</f>
        <v>0</v>
      </c>
      <c r="BB368" s="13" t="n">
        <f aca="false">SUMIFS(Retention!$E$2:$E$44,Retention!$F$2:$F$44,BB$3)</f>
        <v>0</v>
      </c>
      <c r="BC368" s="13" t="n">
        <f aca="false">SUMIFS(Retention!$E$2:$E$44,Retention!$F$2:$F$44,BC$3)</f>
        <v>0</v>
      </c>
      <c r="BD368" s="13" t="n">
        <f aca="false">SUMIFS(Retention!$E$2:$E$44,Retention!$F$2:$F$44,BD$3)</f>
        <v>0</v>
      </c>
      <c r="BE368" s="13" t="n">
        <f aca="false">SUMIFS(Retention!$E$2:$E$44,Retention!$F$2:$F$44,BE$3)</f>
        <v>0</v>
      </c>
      <c r="BF368" s="13" t="n">
        <f aca="false">SUMIFS(Retention!$E$2:$E$44,Retention!$F$2:$F$44,BF$3)</f>
        <v>0</v>
      </c>
      <c r="BG368" s="13" t="n">
        <f aca="false">SUMIFS(Retention!$E$2:$E$44,Retention!$F$2:$F$44,BG$3)</f>
        <v>0</v>
      </c>
      <c r="BH368" s="13" t="n">
        <f aca="false">SUMIFS(Retention!$E$2:$E$44,Retention!$F$2:$F$44,BH$3)</f>
        <v>248936.2750556</v>
      </c>
      <c r="BI368" s="13" t="n">
        <f aca="false">SUMIFS(Retention!$E$2:$E$44,Retention!$F$2:$F$44,BI$3)</f>
        <v>0</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0</v>
      </c>
      <c r="BN368" s="13" t="n">
        <f aca="false">SUMIFS(Retention!$E$2:$E$44,Retention!$F$2:$F$44,BN$3)</f>
        <v>0</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0</v>
      </c>
      <c r="BS368" s="13" t="n">
        <f aca="false">SUMIFS(Retention!$E$2:$E$44,Retention!$F$2:$F$44,BS$3)</f>
        <v>0</v>
      </c>
      <c r="BT368" s="13" t="n">
        <f aca="false">SUMIFS(Retention!$E$2:$E$44,Retention!$F$2:$F$44,BT$3)</f>
        <v>0</v>
      </c>
      <c r="BU368" s="13" t="n">
        <f aca="false">SUMIFS(Retention!$E$2:$E$44,Retention!$F$2:$F$44,BU$3)</f>
        <v>0</v>
      </c>
      <c r="BV368" s="13" t="n">
        <f aca="false">SUMIFS(Retention!$E$2:$E$44,Retention!$F$2:$F$44,BV$3)</f>
        <v>0</v>
      </c>
      <c r="BW368" s="13" t="n">
        <f aca="false">SUMIFS(Retention!$E$2:$E$44,Retention!$F$2:$F$44,BW$3)</f>
        <v>0</v>
      </c>
      <c r="BX368" s="13" t="n">
        <f aca="false">SUMIFS(Retention!$E$2:$E$44,Retention!$F$2:$F$44,BX$3)</f>
        <v>0</v>
      </c>
      <c r="BY368" s="13" t="n">
        <f aca="false">SUMIFS(Retention!$E$2:$E$44,Retention!$F$2:$F$44,BY$3)</f>
        <v>0</v>
      </c>
      <c r="BZ368" s="13" t="n">
        <f aca="false">SUMIFS(Retention!$E$2:$E$44,Retention!$F$2:$F$44,BZ$3)</f>
        <v>0</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193</v>
      </c>
      <c r="B369" s="68"/>
      <c r="C369" s="68"/>
      <c r="D369" s="68"/>
      <c r="E369" s="68"/>
      <c r="F369" s="68"/>
      <c r="G369" s="68"/>
      <c r="H369" s="68"/>
      <c r="I369" s="68"/>
      <c r="J369" s="68" t="n">
        <f aca="false">SUM(J361:J368)</f>
        <v>1121321.7942407</v>
      </c>
      <c r="K369" s="68" t="n">
        <f aca="false">SUM(K361:K368)</f>
        <v>1624723.12483538</v>
      </c>
      <c r="L369" s="68" t="n">
        <f aca="false">SUM(L361:L368)</f>
        <v>2077341.84486452</v>
      </c>
      <c r="M369" s="68" t="n">
        <f aca="false">SUM(M361:M368)</f>
        <v>2169280.11445269</v>
      </c>
      <c r="N369" s="68" t="n">
        <f aca="false">SUM(N361:N368)</f>
        <v>1282071.57256611</v>
      </c>
      <c r="O369" s="68" t="n">
        <f aca="false">SUM(O361:O368)</f>
        <v>1638278.79098763</v>
      </c>
      <c r="P369" s="68" t="n">
        <f aca="false">SUM(P361:P368)</f>
        <v>1950479.9368901</v>
      </c>
      <c r="Q369" s="68" t="n">
        <f aca="false">SUM(Q361:Q368)</f>
        <v>2237197.04704618</v>
      </c>
      <c r="R369" s="68" t="n">
        <f aca="false">SUM(R361:R368)</f>
        <v>2211305.3633912</v>
      </c>
      <c r="S369" s="68" t="n">
        <f aca="false">SUM(S361:S368)</f>
        <v>2302048.62669757</v>
      </c>
      <c r="T369" s="68" t="n">
        <f aca="false">SUM(T361:T368)</f>
        <v>1892783.50569663</v>
      </c>
      <c r="U369" s="68" t="n">
        <f aca="false">SUM(U361:U368)</f>
        <v>2489520.41186072</v>
      </c>
      <c r="V369" s="68" t="n">
        <f aca="false">SUM(V361:V368)</f>
        <v>3046741.81041956</v>
      </c>
      <c r="W369" s="68" t="n">
        <f aca="false">SUM(W361:W368)</f>
        <v>3482491.10358146</v>
      </c>
      <c r="X369" s="68" t="n">
        <f aca="false">SUM(X361:X368)</f>
        <v>3799542.63256799</v>
      </c>
      <c r="Y369" s="68" t="n">
        <f aca="false">SUM(Y361:Y368)</f>
        <v>4536405.69841659</v>
      </c>
      <c r="Z369" s="68" t="n">
        <f aca="false">SUM(Z361:Z368)</f>
        <v>5105190.63526519</v>
      </c>
      <c r="AA369" s="68" t="n">
        <f aca="false">SUM(AA361:AA368)</f>
        <v>5885143.51194573</v>
      </c>
      <c r="AB369" s="68" t="n">
        <f aca="false">SUM(AB361:AB368)</f>
        <v>6695584.62021421</v>
      </c>
      <c r="AC369" s="68" t="n">
        <f aca="false">SUM(AC361:AC368)</f>
        <v>7246031.96180816</v>
      </c>
      <c r="AD369" s="68" t="n">
        <f aca="false">SUM(AD361:AD368)</f>
        <v>7588052.03612009</v>
      </c>
      <c r="AE369" s="68" t="n">
        <f aca="false">SUM(AE361:AE368)</f>
        <v>7967900.13019629</v>
      </c>
      <c r="AF369" s="68" t="n">
        <f aca="false">SUM(AF361:AF368)</f>
        <v>7881685.04856809</v>
      </c>
      <c r="AG369" s="68" t="n">
        <f aca="false">SUM(AG361:AG368)</f>
        <v>8621984.79522432</v>
      </c>
      <c r="AH369" s="68" t="n">
        <f aca="false">SUM(AH361:AH368)</f>
        <v>9357417.42803857</v>
      </c>
      <c r="AI369" s="68" t="n">
        <f aca="false">SUM(AI361:AI368)</f>
        <v>9983905.29572067</v>
      </c>
      <c r="AJ369" s="68" t="n">
        <f aca="false">SUM(AJ361:AJ368)</f>
        <v>10579594.4663998</v>
      </c>
      <c r="AK369" s="68" t="n">
        <f aca="false">SUM(AK361:AK368)</f>
        <v>11072320.422959</v>
      </c>
      <c r="AL369" s="68" t="n">
        <f aca="false">SUM(AL361:AL368)</f>
        <v>11172660.4802639</v>
      </c>
      <c r="AM369" s="68" t="n">
        <f aca="false">SUM(AM361:AM368)</f>
        <v>11301580.804992</v>
      </c>
      <c r="AN369" s="68" t="n">
        <f aca="false">SUM(AN361:AN368)</f>
        <v>11823857.0201426</v>
      </c>
      <c r="AO369" s="68" t="n">
        <f aca="false">SUM(AO361:AO368)</f>
        <v>12078826.5216229</v>
      </c>
      <c r="AP369" s="68" t="n">
        <f aca="false">SUM(AP361:AP368)</f>
        <v>12150542.668739</v>
      </c>
      <c r="AQ369" s="68" t="n">
        <f aca="false">SUM(AQ361:AQ368)</f>
        <v>12059938.9068898</v>
      </c>
      <c r="AR369" s="68" t="n">
        <f aca="false">SUM(AR361:AR368)</f>
        <v>11978950.529656</v>
      </c>
      <c r="AS369" s="68" t="n">
        <f aca="false">SUM(AS361:AS368)</f>
        <v>11897962.1524222</v>
      </c>
      <c r="AT369" s="68" t="n">
        <f aca="false">SUM(AT361:AT368)</f>
        <v>11816973.7751883</v>
      </c>
      <c r="AU369" s="68" t="n">
        <f aca="false">SUM(AU361:AU368)</f>
        <v>11735985.3979545</v>
      </c>
      <c r="AV369" s="68" t="n">
        <f aca="false">SUM(AV361:AV368)</f>
        <v>11913858.3268065</v>
      </c>
      <c r="AW369" s="68" t="n">
        <f aca="false">SUM(AW361:AW368)</f>
        <v>12113984.245129</v>
      </c>
      <c r="AX369" s="68" t="n">
        <f aca="false">SUM(AX361:AX368)</f>
        <v>11869050.3740408</v>
      </c>
      <c r="AY369" s="68" t="n">
        <f aca="false">SUM(AY361:AY368)</f>
        <v>11624116.5029527</v>
      </c>
      <c r="AZ369" s="68" t="n">
        <f aca="false">SUM(AZ361:AZ368)</f>
        <v>11379182.6318645</v>
      </c>
      <c r="BA369" s="68" t="n">
        <f aca="false">SUM(BA361:BA368)</f>
        <v>11126654.550178</v>
      </c>
      <c r="BB369" s="68" t="n">
        <f aca="false">SUM(BB361:BB368)</f>
        <v>10874126.4684916</v>
      </c>
      <c r="BC369" s="68" t="n">
        <f aca="false">SUM(BC361:BC368)</f>
        <v>10621598.3868051</v>
      </c>
      <c r="BD369" s="68" t="n">
        <f aca="false">SUM(BD361:BD368)</f>
        <v>10369070.3051187</v>
      </c>
      <c r="BE369" s="68" t="n">
        <f aca="false">SUM(BE361:BE368)</f>
        <v>10116542.2234322</v>
      </c>
      <c r="BF369" s="68" t="n">
        <f aca="false">SUM(BF361:BF368)</f>
        <v>9864014.14174577</v>
      </c>
      <c r="BG369" s="68" t="n">
        <f aca="false">SUM(BG361:BG368)</f>
        <v>9611486.06005932</v>
      </c>
      <c r="BH369" s="68" t="n">
        <f aca="false">SUM(BH361:BH368)</f>
        <v>9595447.43967569</v>
      </c>
      <c r="BI369" s="68" t="n">
        <f aca="false">SUM(BI361:BI368)</f>
        <v>9599738.61508826</v>
      </c>
      <c r="BJ369" s="68" t="n">
        <f aca="false">SUM(BJ361:BJ368)</f>
        <v>9197433.87457669</v>
      </c>
      <c r="BK369" s="68" t="n">
        <f aca="false">SUM(BK361:BK368)</f>
        <v>8795129.13406512</v>
      </c>
      <c r="BL369" s="68" t="n">
        <f aca="false">SUM(BL361:BL368)</f>
        <v>8392824.39355355</v>
      </c>
      <c r="BM369" s="68" t="n">
        <f aca="false">SUM(BM361:BM368)</f>
        <v>7982773.55823175</v>
      </c>
      <c r="BN369" s="68" t="n">
        <f aca="false">SUM(BN361:BN368)</f>
        <v>7572722.72290995</v>
      </c>
      <c r="BO369" s="68" t="n">
        <f aca="false">SUM(BO361:BO368)</f>
        <v>7162671.88758815</v>
      </c>
      <c r="BP369" s="68" t="n">
        <f aca="false">SUM(BP361:BP368)</f>
        <v>6752621.05226635</v>
      </c>
      <c r="BQ369" s="68" t="n">
        <f aca="false">SUM(BQ361:BQ368)</f>
        <v>6342570.21694455</v>
      </c>
      <c r="BR369" s="68" t="n">
        <f aca="false">SUM(BR361:BR368)</f>
        <v>5932519.38162274</v>
      </c>
      <c r="BS369" s="68" t="n">
        <f aca="false">SUM(BS361:BS368)</f>
        <v>5522468.54630094</v>
      </c>
      <c r="BT369" s="68" t="n">
        <f aca="false">SUM(BT361:BT368)</f>
        <v>5112417.71097914</v>
      </c>
      <c r="BU369" s="68" t="n">
        <f aca="false">SUM(BU361:BU368)</f>
        <v>4702366.87565734</v>
      </c>
      <c r="BV369" s="68" t="n">
        <f aca="false">SUM(BV361:BV368)</f>
        <v>4292316.04033554</v>
      </c>
      <c r="BW369" s="68" t="n">
        <f aca="false">SUM(BW361:BW368)</f>
        <v>3882265.20501373</v>
      </c>
      <c r="BX369" s="68" t="n">
        <f aca="false">SUM(BX361:BX368)</f>
        <v>3472214.36969193</v>
      </c>
      <c r="BY369" s="68" t="n">
        <f aca="false">SUM(BY361:BY368)</f>
        <v>3054262.5176637</v>
      </c>
      <c r="BZ369" s="68" t="n">
        <f aca="false">SUM(BZ361:BZ368)</f>
        <v>2636310.66563546</v>
      </c>
      <c r="CA369" s="68" t="n">
        <f aca="false">SUM(CA361:CA368)</f>
        <v>2218358.81360722</v>
      </c>
      <c r="CB369" s="68" t="n">
        <f aca="false">SUM(CB361:CB368)</f>
        <v>1800406.96157898</v>
      </c>
      <c r="CC369" s="68" t="n">
        <f aca="false">SUM(CC361:CC368)</f>
        <v>1382455.10955074</v>
      </c>
      <c r="CD369" s="68" t="n">
        <f aca="false">SUM(CD361:CD368)</f>
        <v>964503.257522507</v>
      </c>
      <c r="CE369" s="68" t="n">
        <f aca="false">SUM(CE361:CE368)</f>
        <v>546551.405494269</v>
      </c>
      <c r="CF369" s="68" t="n">
        <f aca="false">SUM(CF361:CF368)</f>
        <v>128599.553466031</v>
      </c>
      <c r="CG369" s="68" t="n">
        <f aca="false">SUM(CG361:CG368)</f>
        <v>-289352.298562206</v>
      </c>
      <c r="CH369" s="68" t="n">
        <f aca="false">SUM(CH361:CH368)</f>
        <v>-707304.150590444</v>
      </c>
      <c r="CI369" s="68" t="n">
        <f aca="false">SUM(CI361:CI368)</f>
        <v>-1125256.00261868</v>
      </c>
      <c r="CJ369" s="68" t="n">
        <f aca="false">SUM(CJ361:CJ368)</f>
        <v>-1543207.85464692</v>
      </c>
      <c r="CK369" s="68" t="n">
        <f aca="false">SUM(CK361:CK368)</f>
        <v>-1969218.74371572</v>
      </c>
      <c r="CL369" s="68" t="n">
        <f aca="false">SUM(CL361:CL368)</f>
        <v>-2395229.63278452</v>
      </c>
      <c r="CM369" s="68" t="n">
        <f aca="false">SUM(CM361:CM368)</f>
        <v>-2821240.52185333</v>
      </c>
      <c r="CN369" s="68" t="n">
        <f aca="false">SUM(CN361:CN368)</f>
        <v>-3247251.41092213</v>
      </c>
      <c r="CO369" s="68" t="n">
        <f aca="false">SUM(CO361:CO368)</f>
        <v>-3673262.29999093</v>
      </c>
      <c r="CP369" s="68" t="n">
        <f aca="false">SUM(CP361:CP368)</f>
        <v>-4099273.18905973</v>
      </c>
      <c r="CQ369" s="68" t="n">
        <f aca="false">SUM(CQ361:CQ368)</f>
        <v>-4525284.07812854</v>
      </c>
      <c r="CR369" s="68" t="n">
        <f aca="false">SUM(CR361:CR368)</f>
        <v>-4951294.96719734</v>
      </c>
      <c r="CS369" s="68" t="n">
        <f aca="false">SUM(CS361:CS368)</f>
        <v>-5377305.85626614</v>
      </c>
      <c r="CT369" s="68" t="n">
        <f aca="false">SUM(CT361:CT368)</f>
        <v>-5762963.93129292</v>
      </c>
      <c r="CU369" s="68" t="n">
        <f aca="false">SUM(CU361:CU368)</f>
        <v>-6148622.00631969</v>
      </c>
      <c r="CV369" s="68" t="n">
        <f aca="false">SUM(CV361:CV368)</f>
        <v>-6534280.08134647</v>
      </c>
      <c r="CW369" s="68" t="n">
        <f aca="false">SUM(CW361:CW368)</f>
        <v>-6927351.31787378</v>
      </c>
      <c r="CX369" s="68" t="n">
        <f aca="false">SUM(CX361:CX368)</f>
        <v>-7320422.55440109</v>
      </c>
      <c r="CY369" s="68" t="n">
        <f aca="false">SUM(CY361:CY368)</f>
        <v>-7713493.79092841</v>
      </c>
      <c r="CZ369" s="68" t="n">
        <f aca="false">SUM(CZ361:CZ368)</f>
        <v>-8106565.02745572</v>
      </c>
      <c r="DA369" s="68" t="n">
        <f aca="false">SUM(DA361:DA368)</f>
        <v>-8499636.26398303</v>
      </c>
      <c r="DB369" s="68" t="n">
        <f aca="false">SUM(DB361:DB368)</f>
        <v>-8892707.50051034</v>
      </c>
      <c r="DC369" s="68" t="n">
        <f aca="false">SUM(DC361:DC368)</f>
        <v>-9285778.73703766</v>
      </c>
      <c r="DD369" s="68" t="n">
        <f aca="false">SUM(DD361:DD368)</f>
        <v>-9678849.97356497</v>
      </c>
      <c r="DE369" s="68" t="n">
        <f aca="false">SUM(DE361:DE368)</f>
        <v>-10071921.2100923</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194</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195</v>
      </c>
      <c r="B372" s="13"/>
      <c r="C372" s="13"/>
      <c r="D372" s="13"/>
      <c r="E372" s="13"/>
      <c r="F372" s="13"/>
      <c r="G372" s="13"/>
      <c r="H372" s="13"/>
      <c r="I372" s="13"/>
      <c r="J372" s="13" t="n">
        <f aca="false">Assumptions!B30</f>
        <v>658190</v>
      </c>
      <c r="K372" s="13" t="n">
        <f aca="false">J378</f>
        <v>503745.387883333</v>
      </c>
      <c r="L372" s="13" t="n">
        <f aca="false">K378</f>
        <v>349300.775766667</v>
      </c>
      <c r="M372" s="13" t="n">
        <f aca="false">L378</f>
        <v>185481.16365</v>
      </c>
      <c r="N372" s="13" t="n">
        <f aca="false">M378</f>
        <v>25161.5515333333</v>
      </c>
      <c r="O372" s="13" t="n">
        <f aca="false">N378</f>
        <v>-234838.063931676</v>
      </c>
      <c r="P372" s="13" t="n">
        <f aca="false">O378</f>
        <v>-491679.784659844</v>
      </c>
      <c r="Q372" s="13" t="n">
        <f aca="false">P378</f>
        <v>-747721.659855012</v>
      </c>
      <c r="R372" s="13" t="n">
        <f aca="false">Q378</f>
        <v>-1008129.41298318</v>
      </c>
      <c r="S372" s="13" t="n">
        <f aca="false">R378</f>
        <v>-1268537.16611135</v>
      </c>
      <c r="T372" s="13" t="n">
        <f aca="false">S378</f>
        <v>-1528944.91923951</v>
      </c>
      <c r="U372" s="13" t="n">
        <f aca="false">T378</f>
        <v>-1813258.92236768</v>
      </c>
      <c r="V372" s="13" t="n">
        <f aca="false">U378</f>
        <v>-2097572.92549585</v>
      </c>
      <c r="W372" s="13" t="n">
        <f aca="false">V378</f>
        <v>-2381886.92862402</v>
      </c>
      <c r="X372" s="13" t="n">
        <f aca="false">W378</f>
        <v>-2666200.93175219</v>
      </c>
      <c r="Y372" s="13" t="n">
        <f aca="false">X378</f>
        <v>-2950514.93488035</v>
      </c>
      <c r="Z372" s="13" t="n">
        <f aca="false">Y378</f>
        <v>-3177453.93800852</v>
      </c>
      <c r="AA372" s="13" t="n">
        <f aca="false">Z378</f>
        <v>-3462198.54819132</v>
      </c>
      <c r="AB372" s="13" t="n">
        <f aca="false">AA378</f>
        <v>-3996943.15837412</v>
      </c>
      <c r="AC372" s="13" t="n">
        <f aca="false">AB378</f>
        <v>-4218969.77567501</v>
      </c>
      <c r="AD372" s="13" t="n">
        <f aca="false">AC378</f>
        <v>-4507351.73890581</v>
      </c>
      <c r="AE372" s="13" t="n">
        <f aca="false">AD378</f>
        <v>-4795733.70213661</v>
      </c>
      <c r="AF372" s="13" t="n">
        <f aca="false">AE378</f>
        <v>-5006722.095646</v>
      </c>
      <c r="AG372" s="13" t="n">
        <f aca="false">AF378</f>
        <v>-5183104.0588768</v>
      </c>
      <c r="AH372" s="13" t="n">
        <f aca="false">AG378</f>
        <v>-5362643.91684444</v>
      </c>
      <c r="AI372" s="13" t="n">
        <f aca="false">AH378</f>
        <v>-5545341.66954892</v>
      </c>
      <c r="AJ372" s="13" t="n">
        <f aca="false">AI378</f>
        <v>-5737539.4222534</v>
      </c>
      <c r="AK372" s="13" t="n">
        <f aca="false">AJ378</f>
        <v>-5929737.17495788</v>
      </c>
      <c r="AL372" s="13" t="n">
        <f aca="false">AK378</f>
        <v>-6121934.92766236</v>
      </c>
      <c r="AM372" s="13" t="n">
        <f aca="false">AL378</f>
        <v>-6324577.93311036</v>
      </c>
      <c r="AN372" s="13" t="n">
        <f aca="false">AM378</f>
        <v>-6777220.93855836</v>
      </c>
      <c r="AO372" s="13" t="n">
        <f aca="false">AN378</f>
        <v>-6974279.67282714</v>
      </c>
      <c r="AP372" s="13" t="n">
        <f aca="false">AO378</f>
        <v>-7180632.7783841</v>
      </c>
      <c r="AQ372" s="13" t="n">
        <f aca="false">AP378</f>
        <v>-7386985.88394106</v>
      </c>
      <c r="AR372" s="13" t="n">
        <f aca="false">AQ378</f>
        <v>-7593338.98949802</v>
      </c>
      <c r="AS372" s="13" t="n">
        <f aca="false">AR378</f>
        <v>-7799692.09505498</v>
      </c>
      <c r="AT372" s="13" t="n">
        <f aca="false">AS378</f>
        <v>-8006045.20061194</v>
      </c>
      <c r="AU372" s="13" t="n">
        <f aca="false">AT378</f>
        <v>-8212398.3061689</v>
      </c>
      <c r="AV372" s="13" t="n">
        <f aca="false">AU378</f>
        <v>-8418751.41172586</v>
      </c>
      <c r="AW372" s="13" t="n">
        <f aca="false">AV378</f>
        <v>-8625104.51728282</v>
      </c>
      <c r="AX372" s="13" t="n">
        <f aca="false">AW378</f>
        <v>-8831457.62283978</v>
      </c>
      <c r="AY372" s="13" t="n">
        <f aca="false">AX378</f>
        <v>-9037810.72839674</v>
      </c>
      <c r="AZ372" s="13" t="n">
        <f aca="false">AY378</f>
        <v>-9244163.8339537</v>
      </c>
      <c r="BA372" s="13" t="n">
        <f aca="false">AZ378</f>
        <v>-9450516.93951066</v>
      </c>
      <c r="BB372" s="13" t="n">
        <f aca="false">BA378</f>
        <v>-9660654.34717876</v>
      </c>
      <c r="BC372" s="13" t="n">
        <f aca="false">BB378</f>
        <v>-9870791.75484686</v>
      </c>
      <c r="BD372" s="13" t="n">
        <f aca="false">BC378</f>
        <v>-10080929.162515</v>
      </c>
      <c r="BE372" s="13" t="n">
        <f aca="false">BD378</f>
        <v>-10291066.5701831</v>
      </c>
      <c r="BF372" s="13" t="n">
        <f aca="false">BE378</f>
        <v>-10501203.9778512</v>
      </c>
      <c r="BG372" s="13" t="n">
        <f aca="false">BF378</f>
        <v>-10711341.3855193</v>
      </c>
      <c r="BH372" s="13" t="n">
        <f aca="false">BG378</f>
        <v>-10921478.7931874</v>
      </c>
      <c r="BI372" s="13" t="n">
        <f aca="false">BH378</f>
        <v>-11131616.2008554</v>
      </c>
      <c r="BJ372" s="13" t="n">
        <f aca="false">BI378</f>
        <v>-11341753.6085235</v>
      </c>
      <c r="BK372" s="13" t="n">
        <f aca="false">BJ378</f>
        <v>-11551891.0161916</v>
      </c>
      <c r="BL372" s="13" t="n">
        <f aca="false">BK378</f>
        <v>-11762028.4238597</v>
      </c>
      <c r="BM372" s="13" t="n">
        <f aca="false">BL378</f>
        <v>-11972165.8315278</v>
      </c>
      <c r="BN372" s="13" t="n">
        <f aca="false">BM378</f>
        <v>-12186163.2273493</v>
      </c>
      <c r="BO372" s="13" t="n">
        <f aca="false">BN378</f>
        <v>-12400160.6231708</v>
      </c>
      <c r="BP372" s="13" t="n">
        <f aca="false">BO378</f>
        <v>-12614158.0189922</v>
      </c>
      <c r="BQ372" s="13" t="n">
        <f aca="false">BP378</f>
        <v>-12828155.4148137</v>
      </c>
      <c r="BR372" s="13" t="n">
        <f aca="false">BQ378</f>
        <v>-13042152.8106352</v>
      </c>
      <c r="BS372" s="13" t="n">
        <f aca="false">BR378</f>
        <v>-13202899.8564566</v>
      </c>
      <c r="BT372" s="13" t="n">
        <f aca="false">BS378</f>
        <v>-13416897.2522781</v>
      </c>
      <c r="BU372" s="13" t="n">
        <f aca="false">BT378</f>
        <v>-13630894.6480995</v>
      </c>
      <c r="BV372" s="13" t="n">
        <f aca="false">BU378</f>
        <v>-13777130.043921</v>
      </c>
      <c r="BW372" s="13" t="n">
        <f aca="false">BV378</f>
        <v>-13991127.4397425</v>
      </c>
      <c r="BX372" s="13" t="n">
        <f aca="false">BW378</f>
        <v>-14205124.8355639</v>
      </c>
      <c r="BY372" s="13" t="n">
        <f aca="false">BX378</f>
        <v>-14351360.2313854</v>
      </c>
      <c r="BZ372" s="13" t="n">
        <f aca="false">BY378</f>
        <v>-14569294.8151233</v>
      </c>
      <c r="CA372" s="13" t="n">
        <f aca="false">BZ378</f>
        <v>-14787229.3988612</v>
      </c>
      <c r="CB372" s="13" t="n">
        <f aca="false">CA378</f>
        <v>-14937401.9825991</v>
      </c>
      <c r="CC372" s="13" t="n">
        <f aca="false">CB378</f>
        <v>-15155336.5663369</v>
      </c>
      <c r="CD372" s="13" t="n">
        <f aca="false">CC378</f>
        <v>-15373271.1500748</v>
      </c>
      <c r="CE372" s="13" t="n">
        <f aca="false">CD378</f>
        <v>-15514706.7338127</v>
      </c>
      <c r="CF372" s="13" t="n">
        <f aca="false">CE378</f>
        <v>-15732641.3175506</v>
      </c>
      <c r="CG372" s="13" t="n">
        <f aca="false">CF378</f>
        <v>-15950575.9012885</v>
      </c>
      <c r="CH372" s="13" t="n">
        <f aca="false">CG378</f>
        <v>-16092011.4850264</v>
      </c>
      <c r="CI372" s="13" t="n">
        <f aca="false">CH378</f>
        <v>-16309946.0687643</v>
      </c>
      <c r="CJ372" s="13" t="n">
        <f aca="false">CI378</f>
        <v>-16527880.6525022</v>
      </c>
      <c r="CK372" s="13" t="n">
        <f aca="false">CJ378</f>
        <v>-16662708.2096336</v>
      </c>
      <c r="CL372" s="13" t="n">
        <f aca="false">CK378</f>
        <v>-16726797.7250462</v>
      </c>
      <c r="CM372" s="13" t="n">
        <f aca="false">CL378</f>
        <v>-16790887.2404589</v>
      </c>
      <c r="CN372" s="13" t="n">
        <f aca="false">CM378</f>
        <v>-16854976.7558715</v>
      </c>
      <c r="CO372" s="13" t="n">
        <f aca="false">CN378</f>
        <v>-16919066.2712842</v>
      </c>
      <c r="CP372" s="13" t="n">
        <f aca="false">CO378</f>
        <v>-16983155.7866968</v>
      </c>
      <c r="CQ372" s="13" t="n">
        <f aca="false">CP378</f>
        <v>-17047245.3021095</v>
      </c>
      <c r="CR372" s="13" t="n">
        <f aca="false">CQ378</f>
        <v>-17111334.8175221</v>
      </c>
      <c r="CS372" s="13" t="n">
        <f aca="false">CR378</f>
        <v>-17175424.3329348</v>
      </c>
      <c r="CT372" s="13" t="n">
        <f aca="false">CS378</f>
        <v>-17239513.8483474</v>
      </c>
      <c r="CU372" s="13" t="n">
        <f aca="false">CT378</f>
        <v>-17297692.418762</v>
      </c>
      <c r="CV372" s="13" t="n">
        <f aca="false">CU378</f>
        <v>-17355870.9891765</v>
      </c>
      <c r="CW372" s="13" t="n">
        <f aca="false">CV378</f>
        <v>-17414049.559591</v>
      </c>
      <c r="CX372" s="13" t="n">
        <f aca="false">CW378</f>
        <v>-17420498.0103503</v>
      </c>
      <c r="CY372" s="13" t="n">
        <f aca="false">CX378</f>
        <v>-17409499.6121731</v>
      </c>
      <c r="CZ372" s="13" t="n">
        <f aca="false">CY378</f>
        <v>-17398501.2139959</v>
      </c>
      <c r="DA372" s="13" t="n">
        <f aca="false">CZ378</f>
        <v>-17387502.8158187</v>
      </c>
      <c r="DB372" s="13" t="n">
        <f aca="false">DA378</f>
        <v>-17376504.4176416</v>
      </c>
      <c r="DC372" s="13" t="n">
        <f aca="false">DB378</f>
        <v>-17365506.0194644</v>
      </c>
      <c r="DD372" s="13" t="n">
        <f aca="false">DC378</f>
        <v>-17354507.6212872</v>
      </c>
      <c r="DE372" s="13" t="n">
        <f aca="false">DD378</f>
        <v>-17343509.2231101</v>
      </c>
    </row>
    <row r="373" customFormat="false" ht="15" hidden="false" customHeight="true" outlineLevel="0" collapsed="false">
      <c r="A373" s="22" t="s">
        <v>196</v>
      </c>
      <c r="B373" s="13"/>
      <c r="C373" s="13"/>
      <c r="D373" s="13"/>
      <c r="E373" s="13"/>
      <c r="F373" s="13"/>
      <c r="G373" s="13"/>
      <c r="H373" s="13"/>
      <c r="I373" s="13"/>
      <c r="J373" s="13" t="n">
        <f aca="false">J293</f>
        <v>-154764.55</v>
      </c>
      <c r="K373" s="13" t="n">
        <f aca="false">K293</f>
        <v>-154764.55</v>
      </c>
      <c r="L373" s="13" t="n">
        <f aca="false">L293</f>
        <v>-164139.55</v>
      </c>
      <c r="M373" s="13" t="n">
        <f aca="false">M293</f>
        <v>-160639.55</v>
      </c>
      <c r="N373" s="13" t="n">
        <f aca="false">N293</f>
        <v>-158875.475263158</v>
      </c>
      <c r="O373" s="13" t="n">
        <f aca="false">O293</f>
        <v>-155717.580526316</v>
      </c>
      <c r="P373" s="13" t="n">
        <f aca="false">P293</f>
        <v>-155717.580526316</v>
      </c>
      <c r="Q373" s="13" t="n">
        <f aca="false">Q293</f>
        <v>-159283.612926316</v>
      </c>
      <c r="R373" s="13" t="n">
        <f aca="false">R293</f>
        <v>-159283.612926316</v>
      </c>
      <c r="S373" s="13" t="n">
        <f aca="false">S293</f>
        <v>-159283.612926316</v>
      </c>
      <c r="T373" s="13" t="n">
        <f aca="false">T293</f>
        <v>-183189.862926316</v>
      </c>
      <c r="U373" s="13" t="n">
        <f aca="false">U293</f>
        <v>-183189.862926316</v>
      </c>
      <c r="V373" s="13" t="n">
        <f aca="false">V293</f>
        <v>-183189.862926316</v>
      </c>
      <c r="W373" s="13" t="n">
        <f aca="false">W293</f>
        <v>-183189.862926316</v>
      </c>
      <c r="X373" s="13" t="n">
        <f aca="false">X293</f>
        <v>-183189.862926316</v>
      </c>
      <c r="Y373" s="13" t="n">
        <f aca="false">Y293</f>
        <v>-125814.862926316</v>
      </c>
      <c r="Z373" s="13" t="n">
        <f aca="false">Z293</f>
        <v>-183189.862926316</v>
      </c>
      <c r="AA373" s="13" t="n">
        <f aca="false">AA293</f>
        <v>-183189.862926316</v>
      </c>
      <c r="AB373" s="13" t="n">
        <f aca="false">AB293</f>
        <v>-125814.862926316</v>
      </c>
      <c r="AC373" s="13" t="n">
        <f aca="false">AC293</f>
        <v>-186827.215974316</v>
      </c>
      <c r="AD373" s="13" t="n">
        <f aca="false">AD293</f>
        <v>-186827.215974316</v>
      </c>
      <c r="AE373" s="13" t="n">
        <f aca="false">AE293</f>
        <v>-129452.215974316</v>
      </c>
      <c r="AF373" s="13" t="n">
        <f aca="false">AF293</f>
        <v>-186827.215974316</v>
      </c>
      <c r="AG373" s="13" t="n">
        <f aca="false">AG293</f>
        <v>-189985.110711158</v>
      </c>
      <c r="AH373" s="13" t="n">
        <f aca="false">AH293</f>
        <v>-193143.005448</v>
      </c>
      <c r="AI373" s="13" t="n">
        <f aca="false">AI293</f>
        <v>-202643.005448</v>
      </c>
      <c r="AJ373" s="13" t="n">
        <f aca="false">AJ293</f>
        <v>-202643.005448</v>
      </c>
      <c r="AK373" s="13" t="n">
        <f aca="false">AK293</f>
        <v>-202643.005448</v>
      </c>
      <c r="AL373" s="13" t="n">
        <f aca="false">AL293</f>
        <v>-202643.005448</v>
      </c>
      <c r="AM373" s="13" t="n">
        <f aca="false">AM293</f>
        <v>-202643.005448</v>
      </c>
      <c r="AN373" s="13" t="n">
        <f aca="false">AN293</f>
        <v>-202643.005448</v>
      </c>
      <c r="AO373" s="13" t="n">
        <f aca="false">AO293</f>
        <v>-206353.10555696</v>
      </c>
      <c r="AP373" s="13" t="n">
        <f aca="false">AP293</f>
        <v>-206353.10555696</v>
      </c>
      <c r="AQ373" s="13" t="n">
        <f aca="false">AQ293</f>
        <v>-206353.10555696</v>
      </c>
      <c r="AR373" s="13" t="n">
        <f aca="false">AR293</f>
        <v>-206353.10555696</v>
      </c>
      <c r="AS373" s="13" t="n">
        <f aca="false">AS293</f>
        <v>-206353.10555696</v>
      </c>
      <c r="AT373" s="13" t="n">
        <f aca="false">AT293</f>
        <v>-206353.10555696</v>
      </c>
      <c r="AU373" s="13" t="n">
        <f aca="false">AU293</f>
        <v>-206353.10555696</v>
      </c>
      <c r="AV373" s="13" t="n">
        <f aca="false">AV293</f>
        <v>-206353.10555696</v>
      </c>
      <c r="AW373" s="13" t="n">
        <f aca="false">AW293</f>
        <v>-206353.10555696</v>
      </c>
      <c r="AX373" s="13" t="n">
        <f aca="false">AX293</f>
        <v>-206353.10555696</v>
      </c>
      <c r="AY373" s="13" t="n">
        <f aca="false">AY293</f>
        <v>-206353.10555696</v>
      </c>
      <c r="AZ373" s="13" t="n">
        <f aca="false">AZ293</f>
        <v>-206353.10555696</v>
      </c>
      <c r="BA373" s="13" t="n">
        <f aca="false">BA293</f>
        <v>-210137.407668099</v>
      </c>
      <c r="BB373" s="13" t="n">
        <f aca="false">BB293</f>
        <v>-210137.407668099</v>
      </c>
      <c r="BC373" s="13" t="n">
        <f aca="false">BC293</f>
        <v>-210137.407668099</v>
      </c>
      <c r="BD373" s="13" t="n">
        <f aca="false">BD293</f>
        <v>-210137.407668099</v>
      </c>
      <c r="BE373" s="13" t="n">
        <f aca="false">BE293</f>
        <v>-210137.407668099</v>
      </c>
      <c r="BF373" s="13" t="n">
        <f aca="false">BF293</f>
        <v>-210137.407668099</v>
      </c>
      <c r="BG373" s="13" t="n">
        <f aca="false">BG293</f>
        <v>-210137.407668099</v>
      </c>
      <c r="BH373" s="13" t="n">
        <f aca="false">BH293</f>
        <v>-210137.407668099</v>
      </c>
      <c r="BI373" s="13" t="n">
        <f aca="false">BI293</f>
        <v>-210137.407668099</v>
      </c>
      <c r="BJ373" s="13" t="n">
        <f aca="false">BJ293</f>
        <v>-210137.407668099</v>
      </c>
      <c r="BK373" s="13" t="n">
        <f aca="false">BK293</f>
        <v>-210137.407668099</v>
      </c>
      <c r="BL373" s="13" t="n">
        <f aca="false">BL293</f>
        <v>-210137.407668099</v>
      </c>
      <c r="BM373" s="13" t="n">
        <f aca="false">BM293</f>
        <v>-213997.395821461</v>
      </c>
      <c r="BN373" s="13" t="n">
        <f aca="false">BN293</f>
        <v>-213997.395821461</v>
      </c>
      <c r="BO373" s="13" t="n">
        <f aca="false">BO293</f>
        <v>-213997.395821461</v>
      </c>
      <c r="BP373" s="13" t="n">
        <f aca="false">BP293</f>
        <v>-213997.395821461</v>
      </c>
      <c r="BQ373" s="13" t="n">
        <f aca="false">BQ293</f>
        <v>-213997.395821461</v>
      </c>
      <c r="BR373" s="13" t="n">
        <f aca="false">BR293</f>
        <v>-160747.045821461</v>
      </c>
      <c r="BS373" s="13" t="n">
        <f aca="false">BS293</f>
        <v>-213997.395821461</v>
      </c>
      <c r="BT373" s="13" t="n">
        <f aca="false">BT293</f>
        <v>-213997.395821461</v>
      </c>
      <c r="BU373" s="13" t="n">
        <f aca="false">BU293</f>
        <v>-146235.395821461</v>
      </c>
      <c r="BV373" s="13" t="n">
        <f aca="false">BV293</f>
        <v>-213997.395821461</v>
      </c>
      <c r="BW373" s="13" t="n">
        <f aca="false">BW293</f>
        <v>-213997.395821461</v>
      </c>
      <c r="BX373" s="13" t="n">
        <f aca="false">BX293</f>
        <v>-146235.395821461</v>
      </c>
      <c r="BY373" s="13" t="n">
        <f aca="false">BY293</f>
        <v>-217934.58373789</v>
      </c>
      <c r="BZ373" s="13" t="n">
        <f aca="false">BZ293</f>
        <v>-217934.58373789</v>
      </c>
      <c r="CA373" s="13" t="n">
        <f aca="false">CA293</f>
        <v>-150172.58373789</v>
      </c>
      <c r="CB373" s="13" t="n">
        <f aca="false">CB293</f>
        <v>-217934.58373789</v>
      </c>
      <c r="CC373" s="13" t="n">
        <f aca="false">CC293</f>
        <v>-217934.58373789</v>
      </c>
      <c r="CD373" s="13" t="n">
        <f aca="false">CD293</f>
        <v>-141435.58373789</v>
      </c>
      <c r="CE373" s="13" t="n">
        <f aca="false">CE293</f>
        <v>-217934.58373789</v>
      </c>
      <c r="CF373" s="13" t="n">
        <f aca="false">CF293</f>
        <v>-217934.58373789</v>
      </c>
      <c r="CG373" s="13" t="n">
        <f aca="false">CG293</f>
        <v>-141435.58373789</v>
      </c>
      <c r="CH373" s="13" t="n">
        <f aca="false">CH293</f>
        <v>-217934.58373789</v>
      </c>
      <c r="CI373" s="13" t="n">
        <f aca="false">CI293</f>
        <v>-217934.58373789</v>
      </c>
      <c r="CJ373" s="13" t="n">
        <f aca="false">CJ293</f>
        <v>-134827.557131411</v>
      </c>
      <c r="CK373" s="13" t="n">
        <f aca="false">CK293</f>
        <v>-64089.5154126482</v>
      </c>
      <c r="CL373" s="13" t="n">
        <f aca="false">CL293</f>
        <v>-64089.5154126482</v>
      </c>
      <c r="CM373" s="13" t="n">
        <f aca="false">CM293</f>
        <v>-64089.5154126482</v>
      </c>
      <c r="CN373" s="13" t="n">
        <f aca="false">CN293</f>
        <v>-64089.5154126482</v>
      </c>
      <c r="CO373" s="13" t="n">
        <f aca="false">CO293</f>
        <v>-64089.5154126482</v>
      </c>
      <c r="CP373" s="13" t="n">
        <f aca="false">CP293</f>
        <v>-64089.5154126482</v>
      </c>
      <c r="CQ373" s="13" t="n">
        <f aca="false">CQ293</f>
        <v>-64089.5154126482</v>
      </c>
      <c r="CR373" s="13" t="n">
        <f aca="false">CR293</f>
        <v>-64089.5154126482</v>
      </c>
      <c r="CS373" s="13" t="n">
        <f aca="false">CS293</f>
        <v>-64089.5154126482</v>
      </c>
      <c r="CT373" s="13" t="n">
        <f aca="false">CT293</f>
        <v>-58178.5704145363</v>
      </c>
      <c r="CU373" s="13" t="n">
        <f aca="false">CU293</f>
        <v>-58178.5704145363</v>
      </c>
      <c r="CV373" s="13" t="n">
        <f aca="false">CV293</f>
        <v>-58178.5704145363</v>
      </c>
      <c r="CW373" s="13" t="n">
        <f aca="false">CW293</f>
        <v>-6448.4507592342</v>
      </c>
      <c r="CX373" s="13" t="n">
        <f aca="false">CX293</f>
        <v>10998.398177173</v>
      </c>
      <c r="CY373" s="13" t="n">
        <f aca="false">CY293</f>
        <v>10998.398177173</v>
      </c>
      <c r="CZ373" s="13" t="n">
        <f aca="false">CZ293</f>
        <v>10998.398177173</v>
      </c>
      <c r="DA373" s="13" t="n">
        <f aca="false">DA293</f>
        <v>10998.398177173</v>
      </c>
      <c r="DB373" s="13" t="n">
        <f aca="false">DB293</f>
        <v>10998.398177173</v>
      </c>
      <c r="DC373" s="13" t="n">
        <f aca="false">DC293</f>
        <v>10998.398177173</v>
      </c>
      <c r="DD373" s="13" t="n">
        <f aca="false">DD293</f>
        <v>10998.398177173</v>
      </c>
      <c r="DE373" s="13" t="n">
        <f aca="false">DE293</f>
        <v>10998.398177173</v>
      </c>
    </row>
    <row r="374" customFormat="false" ht="15" hidden="false" customHeight="true" outlineLevel="0" collapsed="false">
      <c r="A374" s="22" t="s">
        <v>197</v>
      </c>
      <c r="B374" s="13"/>
      <c r="C374" s="13"/>
      <c r="D374" s="13"/>
      <c r="E374" s="13"/>
      <c r="F374" s="13"/>
      <c r="G374" s="13"/>
      <c r="H374" s="13"/>
      <c r="I374" s="13"/>
      <c r="J374" s="13" t="n">
        <f aca="false">J298</f>
        <v>319.937883333334</v>
      </c>
      <c r="K374" s="13" t="n">
        <f aca="false">K298</f>
        <v>319.937883333334</v>
      </c>
      <c r="L374" s="13" t="n">
        <f aca="false">L298</f>
        <v>319.937883333334</v>
      </c>
      <c r="M374" s="13" t="n">
        <f aca="false">M298</f>
        <v>319.937883333334</v>
      </c>
      <c r="N374" s="13" t="n">
        <f aca="false">N298</f>
        <v>10875.8597981481</v>
      </c>
      <c r="O374" s="13" t="n">
        <f aca="false">O298</f>
        <v>10875.8597981481</v>
      </c>
      <c r="P374" s="13" t="n">
        <f aca="false">P298</f>
        <v>11675.7053311481</v>
      </c>
      <c r="Q374" s="13" t="n">
        <f aca="false">Q298</f>
        <v>10875.8597981481</v>
      </c>
      <c r="R374" s="13" t="n">
        <f aca="false">R298</f>
        <v>10875.8597981481</v>
      </c>
      <c r="S374" s="13" t="n">
        <f aca="false">S298</f>
        <v>10875.8597981481</v>
      </c>
      <c r="T374" s="13" t="n">
        <f aca="false">T298</f>
        <v>10875.8597981481</v>
      </c>
      <c r="U374" s="13" t="n">
        <f aca="false">U298</f>
        <v>10875.8597981481</v>
      </c>
      <c r="V374" s="13" t="n">
        <f aca="false">V298</f>
        <v>10875.8597981481</v>
      </c>
      <c r="W374" s="13" t="n">
        <f aca="false">W298</f>
        <v>10875.8597981481</v>
      </c>
      <c r="X374" s="13" t="n">
        <f aca="false">X298</f>
        <v>10875.8597981481</v>
      </c>
      <c r="Y374" s="13" t="n">
        <f aca="false">Y298</f>
        <v>10875.8597981481</v>
      </c>
      <c r="Z374" s="13" t="n">
        <f aca="false">Z298</f>
        <v>10445.2527435185</v>
      </c>
      <c r="AA374" s="13" t="n">
        <f aca="false">AA298</f>
        <v>10445.2527435185</v>
      </c>
      <c r="AB374" s="13" t="n">
        <f aca="false">AB298</f>
        <v>15788.245625418</v>
      </c>
      <c r="AC374" s="13" t="n">
        <f aca="false">AC298</f>
        <v>10445.2527435185</v>
      </c>
      <c r="AD374" s="13" t="n">
        <f aca="false">AD298</f>
        <v>10445.2527435185</v>
      </c>
      <c r="AE374" s="13" t="n">
        <f aca="false">AE298</f>
        <v>10445.2527435185</v>
      </c>
      <c r="AF374" s="13" t="n">
        <f aca="false">AF298</f>
        <v>10445.2527435185</v>
      </c>
      <c r="AG374" s="13" t="n">
        <f aca="false">AG298</f>
        <v>10445.2527435185</v>
      </c>
      <c r="AH374" s="13" t="n">
        <f aca="false">AH298</f>
        <v>10445.2527435185</v>
      </c>
      <c r="AI374" s="13" t="n">
        <f aca="false">AI298</f>
        <v>10445.2527435185</v>
      </c>
      <c r="AJ374" s="13" t="n">
        <f aca="false">AJ298</f>
        <v>10445.2527435185</v>
      </c>
      <c r="AK374" s="13" t="n">
        <f aca="false">AK298</f>
        <v>10445.2527435185</v>
      </c>
      <c r="AL374" s="13" t="n">
        <f aca="false">AL298</f>
        <v>0</v>
      </c>
      <c r="AM374" s="13" t="n">
        <f aca="false">AM298</f>
        <v>0</v>
      </c>
      <c r="AN374" s="13" t="n">
        <f aca="false">AN298</f>
        <v>5584.27117921855</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198</v>
      </c>
      <c r="B375" s="13"/>
      <c r="C375" s="13"/>
      <c r="D375" s="13"/>
      <c r="E375" s="13"/>
      <c r="F375" s="13"/>
      <c r="G375" s="13"/>
      <c r="H375" s="13"/>
      <c r="I375" s="13"/>
      <c r="J375" s="13" t="n">
        <f aca="false">J316</f>
        <v>0</v>
      </c>
      <c r="K375" s="13" t="n">
        <f aca="false">K316</f>
        <v>0</v>
      </c>
      <c r="L375" s="13" t="n">
        <f aca="false">L316</f>
        <v>0</v>
      </c>
      <c r="M375" s="13" t="n">
        <f aca="false">M316</f>
        <v>0</v>
      </c>
      <c r="N375" s="13" t="n">
        <f aca="false">N316</f>
        <v>-112000</v>
      </c>
      <c r="O375" s="13" t="n">
        <f aca="false">O316</f>
        <v>-112000</v>
      </c>
      <c r="P375" s="13" t="n">
        <f aca="false">P316</f>
        <v>-112000</v>
      </c>
      <c r="Q375" s="13" t="n">
        <f aca="false">Q316</f>
        <v>-112000</v>
      </c>
      <c r="R375" s="13" t="n">
        <f aca="false">R316</f>
        <v>-112000</v>
      </c>
      <c r="S375" s="13" t="n">
        <f aca="false">S316</f>
        <v>-112000</v>
      </c>
      <c r="T375" s="13" t="n">
        <f aca="false">T316</f>
        <v>-112000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-91981.4302785977</v>
      </c>
      <c r="AF375" s="13" t="n">
        <f aca="false">AF316</f>
        <v>0</v>
      </c>
      <c r="AG375" s="13" t="n">
        <f aca="false">AG316</f>
        <v>0</v>
      </c>
      <c r="AH375" s="13" t="n">
        <f aca="false">AH316</f>
        <v>0</v>
      </c>
      <c r="AI375" s="13" t="n">
        <f aca="false">AI316</f>
        <v>0</v>
      </c>
      <c r="AJ375" s="13" t="n">
        <f aca="false">AJ316</f>
        <v>0</v>
      </c>
      <c r="AK375" s="13" t="n">
        <f aca="false">AK316</f>
        <v>0</v>
      </c>
      <c r="AL375" s="13" t="n">
        <f aca="false">AL316</f>
        <v>0</v>
      </c>
      <c r="AM375" s="13" t="n">
        <f aca="false">AM316</f>
        <v>0</v>
      </c>
      <c r="AN375" s="13" t="n">
        <f aca="false">AN316</f>
        <v>0</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199</v>
      </c>
      <c r="B376" s="13"/>
      <c r="C376" s="13"/>
      <c r="D376" s="13"/>
      <c r="E376" s="13"/>
      <c r="F376" s="13"/>
      <c r="G376" s="13"/>
      <c r="H376" s="13"/>
      <c r="I376" s="13"/>
      <c r="J376" s="13" t="n">
        <f aca="false">J322</f>
        <v>0</v>
      </c>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-250000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200</v>
      </c>
      <c r="B377" s="13"/>
      <c r="C377" s="13"/>
      <c r="D377" s="13"/>
      <c r="E377" s="13"/>
      <c r="F377" s="13"/>
      <c r="G377" s="13"/>
      <c r="H377" s="13"/>
      <c r="I377" s="13"/>
      <c r="J377" s="13" t="n">
        <v>0</v>
      </c>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201</v>
      </c>
      <c r="B378" s="68"/>
      <c r="C378" s="68"/>
      <c r="D378" s="68"/>
      <c r="E378" s="68"/>
      <c r="F378" s="68"/>
      <c r="G378" s="68"/>
      <c r="H378" s="68"/>
      <c r="I378" s="68"/>
      <c r="J378" s="68" t="n">
        <f aca="false">J372+J373+J375+J376+J377+J374</f>
        <v>503745.387883333</v>
      </c>
      <c r="K378" s="68" t="n">
        <f aca="false">K372+K373+K375+K376+K377+K374</f>
        <v>349300.775766667</v>
      </c>
      <c r="L378" s="68" t="n">
        <f aca="false">L372+L373+L375+L376+L377+L374</f>
        <v>185481.16365</v>
      </c>
      <c r="M378" s="68" t="n">
        <f aca="false">M372+M373+M375+M376+M377+M374</f>
        <v>25161.5515333333</v>
      </c>
      <c r="N378" s="68" t="n">
        <f aca="false">N372+N373+N375+N376+N377+N374</f>
        <v>-234838.063931676</v>
      </c>
      <c r="O378" s="68" t="n">
        <f aca="false">O372+O373+O375+O376+O377+O374</f>
        <v>-491679.784659844</v>
      </c>
      <c r="P378" s="68" t="n">
        <f aca="false">P372+P373+P375+P376+P377+P374</f>
        <v>-747721.659855012</v>
      </c>
      <c r="Q378" s="68" t="n">
        <f aca="false">Q372+Q373+Q375+Q376+Q377+Q374</f>
        <v>-1008129.41298318</v>
      </c>
      <c r="R378" s="68" t="n">
        <f aca="false">R372+R373+R375+R376+R377+R374</f>
        <v>-1268537.16611135</v>
      </c>
      <c r="S378" s="68" t="n">
        <f aca="false">S372+S373+S375+S376+S377+S374</f>
        <v>-1528944.91923951</v>
      </c>
      <c r="T378" s="68" t="n">
        <f aca="false">T372+T373+T375+T376+T377+T374</f>
        <v>-1813258.92236768</v>
      </c>
      <c r="U378" s="68" t="n">
        <f aca="false">U372+U373+U375+U376+U377+U374</f>
        <v>-2097572.92549585</v>
      </c>
      <c r="V378" s="68" t="n">
        <f aca="false">V372+V373+V375+V376+V377+V374</f>
        <v>-2381886.92862402</v>
      </c>
      <c r="W378" s="68" t="n">
        <f aca="false">W372+W373+W375+W376+W377+W374</f>
        <v>-2666200.93175219</v>
      </c>
      <c r="X378" s="68" t="n">
        <f aca="false">X372+X373+X375+X376+X377+X374</f>
        <v>-2950514.93488035</v>
      </c>
      <c r="Y378" s="68" t="n">
        <f aca="false">Y372+Y373+Y375+Y376+Y377+Y374</f>
        <v>-3177453.93800852</v>
      </c>
      <c r="Z378" s="68" t="n">
        <f aca="false">Z372+Z373+Z375+Z376+Z377+Z374</f>
        <v>-3462198.54819132</v>
      </c>
      <c r="AA378" s="68" t="n">
        <f aca="false">AA372+AA373+AA375+AA376+AA377+AA374</f>
        <v>-3996943.15837412</v>
      </c>
      <c r="AB378" s="68" t="n">
        <f aca="false">AB372+AB373+AB375+AB376+AB377+AB374</f>
        <v>-4218969.77567501</v>
      </c>
      <c r="AC378" s="68" t="n">
        <f aca="false">AC372+AC373+AC375+AC376+AC377+AC374</f>
        <v>-4507351.73890581</v>
      </c>
      <c r="AD378" s="68" t="n">
        <f aca="false">AD372+AD373+AD375+AD376+AD377+AD374</f>
        <v>-4795733.70213661</v>
      </c>
      <c r="AE378" s="68" t="n">
        <f aca="false">AE372+AE373+AE375+AE376+AE377+AE374</f>
        <v>-5006722.095646</v>
      </c>
      <c r="AF378" s="68" t="n">
        <f aca="false">AF372+AF373+AF375+AF376+AF377+AF374</f>
        <v>-5183104.0588768</v>
      </c>
      <c r="AG378" s="68" t="n">
        <f aca="false">AG372+AG373+AG375+AG376+AG377+AG374</f>
        <v>-5362643.91684444</v>
      </c>
      <c r="AH378" s="68" t="n">
        <f aca="false">AH372+AH373+AH375+AH376+AH377+AH374</f>
        <v>-5545341.66954892</v>
      </c>
      <c r="AI378" s="68" t="n">
        <f aca="false">AI372+AI373+AI375+AI376+AI377+AI374</f>
        <v>-5737539.4222534</v>
      </c>
      <c r="AJ378" s="68" t="n">
        <f aca="false">AJ372+AJ373+AJ375+AJ376+AJ377+AJ374</f>
        <v>-5929737.17495788</v>
      </c>
      <c r="AK378" s="68" t="n">
        <f aca="false">AK372+AK373+AK375+AK376+AK377+AK374</f>
        <v>-6121934.92766236</v>
      </c>
      <c r="AL378" s="68" t="n">
        <f aca="false">AL372+AL373+AL375+AL376+AL377+AL374</f>
        <v>-6324577.93311036</v>
      </c>
      <c r="AM378" s="68" t="n">
        <f aca="false">AM372+AM373+AM375+AM376+AM377+AM374</f>
        <v>-6777220.93855836</v>
      </c>
      <c r="AN378" s="68" t="n">
        <f aca="false">AN372+AN373+AN375+AN376+AN377+AN374</f>
        <v>-6974279.67282714</v>
      </c>
      <c r="AO378" s="68" t="n">
        <f aca="false">AO372+AO373+AO375+AO376+AO377+AO374</f>
        <v>-7180632.7783841</v>
      </c>
      <c r="AP378" s="68" t="n">
        <f aca="false">AP372+AP373+AP375+AP376+AP377+AP374</f>
        <v>-7386985.88394106</v>
      </c>
      <c r="AQ378" s="68" t="n">
        <f aca="false">AQ372+AQ373+AQ375+AQ376+AQ377+AQ374</f>
        <v>-7593338.98949802</v>
      </c>
      <c r="AR378" s="68" t="n">
        <f aca="false">AR372+AR373+AR375+AR376+AR377+AR374</f>
        <v>-7799692.09505498</v>
      </c>
      <c r="AS378" s="68" t="n">
        <f aca="false">AS372+AS373+AS375+AS376+AS377+AS374</f>
        <v>-8006045.20061194</v>
      </c>
      <c r="AT378" s="68" t="n">
        <f aca="false">AT372+AT373+AT375+AT376+AT377+AT374</f>
        <v>-8212398.3061689</v>
      </c>
      <c r="AU378" s="68" t="n">
        <f aca="false">AU372+AU373+AU375+AU376+AU377+AU374</f>
        <v>-8418751.41172586</v>
      </c>
      <c r="AV378" s="68" t="n">
        <f aca="false">AV372+AV373+AV375+AV376+AV377+AV374</f>
        <v>-8625104.51728282</v>
      </c>
      <c r="AW378" s="68" t="n">
        <f aca="false">AW372+AW373+AW375+AW376+AW377+AW374</f>
        <v>-8831457.62283978</v>
      </c>
      <c r="AX378" s="68" t="n">
        <f aca="false">AX372+AX373+AX375+AX376+AX377+AX374</f>
        <v>-9037810.72839674</v>
      </c>
      <c r="AY378" s="68" t="n">
        <f aca="false">AY372+AY373+AY375+AY376+AY377+AY374</f>
        <v>-9244163.8339537</v>
      </c>
      <c r="AZ378" s="68" t="n">
        <f aca="false">AZ372+AZ373+AZ375+AZ376+AZ377+AZ374</f>
        <v>-9450516.93951066</v>
      </c>
      <c r="BA378" s="68" t="n">
        <f aca="false">BA372+BA373+BA375+BA376+BA377+BA374</f>
        <v>-9660654.34717876</v>
      </c>
      <c r="BB378" s="68" t="n">
        <f aca="false">BB372+BB373+BB375+BB376+BB377+BB374</f>
        <v>-9870791.75484686</v>
      </c>
      <c r="BC378" s="68" t="n">
        <f aca="false">BC372+BC373+BC375+BC376+BC377+BC374</f>
        <v>-10080929.162515</v>
      </c>
      <c r="BD378" s="68" t="n">
        <f aca="false">BD372+BD373+BD375+BD376+BD377+BD374</f>
        <v>-10291066.5701831</v>
      </c>
      <c r="BE378" s="68" t="n">
        <f aca="false">BE372+BE373+BE375+BE376+BE377+BE374</f>
        <v>-10501203.9778512</v>
      </c>
      <c r="BF378" s="68" t="n">
        <f aca="false">BF372+BF373+BF375+BF376+BF377+BF374</f>
        <v>-10711341.3855193</v>
      </c>
      <c r="BG378" s="68" t="n">
        <f aca="false">BG372+BG373+BG375+BG376+BG377+BG374</f>
        <v>-10921478.7931874</v>
      </c>
      <c r="BH378" s="68" t="n">
        <f aca="false">BH372+BH373+BH375+BH376+BH377+BH374</f>
        <v>-11131616.2008554</v>
      </c>
      <c r="BI378" s="68" t="n">
        <f aca="false">BI372+BI373+BI375+BI376+BI377+BI374</f>
        <v>-11341753.6085235</v>
      </c>
      <c r="BJ378" s="68" t="n">
        <f aca="false">BJ372+BJ373+BJ375+BJ376+BJ377+BJ374</f>
        <v>-11551891.0161916</v>
      </c>
      <c r="BK378" s="68" t="n">
        <f aca="false">BK372+BK373+BK375+BK376+BK377+BK374</f>
        <v>-11762028.4238597</v>
      </c>
      <c r="BL378" s="68" t="n">
        <f aca="false">BL372+BL373+BL375+BL376+BL377+BL374</f>
        <v>-11972165.8315278</v>
      </c>
      <c r="BM378" s="68" t="n">
        <f aca="false">BM372+BM373+BM375+BM376+BM377+BM374</f>
        <v>-12186163.2273493</v>
      </c>
      <c r="BN378" s="68" t="n">
        <f aca="false">BN372+BN373+BN375+BN376+BN377+BN374</f>
        <v>-12400160.6231708</v>
      </c>
      <c r="BO378" s="68" t="n">
        <f aca="false">BO372+BO373+BO375+BO376+BO377+BO374</f>
        <v>-12614158.0189922</v>
      </c>
      <c r="BP378" s="68" t="n">
        <f aca="false">BP372+BP373+BP375+BP376+BP377+BP374</f>
        <v>-12828155.4148137</v>
      </c>
      <c r="BQ378" s="68" t="n">
        <f aca="false">BQ372+BQ373+BQ375+BQ376+BQ377+BQ374</f>
        <v>-13042152.8106352</v>
      </c>
      <c r="BR378" s="68" t="n">
        <f aca="false">BR372+BR373+BR375+BR376+BR377+BR374</f>
        <v>-13202899.8564566</v>
      </c>
      <c r="BS378" s="68" t="n">
        <f aca="false">BS372+BS373+BS375+BS376+BS377+BS374</f>
        <v>-13416897.2522781</v>
      </c>
      <c r="BT378" s="68" t="n">
        <f aca="false">BT372+BT373+BT375+BT376+BT377+BT374</f>
        <v>-13630894.6480995</v>
      </c>
      <c r="BU378" s="68" t="n">
        <f aca="false">BU372+BU373+BU375+BU376+BU377+BU374</f>
        <v>-13777130.043921</v>
      </c>
      <c r="BV378" s="68" t="n">
        <f aca="false">BV372+BV373+BV375+BV376+BV377+BV374</f>
        <v>-13991127.4397425</v>
      </c>
      <c r="BW378" s="68" t="n">
        <f aca="false">BW372+BW373+BW375+BW376+BW377+BW374</f>
        <v>-14205124.8355639</v>
      </c>
      <c r="BX378" s="68" t="n">
        <f aca="false">BX372+BX373+BX375+BX376+BX377+BX374</f>
        <v>-14351360.2313854</v>
      </c>
      <c r="BY378" s="68" t="n">
        <f aca="false">BY372+BY373+BY375+BY376+BY377+BY374</f>
        <v>-14569294.8151233</v>
      </c>
      <c r="BZ378" s="68" t="n">
        <f aca="false">BZ372+BZ373+BZ375+BZ376+BZ377+BZ374</f>
        <v>-14787229.3988612</v>
      </c>
      <c r="CA378" s="68" t="n">
        <f aca="false">CA372+CA373+CA375+CA376+CA377+CA374</f>
        <v>-14937401.9825991</v>
      </c>
      <c r="CB378" s="68" t="n">
        <f aca="false">CB372+CB373+CB375+CB376+CB377+CB374</f>
        <v>-15155336.5663369</v>
      </c>
      <c r="CC378" s="68" t="n">
        <f aca="false">CC372+CC373+CC375+CC376+CC377+CC374</f>
        <v>-15373271.1500748</v>
      </c>
      <c r="CD378" s="68" t="n">
        <f aca="false">CD372+CD373+CD375+CD376+CD377+CD374</f>
        <v>-15514706.7338127</v>
      </c>
      <c r="CE378" s="68" t="n">
        <f aca="false">CE372+CE373+CE375+CE376+CE377+CE374</f>
        <v>-15732641.3175506</v>
      </c>
      <c r="CF378" s="68" t="n">
        <f aca="false">CF372+CF373+CF375+CF376+CF377+CF374</f>
        <v>-15950575.9012885</v>
      </c>
      <c r="CG378" s="68" t="n">
        <f aca="false">CG372+CG373+CG375+CG376+CG377+CG374</f>
        <v>-16092011.4850264</v>
      </c>
      <c r="CH378" s="68" t="n">
        <f aca="false">CH372+CH373+CH375+CH376+CH377+CH374</f>
        <v>-16309946.0687643</v>
      </c>
      <c r="CI378" s="68" t="n">
        <f aca="false">CI372+CI373+CI375+CI376+CI377+CI374</f>
        <v>-16527880.6525022</v>
      </c>
      <c r="CJ378" s="68" t="n">
        <f aca="false">CJ372+CJ373+CJ375+CJ376+CJ377+CJ374</f>
        <v>-16662708.2096336</v>
      </c>
      <c r="CK378" s="68" t="n">
        <f aca="false">CK372+CK373+CK375+CK376+CK377+CK374</f>
        <v>-16726797.7250462</v>
      </c>
      <c r="CL378" s="68" t="n">
        <f aca="false">CL372+CL373+CL375+CL376+CL377+CL374</f>
        <v>-16790887.2404589</v>
      </c>
      <c r="CM378" s="68" t="n">
        <f aca="false">CM372+CM373+CM375+CM376+CM377+CM374</f>
        <v>-16854976.7558715</v>
      </c>
      <c r="CN378" s="68" t="n">
        <f aca="false">CN372+CN373+CN375+CN376+CN377+CN374</f>
        <v>-16919066.2712842</v>
      </c>
      <c r="CO378" s="68" t="n">
        <f aca="false">CO372+CO373+CO375+CO376+CO377+CO374</f>
        <v>-16983155.7866968</v>
      </c>
      <c r="CP378" s="68" t="n">
        <f aca="false">CP372+CP373+CP375+CP376+CP377+CP374</f>
        <v>-17047245.3021095</v>
      </c>
      <c r="CQ378" s="68" t="n">
        <f aca="false">CQ372+CQ373+CQ375+CQ376+CQ377+CQ374</f>
        <v>-17111334.8175221</v>
      </c>
      <c r="CR378" s="68" t="n">
        <f aca="false">CR372+CR373+CR375+CR376+CR377+CR374</f>
        <v>-17175424.3329348</v>
      </c>
      <c r="CS378" s="68" t="n">
        <f aca="false">CS372+CS373+CS375+CS376+CS377+CS374</f>
        <v>-17239513.8483474</v>
      </c>
      <c r="CT378" s="68" t="n">
        <f aca="false">CT372+CT373+CT375+CT376+CT377+CT374</f>
        <v>-17297692.418762</v>
      </c>
      <c r="CU378" s="68" t="n">
        <f aca="false">CU372+CU373+CU375+CU376+CU377+CU374</f>
        <v>-17355870.9891765</v>
      </c>
      <c r="CV378" s="68" t="n">
        <f aca="false">CV372+CV373+CV375+CV376+CV377+CV374</f>
        <v>-17414049.559591</v>
      </c>
      <c r="CW378" s="68" t="n">
        <f aca="false">CW372+CW373+CW375+CW376+CW377+CW374</f>
        <v>-17420498.0103503</v>
      </c>
      <c r="CX378" s="68" t="n">
        <f aca="false">CX372+CX373+CX375+CX376+CX377+CX374</f>
        <v>-17409499.6121731</v>
      </c>
      <c r="CY378" s="68" t="n">
        <f aca="false">CY372+CY373+CY375+CY376+CY377+CY374</f>
        <v>-17398501.2139959</v>
      </c>
      <c r="CZ378" s="68" t="n">
        <f aca="false">CZ372+CZ373+CZ375+CZ376+CZ377+CZ374</f>
        <v>-17387502.8158187</v>
      </c>
      <c r="DA378" s="68" t="n">
        <f aca="false">DA372+DA373+DA375+DA376+DA377+DA374</f>
        <v>-17376504.4176416</v>
      </c>
      <c r="DB378" s="68" t="n">
        <f aca="false">DB372+DB373+DB375+DB376+DB377+DB374</f>
        <v>-17365506.0194644</v>
      </c>
      <c r="DC378" s="68" t="n">
        <f aca="false">DC372+DC373+DC375+DC376+DC377+DC374</f>
        <v>-17354507.6212872</v>
      </c>
      <c r="DD378" s="68" t="n">
        <f aca="false">DD372+DD373+DD375+DD376+DD377+DD374</f>
        <v>-17343509.2231101</v>
      </c>
      <c r="DE378" s="68" t="n">
        <f aca="false">DE372+DE373+DE375+DE376+DE377+DE374</f>
        <v>-17332510.8249329</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202</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203</v>
      </c>
      <c r="B381" s="13"/>
      <c r="C381" s="13"/>
      <c r="D381" s="13"/>
      <c r="E381" s="13"/>
      <c r="F381" s="13"/>
      <c r="G381" s="13"/>
      <c r="H381" s="13"/>
      <c r="I381" s="13"/>
      <c r="J381" s="13" t="n">
        <f aca="false">J361+J372</f>
        <v>1945296</v>
      </c>
      <c r="K381" s="13" t="n">
        <f aca="false">K361+K372</f>
        <v>1625067.18212404</v>
      </c>
      <c r="L381" s="13" t="n">
        <f aca="false">L361+L372</f>
        <v>1974023.90060204</v>
      </c>
      <c r="M381" s="13" t="n">
        <f aca="false">M361+M372</f>
        <v>2262823.00851452</v>
      </c>
      <c r="N381" s="13" t="n">
        <f aca="false">N361+N372</f>
        <v>2194441.66598602</v>
      </c>
      <c r="O381" s="13" t="n">
        <f aca="false">O361+O372</f>
        <v>1047233.50863443</v>
      </c>
      <c r="P381" s="13" t="n">
        <f aca="false">P361+P372</f>
        <v>1146599.00632778</v>
      </c>
      <c r="Q381" s="13" t="n">
        <f aca="false">Q361+Q372</f>
        <v>1202758.27703508</v>
      </c>
      <c r="R381" s="13" t="n">
        <f aca="false">R361+R372</f>
        <v>1229067.634063</v>
      </c>
      <c r="S381" s="13" t="n">
        <f aca="false">S361+S372</f>
        <v>942768.197279849</v>
      </c>
      <c r="T381" s="13" t="n">
        <f aca="false">T361+T372</f>
        <v>773103.707458058</v>
      </c>
      <c r="U381" s="13" t="n">
        <f aca="false">U361+U372</f>
        <v>79524.5833289512</v>
      </c>
      <c r="V381" s="13" t="n">
        <f aca="false">V361+V372</f>
        <v>391947.486364868</v>
      </c>
      <c r="W381" s="13" t="n">
        <f aca="false">W361+W372</f>
        <v>664854.881795547</v>
      </c>
      <c r="X381" s="13" t="n">
        <f aca="false">X361+X372</f>
        <v>816290.171829276</v>
      </c>
      <c r="Y381" s="13" t="n">
        <f aca="false">Y361+Y372</f>
        <v>849027.697687637</v>
      </c>
      <c r="Z381" s="13" t="n">
        <f aca="false">Z361+Z372</f>
        <v>1358951.76040807</v>
      </c>
      <c r="AA381" s="13" t="n">
        <f aca="false">AA361+AA372</f>
        <v>1642992.08707387</v>
      </c>
      <c r="AB381" s="13" t="n">
        <f aca="false">AB361+AB372</f>
        <v>1888200.35357161</v>
      </c>
      <c r="AC381" s="13" t="n">
        <f aca="false">AC361+AC372</f>
        <v>2476614.8445392</v>
      </c>
      <c r="AD381" s="13" t="n">
        <f aca="false">AD361+AD372</f>
        <v>2738680.22290235</v>
      </c>
      <c r="AE381" s="13" t="n">
        <f aca="false">AE361+AE372</f>
        <v>2792318.33398349</v>
      </c>
      <c r="AF381" s="13" t="n">
        <f aca="false">AF361+AF372</f>
        <v>2961178.03455029</v>
      </c>
      <c r="AG381" s="13" t="n">
        <f aca="false">AG361+AG372</f>
        <v>2698580.98969129</v>
      </c>
      <c r="AH381" s="13" t="n">
        <f aca="false">AH361+AH372</f>
        <v>3259340.87837988</v>
      </c>
      <c r="AI381" s="13" t="n">
        <f aca="false">AI361+AI372</f>
        <v>3812075.75848965</v>
      </c>
      <c r="AJ381" s="13" t="n">
        <f aca="false">AJ361+AJ372</f>
        <v>4246365.87346727</v>
      </c>
      <c r="AK381" s="13" t="n">
        <f aca="false">AK361+AK372</f>
        <v>4649857.29144195</v>
      </c>
      <c r="AL381" s="13" t="n">
        <f aca="false">AL361+AL372</f>
        <v>4950385.49529664</v>
      </c>
      <c r="AM381" s="13" t="n">
        <f aca="false">AM361+AM372</f>
        <v>4848082.54715358</v>
      </c>
      <c r="AN381" s="13" t="n">
        <f aca="false">AN361+AN372</f>
        <v>4524359.8664336</v>
      </c>
      <c r="AO381" s="13" t="n">
        <f aca="false">AO361+AO372</f>
        <v>4849577.34731543</v>
      </c>
      <c r="AP381" s="13" t="n">
        <f aca="false">AP361+AP372</f>
        <v>4898193.74323875</v>
      </c>
      <c r="AQ381" s="13" t="n">
        <f aca="false">AQ361+AQ372</f>
        <v>4763556.78479796</v>
      </c>
      <c r="AR381" s="13" t="n">
        <f aca="false">AR361+AR372</f>
        <v>4466599.91739179</v>
      </c>
      <c r="AS381" s="13" t="n">
        <f aca="false">AS361+AS372</f>
        <v>4179258.434601</v>
      </c>
      <c r="AT381" s="13" t="n">
        <f aca="false">AT361+AT372</f>
        <v>3891916.95181021</v>
      </c>
      <c r="AU381" s="13" t="n">
        <f aca="false">AU361+AU372</f>
        <v>3604575.46901942</v>
      </c>
      <c r="AV381" s="13" t="n">
        <f aca="false">AV361+AV372</f>
        <v>3317233.98622863</v>
      </c>
      <c r="AW381" s="13" t="n">
        <f aca="false">AW361+AW372</f>
        <v>3288753.80952367</v>
      </c>
      <c r="AX381" s="13" t="n">
        <f aca="false">AX361+AX372</f>
        <v>3282526.62228924</v>
      </c>
      <c r="AY381" s="13" t="n">
        <f aca="false">AY361+AY372</f>
        <v>2831239.6456441</v>
      </c>
      <c r="AZ381" s="13" t="n">
        <f aca="false">AZ361+AZ372</f>
        <v>2379952.66899895</v>
      </c>
      <c r="BA381" s="13" t="n">
        <f aca="false">BA361+BA372</f>
        <v>1928665.69235381</v>
      </c>
      <c r="BB381" s="13" t="n">
        <f aca="false">BB361+BB372</f>
        <v>1466000.20299926</v>
      </c>
      <c r="BC381" s="13" t="n">
        <f aca="false">BC361+BC372</f>
        <v>1003334.71364471</v>
      </c>
      <c r="BD381" s="13" t="n">
        <f aca="false">BD361+BD372</f>
        <v>540669.224290162</v>
      </c>
      <c r="BE381" s="13" t="n">
        <f aca="false">BE361+BE372</f>
        <v>78003.7349356134</v>
      </c>
      <c r="BF381" s="13" t="n">
        <f aca="false">BF361+BF372</f>
        <v>-384661.754418936</v>
      </c>
      <c r="BG381" s="13" t="n">
        <f aca="false">BG361+BG372</f>
        <v>-847327.243773485</v>
      </c>
      <c r="BH381" s="13" t="n">
        <f aca="false">BH361+BH372</f>
        <v>-1309992.73312803</v>
      </c>
      <c r="BI381" s="13" t="n">
        <f aca="false">BI361+BI372</f>
        <v>-1536168.76117976</v>
      </c>
      <c r="BJ381" s="13" t="n">
        <f aca="false">BJ361+BJ372</f>
        <v>-1742014.99343528</v>
      </c>
      <c r="BK381" s="13" t="n">
        <f aca="false">BK361+BK372</f>
        <v>-2354457.14161495</v>
      </c>
      <c r="BL381" s="13" t="n">
        <f aca="false">BL361+BL372</f>
        <v>-2966899.28979462</v>
      </c>
      <c r="BM381" s="13" t="n">
        <f aca="false">BM361+BM372</f>
        <v>-3579341.43797429</v>
      </c>
      <c r="BN381" s="13" t="n">
        <f aca="false">BN361+BN372</f>
        <v>-4203389.66911755</v>
      </c>
      <c r="BO381" s="13" t="n">
        <f aca="false">BO361+BO372</f>
        <v>-4827437.90026082</v>
      </c>
      <c r="BP381" s="13" t="n">
        <f aca="false">BP361+BP372</f>
        <v>-5451486.13140408</v>
      </c>
      <c r="BQ381" s="13" t="n">
        <f aca="false">BQ361+BQ372</f>
        <v>-6075534.36254734</v>
      </c>
      <c r="BR381" s="13" t="n">
        <f aca="false">BR361+BR372</f>
        <v>-6699582.59369061</v>
      </c>
      <c r="BS381" s="13" t="n">
        <f aca="false">BS361+BS372</f>
        <v>-7270380.47483387</v>
      </c>
      <c r="BT381" s="13" t="n">
        <f aca="false">BT361+BT372</f>
        <v>-7894428.70597713</v>
      </c>
      <c r="BU381" s="13" t="n">
        <f aca="false">BU361+BU372</f>
        <v>-8518476.9371204</v>
      </c>
      <c r="BV381" s="13" t="n">
        <f aca="false">BV361+BV372</f>
        <v>-9074763.16826366</v>
      </c>
      <c r="BW381" s="13" t="n">
        <f aca="false">BW361+BW372</f>
        <v>-9698811.39940692</v>
      </c>
      <c r="BX381" s="13" t="n">
        <f aca="false">BX361+BX372</f>
        <v>-10322859.6305502</v>
      </c>
      <c r="BY381" s="13" t="n">
        <f aca="false">BY361+BY372</f>
        <v>-10879145.8616935</v>
      </c>
      <c r="BZ381" s="13" t="n">
        <f aca="false">BZ361+BZ372</f>
        <v>-11515032.2974596</v>
      </c>
      <c r="CA381" s="13" t="n">
        <f aca="false">CA361+CA372</f>
        <v>-12150918.7332257</v>
      </c>
      <c r="CB381" s="13" t="n">
        <f aca="false">CB361+CB372</f>
        <v>-12719043.1689918</v>
      </c>
      <c r="CC381" s="13" t="n">
        <f aca="false">CC361+CC372</f>
        <v>-13354929.604758</v>
      </c>
      <c r="CD381" s="13" t="n">
        <f aca="false">CD361+CD372</f>
        <v>-13990816.0405241</v>
      </c>
      <c r="CE381" s="13" t="n">
        <f aca="false">CE361+CE372</f>
        <v>-14550203.4762902</v>
      </c>
      <c r="CF381" s="13" t="n">
        <f aca="false">CF361+CF372</f>
        <v>-15186089.9120564</v>
      </c>
      <c r="CG381" s="13" t="n">
        <f aca="false">CG361+CG372</f>
        <v>-15821976.3478225</v>
      </c>
      <c r="CH381" s="13" t="n">
        <f aca="false">CH361+CH372</f>
        <v>-16381363.7835886</v>
      </c>
      <c r="CI381" s="13" t="n">
        <f aca="false">CI361+CI372</f>
        <v>-17017250.2193547</v>
      </c>
      <c r="CJ381" s="13" t="n">
        <f aca="false">CJ361+CJ372</f>
        <v>-17653136.6551209</v>
      </c>
      <c r="CK381" s="13" t="n">
        <f aca="false">CK361+CK372</f>
        <v>-18205916.0642805</v>
      </c>
      <c r="CL381" s="13" t="n">
        <f aca="false">CL361+CL372</f>
        <v>-18696016.468762</v>
      </c>
      <c r="CM381" s="13" t="n">
        <f aca="false">CM361+CM372</f>
        <v>-19186116.8732434</v>
      </c>
      <c r="CN381" s="13" t="n">
        <f aca="false">CN361+CN372</f>
        <v>-19676217.2777249</v>
      </c>
      <c r="CO381" s="13" t="n">
        <f aca="false">CO361+CO372</f>
        <v>-20166317.6822063</v>
      </c>
      <c r="CP381" s="13" t="n">
        <f aca="false">CP361+CP372</f>
        <v>-20656418.0866878</v>
      </c>
      <c r="CQ381" s="13" t="n">
        <f aca="false">CQ361+CQ372</f>
        <v>-21146518.4911692</v>
      </c>
      <c r="CR381" s="13" t="n">
        <f aca="false">CR361+CR372</f>
        <v>-21636618.8956507</v>
      </c>
      <c r="CS381" s="13" t="n">
        <f aca="false">CS361+CS372</f>
        <v>-22126719.3001321</v>
      </c>
      <c r="CT381" s="13" t="n">
        <f aca="false">CT361+CT372</f>
        <v>-22616819.7046136</v>
      </c>
      <c r="CU381" s="13" t="n">
        <f aca="false">CU361+CU372</f>
        <v>-23060656.3500549</v>
      </c>
      <c r="CV381" s="13" t="n">
        <f aca="false">CV361+CV372</f>
        <v>-23504492.9954962</v>
      </c>
      <c r="CW381" s="13" t="n">
        <f aca="false">CW361+CW372</f>
        <v>-23948329.6409375</v>
      </c>
      <c r="CX381" s="13" t="n">
        <f aca="false">CX361+CX372</f>
        <v>-24347849.328224</v>
      </c>
      <c r="CY381" s="13" t="n">
        <f aca="false">CY361+CY372</f>
        <v>-24729922.1665742</v>
      </c>
      <c r="CZ381" s="13" t="n">
        <f aca="false">CZ361+CZ372</f>
        <v>-25111995.0049243</v>
      </c>
      <c r="DA381" s="13" t="n">
        <f aca="false">DA361+DA372</f>
        <v>-25494067.8432745</v>
      </c>
      <c r="DB381" s="13" t="n">
        <f aca="false">DB361+DB372</f>
        <v>-25876140.6816246</v>
      </c>
      <c r="DC381" s="13" t="n">
        <f aca="false">DC361+DC372</f>
        <v>-26258213.5199747</v>
      </c>
      <c r="DD381" s="13" t="n">
        <f aca="false">DD361+DD372</f>
        <v>-26640286.3583249</v>
      </c>
      <c r="DE381" s="13" t="n">
        <f aca="false">DE361+DE372</f>
        <v>-27022359.196675</v>
      </c>
    </row>
    <row r="382" customFormat="false" ht="15" hidden="false" customHeight="true" outlineLevel="0" collapsed="false">
      <c r="A382" s="22" t="s">
        <v>204</v>
      </c>
      <c r="B382" s="13"/>
      <c r="C382" s="13"/>
      <c r="D382" s="13"/>
      <c r="E382" s="13"/>
      <c r="F382" s="13"/>
      <c r="G382" s="13"/>
      <c r="H382" s="13"/>
      <c r="I382" s="13"/>
      <c r="J382" s="13" t="n">
        <v>0</v>
      </c>
      <c r="K382" s="13" t="n">
        <v>0</v>
      </c>
      <c r="L382" s="13" t="n">
        <v>0</v>
      </c>
      <c r="M382" s="13" t="n">
        <v>0</v>
      </c>
      <c r="N382" s="13" t="n">
        <v>0</v>
      </c>
      <c r="O382" s="13" t="n">
        <v>0</v>
      </c>
      <c r="P382" s="13" t="n">
        <f aca="false">IF((B308+C308+D308+E308+F308+G308+H308+I308+J308+K308+L308+M308)&gt;0,-(B308+C308+D308+E308+F308+G308+H308+I308+J308+K308+L308+M308)*0.503,0)</f>
        <v>-228839.646490721</v>
      </c>
      <c r="Q382" s="13" t="n">
        <v>0</v>
      </c>
      <c r="R382" s="13" t="n">
        <v>0</v>
      </c>
      <c r="S382" s="13" t="n">
        <v>0</v>
      </c>
      <c r="T382" s="13" t="n">
        <v>0</v>
      </c>
      <c r="U382" s="13" t="n">
        <v>0</v>
      </c>
      <c r="V382" s="13" t="n">
        <v>0</v>
      </c>
      <c r="W382" s="13" t="n">
        <v>0</v>
      </c>
      <c r="X382" s="13" t="n">
        <v>0</v>
      </c>
      <c r="Y382" s="13" t="n">
        <v>0</v>
      </c>
      <c r="Z382" s="13" t="n">
        <v>0</v>
      </c>
      <c r="AA382" s="13" t="n">
        <v>0</v>
      </c>
      <c r="AB382" s="13" t="n">
        <f aca="false">IF((N308+O308+P308+Q308+R308+S308+T308+U308+V308+W308+X308+Y308)&gt;0,-(N308+O308+P308+Q308+R308+S308+T308+U308+V308+W308+X308+Y308)*0.503,0)</f>
        <v>-1241123.12775383</v>
      </c>
      <c r="AC382" s="13" t="n">
        <v>0</v>
      </c>
      <c r="AD382" s="13" t="n">
        <v>0</v>
      </c>
      <c r="AE382" s="13" t="n">
        <v>0</v>
      </c>
      <c r="AF382" s="13" t="n">
        <v>0</v>
      </c>
      <c r="AG382" s="13" t="n">
        <v>0</v>
      </c>
      <c r="AH382" s="13" t="n">
        <v>0</v>
      </c>
      <c r="AI382" s="13" t="n">
        <v>0</v>
      </c>
      <c r="AJ382" s="13" t="n">
        <v>0</v>
      </c>
      <c r="AK382" s="13" t="n">
        <v>0</v>
      </c>
      <c r="AL382" s="13" t="n">
        <v>0</v>
      </c>
      <c r="AM382" s="13" t="n">
        <v>0</v>
      </c>
      <c r="AN382" s="13" t="n">
        <f aca="false">IF((Z308+AA308+AB308+AC308+AD308+AE308+AF308+AG308+AH308+AI308+AJ308+AK308)&gt;0,-(Z308+AA308+AB308+AC308+AD308+AE308+AF308+AG308+AH308+AI308+AJ308+AK308)*0.503,0)</f>
        <v>-1968386.36639399</v>
      </c>
      <c r="AO382" s="13" t="n">
        <v>0</v>
      </c>
      <c r="AP382" s="13" t="n">
        <v>0</v>
      </c>
      <c r="AQ382" s="13" t="n">
        <v>0</v>
      </c>
      <c r="AR382" s="13" t="n">
        <v>0</v>
      </c>
      <c r="AS382" s="13" t="n">
        <v>0</v>
      </c>
      <c r="AT382" s="13" t="n">
        <v>0</v>
      </c>
      <c r="AU382" s="13" t="n">
        <v>0</v>
      </c>
      <c r="AV382" s="13" t="n">
        <v>0</v>
      </c>
      <c r="AW382" s="13" t="n">
        <v>0</v>
      </c>
      <c r="AX382" s="13" t="n">
        <v>0</v>
      </c>
      <c r="AY382" s="13" t="n">
        <v>0</v>
      </c>
      <c r="AZ382" s="13" t="n">
        <f aca="false">IF((AL308+AM308+AN308+AO308+AP308+AQ308+AR308+AS308+AT308+AU308+AV308+AW308)&gt;0,-(AL308+AM308+AN308+AO308+AP308+AQ308+AR308+AS308+AT308+AU308+AV308+AW308)*0.503,0)</f>
        <v>0</v>
      </c>
      <c r="BA382" s="13" t="n">
        <v>0</v>
      </c>
      <c r="BB382" s="13" t="n">
        <v>0</v>
      </c>
      <c r="BC382" s="13" t="n">
        <v>0</v>
      </c>
      <c r="BD382" s="13" t="n">
        <v>0</v>
      </c>
      <c r="BE382" s="13" t="n">
        <v>0</v>
      </c>
      <c r="BF382" s="13" t="n">
        <v>0</v>
      </c>
      <c r="BG382" s="13" t="n">
        <v>0</v>
      </c>
      <c r="BH382" s="13" t="n">
        <v>0</v>
      </c>
      <c r="BI382" s="13" t="n">
        <v>0</v>
      </c>
      <c r="BJ382" s="13" t="n">
        <v>0</v>
      </c>
      <c r="BK382" s="13" t="n">
        <v>0</v>
      </c>
      <c r="BL382" s="13" t="n">
        <f aca="false">IF((AX308+AY308+AZ308+BA308+BB308+BC308+BD308+BE308+BF308+BG308+BH308+BI308)&gt;0,-(AX308+AY308+AZ308+BA308+BB308+BC308+BD308+BE308+BF308+BG308+BH308+BI308)*0.503,0)</f>
        <v>0</v>
      </c>
      <c r="BM382" s="13" t="n">
        <v>0</v>
      </c>
      <c r="BN382" s="13" t="n">
        <v>0</v>
      </c>
      <c r="BO382" s="13" t="n">
        <v>0</v>
      </c>
      <c r="BP382" s="13" t="n">
        <v>0</v>
      </c>
      <c r="BQ382" s="13" t="n">
        <v>0</v>
      </c>
      <c r="BR382" s="13" t="n">
        <v>0</v>
      </c>
      <c r="BS382" s="13" t="n">
        <v>0</v>
      </c>
      <c r="BT382" s="13" t="n">
        <v>0</v>
      </c>
      <c r="BU382" s="13" t="n">
        <v>0</v>
      </c>
      <c r="BV382" s="13" t="n">
        <v>0</v>
      </c>
      <c r="BW382" s="13" t="n">
        <v>0</v>
      </c>
      <c r="BX382" s="13" t="n">
        <f aca="false">IF((BJ308+BK308+BL308+BM308+BN308+BO308+BP308+BQ308+BR308+BS308+BT308+BU308)&gt;0,-(BJ308+BK308+BL308+BM308+BN308+BO308+BP308+BQ308+BR308+BS308+BT308+BU308)*0.503,0)</f>
        <v>0</v>
      </c>
      <c r="BY382" s="13" t="n">
        <v>0</v>
      </c>
      <c r="BZ382" s="13" t="n">
        <v>0</v>
      </c>
      <c r="CA382" s="13" t="n">
        <v>0</v>
      </c>
      <c r="CB382" s="13" t="n">
        <v>0</v>
      </c>
      <c r="CC382" s="13" t="n">
        <v>0</v>
      </c>
      <c r="CD382" s="13" t="n">
        <v>0</v>
      </c>
      <c r="CE382" s="13" t="n">
        <v>0</v>
      </c>
      <c r="CF382" s="13" t="n">
        <v>0</v>
      </c>
      <c r="CG382" s="13" t="n">
        <v>0</v>
      </c>
      <c r="CH382" s="13" t="n">
        <v>0</v>
      </c>
      <c r="CI382" s="13" t="n">
        <v>0</v>
      </c>
      <c r="CJ382" s="13" t="n">
        <f aca="false">IF((BV308+BW308+BX308+BY308+BZ308+CA308+CB308+CC308+CD308+CE308+CF308+CG308)&gt;0,-(BV308+BW308+BX308+BY308+BZ308+CA308+CB308+CC308+CD308+CE308+CF308+CG308)*0.503,0)</f>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205</v>
      </c>
      <c r="B383" s="68"/>
      <c r="C383" s="68"/>
      <c r="D383" s="68"/>
      <c r="E383" s="68"/>
      <c r="F383" s="68"/>
      <c r="G383" s="68"/>
      <c r="H383" s="68"/>
      <c r="I383" s="68"/>
      <c r="J383" s="68" t="n">
        <f aca="false">J369+J378+J382</f>
        <v>1625067.18212404</v>
      </c>
      <c r="K383" s="68" t="n">
        <f aca="false">K369+K378+K382</f>
        <v>1974023.90060204</v>
      </c>
      <c r="L383" s="68" t="n">
        <f aca="false">L369+L378+L382</f>
        <v>2262823.00851452</v>
      </c>
      <c r="M383" s="68" t="n">
        <f aca="false">M369+M378+M382</f>
        <v>2194441.66598602</v>
      </c>
      <c r="N383" s="68" t="n">
        <f aca="false">N369+N378+N382</f>
        <v>1047233.50863443</v>
      </c>
      <c r="O383" s="68" t="n">
        <f aca="false">O369+O378+O382</f>
        <v>1146599.00632778</v>
      </c>
      <c r="P383" s="68" t="n">
        <f aca="false">P369+P378+P382</f>
        <v>973918.630544363</v>
      </c>
      <c r="Q383" s="68" t="n">
        <f aca="false">Q369+Q378+Q382</f>
        <v>1229067.634063</v>
      </c>
      <c r="R383" s="68" t="n">
        <f aca="false">R369+R378+R382</f>
        <v>942768.197279849</v>
      </c>
      <c r="S383" s="68" t="n">
        <f aca="false">S369+S378+S382</f>
        <v>773103.707458058</v>
      </c>
      <c r="T383" s="68" t="n">
        <f aca="false">T369+T378+T382</f>
        <v>79524.5833289512</v>
      </c>
      <c r="U383" s="68" t="n">
        <f aca="false">U369+U378+U382</f>
        <v>391947.486364868</v>
      </c>
      <c r="V383" s="68" t="n">
        <f aca="false">V369+V378+V382</f>
        <v>664854.881795547</v>
      </c>
      <c r="W383" s="68" t="n">
        <f aca="false">W369+W378+W382</f>
        <v>816290.171829276</v>
      </c>
      <c r="X383" s="68" t="n">
        <f aca="false">X369+X378+X382</f>
        <v>849027.697687637</v>
      </c>
      <c r="Y383" s="68" t="n">
        <f aca="false">Y369+Y378+Y382</f>
        <v>1358951.76040807</v>
      </c>
      <c r="Z383" s="68" t="n">
        <f aca="false">Z369+Z378+Z382</f>
        <v>1642992.08707387</v>
      </c>
      <c r="AA383" s="68" t="n">
        <f aca="false">AA369+AA378+AA382</f>
        <v>1888200.35357161</v>
      </c>
      <c r="AB383" s="68" t="n">
        <f aca="false">AB369+AB378+AB382</f>
        <v>1235491.71678537</v>
      </c>
      <c r="AC383" s="68" t="n">
        <f aca="false">AC369+AC378+AC382</f>
        <v>2738680.22290235</v>
      </c>
      <c r="AD383" s="68" t="n">
        <f aca="false">AD369+AD378+AD382</f>
        <v>2792318.33398349</v>
      </c>
      <c r="AE383" s="68" t="n">
        <f aca="false">AE369+AE378+AE382</f>
        <v>2961178.03455029</v>
      </c>
      <c r="AF383" s="68" t="n">
        <f aca="false">AF369+AF378+AF382</f>
        <v>2698580.98969129</v>
      </c>
      <c r="AG383" s="68" t="n">
        <f aca="false">AG369+AG378+AG382</f>
        <v>3259340.87837988</v>
      </c>
      <c r="AH383" s="68" t="n">
        <f aca="false">AH369+AH378+AH382</f>
        <v>3812075.75848965</v>
      </c>
      <c r="AI383" s="68" t="n">
        <f aca="false">AI369+AI378+AI382</f>
        <v>4246365.87346727</v>
      </c>
      <c r="AJ383" s="68" t="n">
        <f aca="false">AJ369+AJ378+AJ382</f>
        <v>4649857.29144195</v>
      </c>
      <c r="AK383" s="68" t="n">
        <f aca="false">AK369+AK378+AK382</f>
        <v>4950385.49529664</v>
      </c>
      <c r="AL383" s="68" t="n">
        <f aca="false">AL369+AL378+AL382</f>
        <v>4848082.54715358</v>
      </c>
      <c r="AM383" s="68" t="n">
        <f aca="false">AM369+AM378+AM382</f>
        <v>4524359.8664336</v>
      </c>
      <c r="AN383" s="68" t="n">
        <f aca="false">AN369+AN378+AN382</f>
        <v>2881190.98092144</v>
      </c>
      <c r="AO383" s="68" t="n">
        <f aca="false">AO369+AO378+AO382</f>
        <v>4898193.74323875</v>
      </c>
      <c r="AP383" s="68" t="n">
        <f aca="false">AP369+AP378+AP382</f>
        <v>4763556.78479796</v>
      </c>
      <c r="AQ383" s="68" t="n">
        <f aca="false">AQ369+AQ378+AQ382</f>
        <v>4466599.91739179</v>
      </c>
      <c r="AR383" s="68" t="n">
        <f aca="false">AR369+AR378+AR382</f>
        <v>4179258.434601</v>
      </c>
      <c r="AS383" s="68" t="n">
        <f aca="false">AS369+AS378+AS382</f>
        <v>3891916.95181021</v>
      </c>
      <c r="AT383" s="68" t="n">
        <f aca="false">AT369+AT378+AT382</f>
        <v>3604575.46901942</v>
      </c>
      <c r="AU383" s="68" t="n">
        <f aca="false">AU369+AU378+AU382</f>
        <v>3317233.98622863</v>
      </c>
      <c r="AV383" s="68" t="n">
        <f aca="false">AV369+AV378+AV382</f>
        <v>3288753.80952367</v>
      </c>
      <c r="AW383" s="68" t="n">
        <f aca="false">AW369+AW378+AW382</f>
        <v>3282526.62228924</v>
      </c>
      <c r="AX383" s="68" t="n">
        <f aca="false">AX369+AX378+AX382</f>
        <v>2831239.6456441</v>
      </c>
      <c r="AY383" s="68" t="n">
        <f aca="false">AY369+AY378+AY382</f>
        <v>2379952.66899895</v>
      </c>
      <c r="AZ383" s="68" t="n">
        <f aca="false">AZ369+AZ378+AZ382</f>
        <v>1928665.69235381</v>
      </c>
      <c r="BA383" s="68" t="n">
        <f aca="false">BA369+BA378+BA382</f>
        <v>1466000.20299926</v>
      </c>
      <c r="BB383" s="68" t="n">
        <f aca="false">BB369+BB378+BB382</f>
        <v>1003334.71364471</v>
      </c>
      <c r="BC383" s="68" t="n">
        <f aca="false">BC369+BC378+BC382</f>
        <v>540669.224290162</v>
      </c>
      <c r="BD383" s="68" t="n">
        <f aca="false">BD369+BD378+BD382</f>
        <v>78003.7349356134</v>
      </c>
      <c r="BE383" s="68" t="n">
        <f aca="false">BE369+BE378+BE382</f>
        <v>-384661.754418936</v>
      </c>
      <c r="BF383" s="68" t="n">
        <f aca="false">BF369+BF378+BF382</f>
        <v>-847327.243773485</v>
      </c>
      <c r="BG383" s="68" t="n">
        <f aca="false">BG369+BG378+BG382</f>
        <v>-1309992.73312803</v>
      </c>
      <c r="BH383" s="68" t="n">
        <f aca="false">BH369+BH378+BH382</f>
        <v>-1536168.76117976</v>
      </c>
      <c r="BI383" s="68" t="n">
        <f aca="false">BI369+BI378+BI382</f>
        <v>-1742014.99343528</v>
      </c>
      <c r="BJ383" s="68" t="n">
        <f aca="false">BJ369+BJ378+BJ382</f>
        <v>-2354457.14161495</v>
      </c>
      <c r="BK383" s="68" t="n">
        <f aca="false">BK369+BK378+BK382</f>
        <v>-2966899.28979462</v>
      </c>
      <c r="BL383" s="68" t="n">
        <f aca="false">BL369+BL378+BL382</f>
        <v>-3579341.43797429</v>
      </c>
      <c r="BM383" s="68" t="n">
        <f aca="false">BM369+BM378+BM382</f>
        <v>-4203389.66911755</v>
      </c>
      <c r="BN383" s="68" t="n">
        <f aca="false">BN369+BN378+BN382</f>
        <v>-4827437.90026082</v>
      </c>
      <c r="BO383" s="68" t="n">
        <f aca="false">BO369+BO378+BO382</f>
        <v>-5451486.13140408</v>
      </c>
      <c r="BP383" s="68" t="n">
        <f aca="false">BP369+BP378+BP382</f>
        <v>-6075534.36254734</v>
      </c>
      <c r="BQ383" s="68" t="n">
        <f aca="false">BQ369+BQ378+BQ382</f>
        <v>-6699582.59369061</v>
      </c>
      <c r="BR383" s="68" t="n">
        <f aca="false">BR369+BR378+BR382</f>
        <v>-7270380.47483387</v>
      </c>
      <c r="BS383" s="68" t="n">
        <f aca="false">BS369+BS378+BS382</f>
        <v>-7894428.70597713</v>
      </c>
      <c r="BT383" s="68" t="n">
        <f aca="false">BT369+BT378+BT382</f>
        <v>-8518476.9371204</v>
      </c>
      <c r="BU383" s="68" t="n">
        <f aca="false">BU369+BU378+BU382</f>
        <v>-9074763.16826366</v>
      </c>
      <c r="BV383" s="68" t="n">
        <f aca="false">BV369+BV378+BV382</f>
        <v>-9698811.39940692</v>
      </c>
      <c r="BW383" s="68" t="n">
        <f aca="false">BW369+BW378+BW382</f>
        <v>-10322859.6305502</v>
      </c>
      <c r="BX383" s="68" t="n">
        <f aca="false">BX369+BX378+BX382</f>
        <v>-10879145.8616935</v>
      </c>
      <c r="BY383" s="68" t="n">
        <f aca="false">BY369+BY378+BY382</f>
        <v>-11515032.2974596</v>
      </c>
      <c r="BZ383" s="68" t="n">
        <f aca="false">BZ369+BZ378+BZ382</f>
        <v>-12150918.7332257</v>
      </c>
      <c r="CA383" s="68" t="n">
        <f aca="false">CA369+CA378+CA382</f>
        <v>-12719043.1689918</v>
      </c>
      <c r="CB383" s="68" t="n">
        <f aca="false">CB369+CB378+CB382</f>
        <v>-13354929.604758</v>
      </c>
      <c r="CC383" s="68" t="n">
        <f aca="false">CC369+CC378+CC382</f>
        <v>-13990816.0405241</v>
      </c>
      <c r="CD383" s="68" t="n">
        <f aca="false">CD369+CD378+CD382</f>
        <v>-14550203.4762902</v>
      </c>
      <c r="CE383" s="68" t="n">
        <f aca="false">CE369+CE378+CE382</f>
        <v>-15186089.9120564</v>
      </c>
      <c r="CF383" s="68" t="n">
        <f aca="false">CF369+CF378+CF382</f>
        <v>-15821976.3478225</v>
      </c>
      <c r="CG383" s="68" t="n">
        <f aca="false">CG369+CG378+CG382</f>
        <v>-16381363.7835886</v>
      </c>
      <c r="CH383" s="68" t="n">
        <f aca="false">CH369+CH378+CH382</f>
        <v>-17017250.2193547</v>
      </c>
      <c r="CI383" s="68" t="n">
        <f aca="false">CI369+CI378+CI382</f>
        <v>-17653136.6551209</v>
      </c>
      <c r="CJ383" s="68" t="n">
        <f aca="false">CJ369+CJ378+CJ382</f>
        <v>-18205916.0642805</v>
      </c>
      <c r="CK383" s="68" t="n">
        <f aca="false">CK369+CK378+CK382</f>
        <v>-18696016.468762</v>
      </c>
      <c r="CL383" s="68" t="n">
        <f aca="false">CL369+CL378+CL382</f>
        <v>-19186116.8732434</v>
      </c>
      <c r="CM383" s="68" t="n">
        <f aca="false">CM369+CM378+CM382</f>
        <v>-19676217.2777249</v>
      </c>
      <c r="CN383" s="68" t="n">
        <f aca="false">CN369+CN378+CN382</f>
        <v>-20166317.6822063</v>
      </c>
      <c r="CO383" s="68" t="n">
        <f aca="false">CO369+CO378+CO382</f>
        <v>-20656418.0866878</v>
      </c>
      <c r="CP383" s="68" t="n">
        <f aca="false">CP369+CP378+CP382</f>
        <v>-21146518.4911692</v>
      </c>
      <c r="CQ383" s="68" t="n">
        <f aca="false">CQ369+CQ378+CQ382</f>
        <v>-21636618.8956507</v>
      </c>
      <c r="CR383" s="68" t="n">
        <f aca="false">CR369+CR378+CR382</f>
        <v>-22126719.3001321</v>
      </c>
      <c r="CS383" s="68" t="n">
        <f aca="false">CS369+CS378+CS382</f>
        <v>-22616819.7046136</v>
      </c>
      <c r="CT383" s="68" t="n">
        <f aca="false">CT369+CT378+CT382</f>
        <v>-23060656.3500549</v>
      </c>
      <c r="CU383" s="68" t="n">
        <f aca="false">CU369+CU378+CU382</f>
        <v>-23504492.9954962</v>
      </c>
      <c r="CV383" s="68" t="n">
        <f aca="false">CV369+CV378+CV382</f>
        <v>-23948329.6409375</v>
      </c>
      <c r="CW383" s="68" t="n">
        <f aca="false">CW369+CW378+CW382</f>
        <v>-24347849.328224</v>
      </c>
      <c r="CX383" s="68" t="n">
        <f aca="false">CX369+CX378+CX382</f>
        <v>-24729922.1665742</v>
      </c>
      <c r="CY383" s="68" t="n">
        <f aca="false">CY369+CY378+CY382</f>
        <v>-25111995.0049243</v>
      </c>
      <c r="CZ383" s="68" t="n">
        <f aca="false">CZ369+CZ378+CZ382</f>
        <v>-25494067.8432745</v>
      </c>
      <c r="DA383" s="68" t="n">
        <f aca="false">DA369+DA378+DA382</f>
        <v>-25876140.6816246</v>
      </c>
      <c r="DB383" s="68" t="n">
        <f aca="false">DB369+DB378+DB382</f>
        <v>-26258213.5199747</v>
      </c>
      <c r="DC383" s="68" t="n">
        <f aca="false">DC369+DC378+DC382</f>
        <v>-26640286.3583249</v>
      </c>
      <c r="DD383" s="68" t="n">
        <f aca="false">DD369+DD378+DD382</f>
        <v>-27022359.196675</v>
      </c>
      <c r="DE383" s="68" t="n">
        <f aca="false">DE369+DE378+DE382</f>
        <v>-27404432.0350252</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206</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207</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208</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211</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212</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213</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214</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215</v>
      </c>
      <c r="B397" s="73" t="n">
        <v>680024</v>
      </c>
      <c r="C397" s="73" t="n">
        <v>115848</v>
      </c>
      <c r="D397" s="73" t="n">
        <v>633520</v>
      </c>
      <c r="E397" s="73" t="n">
        <v>394004</v>
      </c>
      <c r="F397" s="73" t="n">
        <v>501967</v>
      </c>
      <c r="G397" s="73" t="n">
        <v>306139</v>
      </c>
      <c r="H397" s="73" t="n">
        <v>283340</v>
      </c>
      <c r="I397" s="73" t="n">
        <v>1287106</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216</v>
      </c>
      <c r="B398" s="73" t="n">
        <v>340025.08</v>
      </c>
      <c r="C398" s="73" t="n">
        <v>-261834.01</v>
      </c>
      <c r="D398" s="73" t="n">
        <v>193556.06</v>
      </c>
      <c r="E398" s="73" t="n">
        <v>189693.03</v>
      </c>
      <c r="F398" s="73" t="n">
        <v>158202.61</v>
      </c>
      <c r="G398" s="73" t="n">
        <v>93567.49</v>
      </c>
      <c r="H398" s="73" t="n">
        <v>-24341.08</v>
      </c>
      <c r="I398" s="73" t="n">
        <v>539859.24</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217</v>
      </c>
      <c r="B399" s="73" t="n">
        <v>250140</v>
      </c>
      <c r="C399" s="73" t="n">
        <v>142.7</v>
      </c>
      <c r="D399" s="73" t="n">
        <v>142.7</v>
      </c>
      <c r="E399" s="73" t="n">
        <v>142.7</v>
      </c>
      <c r="F399" s="73" t="n">
        <v>142.7</v>
      </c>
      <c r="G399" s="73" t="n">
        <v>142.7</v>
      </c>
      <c r="H399" s="73" t="n">
        <v>142.7</v>
      </c>
      <c r="I399" s="73" t="n">
        <v>142.7</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218</v>
      </c>
      <c r="B400" s="73" t="n">
        <v>89759.22</v>
      </c>
      <c r="C400" s="73" t="n">
        <v>377339.45</v>
      </c>
      <c r="D400" s="73" t="n">
        <v>439621.63</v>
      </c>
      <c r="E400" s="73" t="n">
        <v>203968.72</v>
      </c>
      <c r="F400" s="73" t="n">
        <v>343421.93</v>
      </c>
      <c r="G400" s="73" t="n">
        <v>212228.57</v>
      </c>
      <c r="H400" s="73" t="n">
        <v>307338.39</v>
      </c>
      <c r="I400" s="73" t="n">
        <v>746904.15</v>
      </c>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100</v>
      </c>
      <c r="C401" s="73" t="n">
        <v>200</v>
      </c>
      <c r="D401" s="73" t="n">
        <v>200</v>
      </c>
      <c r="E401" s="73" t="n">
        <v>200</v>
      </c>
      <c r="F401" s="73" t="n">
        <v>200</v>
      </c>
      <c r="G401" s="73" t="n">
        <v>200</v>
      </c>
      <c r="H401" s="73" t="n">
        <v>200</v>
      </c>
      <c r="I401" s="73" t="n">
        <v>200</v>
      </c>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str">
        <f aca="false">IF(J397="","",ROUND(SUM(J398:J401)-J397,0))</f>
        <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221</v>
      </c>
      <c r="B403" s="73" t="n">
        <v>378187</v>
      </c>
      <c r="C403" s="73" t="n">
        <v>110882</v>
      </c>
      <c r="D403" s="73" t="n">
        <v>171148</v>
      </c>
      <c r="E403" s="73" t="n">
        <v>368691</v>
      </c>
      <c r="F403" s="73" t="n">
        <v>343251</v>
      </c>
      <c r="G403" s="73" t="n">
        <v>665368</v>
      </c>
      <c r="H403" s="73" t="n">
        <v>122223</v>
      </c>
      <c r="I403" s="73" t="n">
        <v>658190</v>
      </c>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369156.23</v>
      </c>
      <c r="C404" s="73" t="n">
        <v>110746.48</v>
      </c>
      <c r="D404" s="73" t="n">
        <v>171012.63</v>
      </c>
      <c r="E404" s="73" t="n">
        <v>368555.41</v>
      </c>
      <c r="F404" s="73" t="n">
        <v>343114.99</v>
      </c>
      <c r="G404" s="73" t="n">
        <v>665232.34</v>
      </c>
      <c r="H404" s="73" t="n">
        <v>122087.33</v>
      </c>
      <c r="I404" s="73" t="n">
        <v>658065.75</v>
      </c>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3" t="n">
        <v>23.76</v>
      </c>
      <c r="C405" s="73" t="n">
        <v>23.76</v>
      </c>
      <c r="D405" s="73" t="n">
        <v>23.76</v>
      </c>
      <c r="E405" s="73" t="n">
        <v>23.76</v>
      </c>
      <c r="F405" s="73" t="n">
        <v>23.76</v>
      </c>
      <c r="G405" s="73" t="n">
        <v>23.76</v>
      </c>
      <c r="H405" s="73" t="n">
        <v>23.76</v>
      </c>
      <c r="I405" s="73" t="n">
        <v>23.76</v>
      </c>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224</v>
      </c>
      <c r="B406" s="73" t="n">
        <v>9006.61</v>
      </c>
      <c r="C406" s="73" t="n">
        <v>112</v>
      </c>
      <c r="D406" s="73" t="n">
        <v>112</v>
      </c>
      <c r="E406" s="73" t="n">
        <v>112</v>
      </c>
      <c r="F406" s="73" t="n">
        <v>112</v>
      </c>
      <c r="G406" s="73" t="n">
        <v>112</v>
      </c>
      <c r="H406" s="73" t="n">
        <v>112</v>
      </c>
      <c r="I406" s="73" t="n">
        <v>100.49</v>
      </c>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str">
        <f aca="false">IF(J403="","",ROUND(SUM(J404:J406)-J403,0))</f>
        <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226</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str">
        <f aca="false">IF(J397="","",J397+J403)</f>
        <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227</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228</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str">
        <f aca="false">IF(J397="","",J397)</f>
        <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3.5" hidden="false" customHeight="true" outlineLevel="0" collapsed="false">
      <c r="A412" s="22" t="s">
        <v>229</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n">
        <f aca="false">IF(I$4="Actuals",IF(J$4="Actuals","",J361),I369)</f>
        <v>1287106</v>
      </c>
      <c r="J412" s="13" t="n">
        <f aca="false">IF(J$4="Actuals",IF(K$4="Actuals","",K361),J369)</f>
        <v>1121321.7942407</v>
      </c>
      <c r="K412" s="13" t="n">
        <f aca="false">IF(K$4="Actuals",IF(L$4="Actuals","",L361),K369)</f>
        <v>1624723.12483538</v>
      </c>
      <c r="L412" s="13" t="n">
        <f aca="false">IF(L$4="Actuals",IF(M$4="Actuals","",M361),L369)</f>
        <v>2077341.84486452</v>
      </c>
      <c r="M412" s="13" t="n">
        <f aca="false">IF(M$4="Actuals",IF(N$4="Actuals","",N361),M369)</f>
        <v>2169280.11445269</v>
      </c>
      <c r="N412" s="13" t="n">
        <f aca="false">IF(N$4="Actuals",IF(O$4="Actuals","",O361),N369)</f>
        <v>1282071.57256611</v>
      </c>
      <c r="O412" s="13" t="n">
        <f aca="false">IF(O$4="Actuals",IF(P$4="Actuals","",P361),O369)</f>
        <v>1638278.79098763</v>
      </c>
      <c r="P412" s="13" t="n">
        <f aca="false">IF(P$4="Actuals",IF(Q$4="Actuals","",Q361),P369)</f>
        <v>1950479.9368901</v>
      </c>
      <c r="Q412" s="13" t="n">
        <f aca="false">IF(Q$4="Actuals",IF(R$4="Actuals","",R361),Q369)</f>
        <v>2237197.04704618</v>
      </c>
      <c r="R412" s="13" t="n">
        <f aca="false">IF(R$4="Actuals",IF(S$4="Actuals","",S361),R369)</f>
        <v>2211305.3633912</v>
      </c>
      <c r="S412" s="13" t="n">
        <f aca="false">IF(S$4="Actuals",IF(T$4="Actuals","",T361),S369)</f>
        <v>2302048.62669757</v>
      </c>
      <c r="T412" s="13" t="n">
        <f aca="false">IF(T$4="Actuals",IF(U$4="Actuals","",U361),T369)</f>
        <v>1892783.50569663</v>
      </c>
      <c r="U412" s="13" t="n">
        <f aca="false">IF(U$4="Actuals",IF(V$4="Actuals","",V361),U369)</f>
        <v>2489520.41186072</v>
      </c>
      <c r="V412" s="13" t="n">
        <f aca="false">IF(V$4="Actuals",IF(W$4="Actuals","",W361),V369)</f>
        <v>3046741.81041956</v>
      </c>
      <c r="W412" s="13" t="n">
        <f aca="false">IF(W$4="Actuals",IF(X$4="Actuals","",X361),W369)</f>
        <v>3482491.10358146</v>
      </c>
      <c r="X412" s="13" t="n">
        <f aca="false">IF(X$4="Actuals",IF(Y$4="Actuals","",Y361),X369)</f>
        <v>3799542.63256799</v>
      </c>
      <c r="Y412" s="13" t="n">
        <f aca="false">IF(Y$4="Actuals",IF(Z$4="Actuals","",Z361),Y369)</f>
        <v>4536405.69841659</v>
      </c>
      <c r="Z412" s="13" t="n">
        <f aca="false">IF(Z$4="Actuals",IF(AA$4="Actuals","",AA361),Z369)</f>
        <v>5105190.63526519</v>
      </c>
      <c r="AA412" s="13" t="n">
        <f aca="false">IF(AA$4="Actuals",IF(AB$4="Actuals","",AB361),AA369)</f>
        <v>5885143.51194573</v>
      </c>
      <c r="AB412" s="13" t="n">
        <f aca="false">IF(AB$4="Actuals",IF(AC$4="Actuals","",AC361),AB369)</f>
        <v>6695584.62021421</v>
      </c>
      <c r="AC412" s="13" t="n">
        <f aca="false">IF(AC$4="Actuals",IF(AD$4="Actuals","",AD361),AC369)</f>
        <v>7246031.96180816</v>
      </c>
      <c r="AD412" s="13" t="n">
        <f aca="false">IF(AD$4="Actuals",IF(AE$4="Actuals","",AE361),AD369)</f>
        <v>7588052.03612009</v>
      </c>
      <c r="AE412" s="13" t="n">
        <f aca="false">IF(AE$4="Actuals",IF(AF$4="Actuals","",AF361),AE369)</f>
        <v>7967900.13019629</v>
      </c>
      <c r="AF412" s="13" t="n">
        <f aca="false">IF(AF$4="Actuals",IF(AG$4="Actuals","",AG361),AF369)</f>
        <v>7881685.04856809</v>
      </c>
      <c r="AG412" s="13" t="n">
        <f aca="false">IF(AG$4="Actuals",IF(AH$4="Actuals","",AH361),AG369)</f>
        <v>8621984.79522432</v>
      </c>
      <c r="AH412" s="13" t="n">
        <f aca="false">IF(AH$4="Actuals",IF(AI$4="Actuals","",AI361),AH369)</f>
        <v>9357417.42803857</v>
      </c>
      <c r="AI412" s="13" t="n">
        <f aca="false">IF(AI$4="Actuals",IF(AJ$4="Actuals","",AJ361),AI369)</f>
        <v>9983905.29572067</v>
      </c>
      <c r="AJ412" s="13" t="n">
        <f aca="false">IF(AJ$4="Actuals",IF(AK$4="Actuals","",AK361),AJ369)</f>
        <v>10579594.4663998</v>
      </c>
      <c r="AK412" s="13" t="n">
        <f aca="false">IF(AK$4="Actuals",IF(AL$4="Actuals","",AL361),AK369)</f>
        <v>11072320.422959</v>
      </c>
      <c r="AL412" s="13" t="n">
        <f aca="false">IF(AL$4="Actuals",IF(AM$4="Actuals","",AM361),AL369)</f>
        <v>11172660.4802639</v>
      </c>
      <c r="AM412" s="13" t="n">
        <f aca="false">IF(AM$4="Actuals",IF(AN$4="Actuals","",AN361),AM369)</f>
        <v>11301580.804992</v>
      </c>
      <c r="AN412" s="13" t="n">
        <f aca="false">IF(AN$4="Actuals",IF(AO$4="Actuals","",AO361),AN369)</f>
        <v>11823857.0201426</v>
      </c>
      <c r="AO412" s="13" t="n">
        <f aca="false">IF(AO$4="Actuals",IF(AP$4="Actuals","",AP361),AO369)</f>
        <v>12078826.5216229</v>
      </c>
      <c r="AP412" s="13" t="n">
        <f aca="false">IF(AP$4="Actuals",IF(AQ$4="Actuals","",AQ361),AP369)</f>
        <v>12150542.668739</v>
      </c>
      <c r="AQ412" s="13" t="n">
        <f aca="false">IF(AQ$4="Actuals",IF(AR$4="Actuals","",AR361),AQ369)</f>
        <v>12059938.9068898</v>
      </c>
      <c r="AR412" s="13" t="n">
        <f aca="false">IF(AR$4="Actuals",IF(AS$4="Actuals","",AS361),AR369)</f>
        <v>11978950.529656</v>
      </c>
      <c r="AS412" s="13" t="n">
        <f aca="false">IF(AS$4="Actuals",IF(AT$4="Actuals","",AT361),AS369)</f>
        <v>11897962.1524222</v>
      </c>
      <c r="AT412" s="13" t="n">
        <f aca="false">IF(AT$4="Actuals",IF(AU$4="Actuals","",AU361),AT369)</f>
        <v>11816973.7751883</v>
      </c>
      <c r="AU412" s="13" t="n">
        <f aca="false">IF(AU$4="Actuals",IF(AV$4="Actuals","",AV361),AU369)</f>
        <v>11735985.3979545</v>
      </c>
      <c r="AV412" s="13" t="n">
        <f aca="false">IF(AV$4="Actuals",IF(AW$4="Actuals","",AW361),AV369)</f>
        <v>11913858.3268065</v>
      </c>
      <c r="AW412" s="13" t="n">
        <f aca="false">IF(AW$4="Actuals",IF(AX$4="Actuals","",AX361),AW369)</f>
        <v>12113984.245129</v>
      </c>
      <c r="AX412" s="13" t="n">
        <f aca="false">IF(AX$4="Actuals",IF(AY$4="Actuals","",AY361),AX369)</f>
        <v>11869050.3740408</v>
      </c>
      <c r="AY412" s="13" t="n">
        <f aca="false">IF(AY$4="Actuals",IF(AZ$4="Actuals","",AZ361),AY369)</f>
        <v>11624116.5029527</v>
      </c>
      <c r="AZ412" s="13" t="n">
        <f aca="false">IF(AZ$4="Actuals",IF(BA$4="Actuals","",BA361),AZ369)</f>
        <v>11379182.6318645</v>
      </c>
      <c r="BA412" s="13" t="n">
        <f aca="false">IF(BA$4="Actuals",IF(BB$4="Actuals","",BB361),BA369)</f>
        <v>11126654.550178</v>
      </c>
      <c r="BB412" s="13" t="n">
        <f aca="false">IF(BB$4="Actuals",IF(BC$4="Actuals","",BC361),BB369)</f>
        <v>10874126.4684916</v>
      </c>
      <c r="BC412" s="13" t="n">
        <f aca="false">IF(BC$4="Actuals",IF(BD$4="Actuals","",BD361),BC369)</f>
        <v>10621598.3868051</v>
      </c>
      <c r="BD412" s="13" t="n">
        <f aca="false">IF(BD$4="Actuals",IF(BE$4="Actuals","",BE361),BD369)</f>
        <v>10369070.3051187</v>
      </c>
      <c r="BE412" s="13" t="n">
        <f aca="false">IF(BE$4="Actuals",IF(BF$4="Actuals","",BF361),BE369)</f>
        <v>10116542.2234322</v>
      </c>
      <c r="BF412" s="13" t="n">
        <f aca="false">IF(BF$4="Actuals",IF(BG$4="Actuals","",BG361),BF369)</f>
        <v>9864014.14174577</v>
      </c>
      <c r="BG412" s="13" t="n">
        <f aca="false">IF(BG$4="Actuals",IF(BH$4="Actuals","",BH361),BG369)</f>
        <v>9611486.06005932</v>
      </c>
      <c r="BH412" s="13" t="n">
        <f aca="false">IF(BH$4="Actuals",IF(BI$4="Actuals","",BI361),BH369)</f>
        <v>9595447.43967569</v>
      </c>
      <c r="BI412" s="13" t="n">
        <f aca="false">IF(BI$4="Actuals",IF(BJ$4="Actuals","",BJ361),BI369)</f>
        <v>9599738.61508826</v>
      </c>
      <c r="BJ412" s="13" t="n">
        <f aca="false">IF(BJ$4="Actuals",IF(BK$4="Actuals","",BK361),BJ369)</f>
        <v>9197433.87457669</v>
      </c>
      <c r="BK412" s="13" t="n">
        <f aca="false">IF(BK$4="Actuals",IF(BL$4="Actuals","",BL361),BK369)</f>
        <v>8795129.13406512</v>
      </c>
      <c r="BL412" s="13" t="n">
        <f aca="false">IF(BL$4="Actuals",IF(BM$4="Actuals","",BM361),BL369)</f>
        <v>8392824.39355355</v>
      </c>
      <c r="BM412" s="13" t="n">
        <f aca="false">IF(BM$4="Actuals",IF(BN$4="Actuals","",BN361),BM369)</f>
        <v>7982773.55823175</v>
      </c>
      <c r="BN412" s="13" t="n">
        <f aca="false">IF(BN$4="Actuals",IF(BO$4="Actuals","",BO361),BN369)</f>
        <v>7572722.72290995</v>
      </c>
      <c r="BO412" s="13" t="n">
        <f aca="false">IF(BO$4="Actuals",IF(BP$4="Actuals","",BP361),BO369)</f>
        <v>7162671.88758815</v>
      </c>
      <c r="BP412" s="13" t="n">
        <f aca="false">IF(BP$4="Actuals",IF(BQ$4="Actuals","",BQ361),BP369)</f>
        <v>6752621.05226635</v>
      </c>
      <c r="BQ412" s="13" t="n">
        <f aca="false">IF(BQ$4="Actuals",IF(BR$4="Actuals","",BR361),BQ369)</f>
        <v>6342570.21694455</v>
      </c>
      <c r="BR412" s="13" t="n">
        <f aca="false">IF(BR$4="Actuals",IF(BS$4="Actuals","",BS361),BR369)</f>
        <v>5932519.38162274</v>
      </c>
      <c r="BS412" s="13" t="n">
        <f aca="false">IF(BS$4="Actuals",IF(BT$4="Actuals","",BT361),BS369)</f>
        <v>5522468.54630094</v>
      </c>
      <c r="BT412" s="13" t="n">
        <f aca="false">IF(BT$4="Actuals",IF(BU$4="Actuals","",BU361),BT369)</f>
        <v>5112417.71097914</v>
      </c>
      <c r="BU412" s="13" t="n">
        <f aca="false">IF(BU$4="Actuals",IF(BV$4="Actuals","",BV361),BU369)</f>
        <v>4702366.87565734</v>
      </c>
      <c r="BV412" s="13" t="n">
        <f aca="false">IF(BV$4="Actuals",IF(BW$4="Actuals","",BW361),BV369)</f>
        <v>4292316.04033554</v>
      </c>
      <c r="BW412" s="13" t="n">
        <f aca="false">IF(BW$4="Actuals",IF(BX$4="Actuals","",BX361),BW369)</f>
        <v>3882265.20501373</v>
      </c>
      <c r="BX412" s="13" t="n">
        <f aca="false">IF(BX$4="Actuals",IF(BY$4="Actuals","",BY361),BX369)</f>
        <v>3472214.36969193</v>
      </c>
      <c r="BY412" s="13" t="n">
        <f aca="false">IF(BY$4="Actuals",IF(BZ$4="Actuals","",BZ361),BY369)</f>
        <v>3054262.5176637</v>
      </c>
      <c r="BZ412" s="13" t="n">
        <f aca="false">IF(BZ$4="Actuals",IF(CA$4="Actuals","",CA361),BZ369)</f>
        <v>2636310.66563546</v>
      </c>
      <c r="CA412" s="13" t="n">
        <f aca="false">IF(CA$4="Actuals",IF(CB$4="Actuals","",CB361),CA369)</f>
        <v>2218358.81360722</v>
      </c>
      <c r="CB412" s="13" t="n">
        <f aca="false">IF(CB$4="Actuals",IF(CC$4="Actuals","",CC361),CB369)</f>
        <v>1800406.96157898</v>
      </c>
      <c r="CC412" s="13" t="n">
        <f aca="false">IF(CC$4="Actuals",IF(CD$4="Actuals","",CD361),CC369)</f>
        <v>1382455.10955074</v>
      </c>
      <c r="CD412" s="13" t="n">
        <f aca="false">IF(CD$4="Actuals",IF(CE$4="Actuals","",CE361),CD369)</f>
        <v>964503.257522507</v>
      </c>
      <c r="CE412" s="13" t="n">
        <f aca="false">IF(CE$4="Actuals",IF(CF$4="Actuals","",CF361),CE369)</f>
        <v>546551.405494269</v>
      </c>
      <c r="CF412" s="13" t="n">
        <f aca="false">IF(CF$4="Actuals",IF(CG$4="Actuals","",CG361),CF369)</f>
        <v>128599.553466031</v>
      </c>
      <c r="CG412" s="13" t="n">
        <f aca="false">IF(CG$4="Actuals",IF(CH$4="Actuals","",CH361),CG369)</f>
        <v>-289352.298562206</v>
      </c>
      <c r="CH412" s="13" t="n">
        <f aca="false">IF(CH$4="Actuals",IF(CI$4="Actuals","",CI361),CH369)</f>
        <v>-707304.150590444</v>
      </c>
      <c r="CI412" s="13" t="n">
        <f aca="false">IF(CI$4="Actuals",IF(CJ$4="Actuals","",CJ361),CI369)</f>
        <v>-1125256.00261868</v>
      </c>
      <c r="CJ412" s="13" t="n">
        <f aca="false">IF(CJ$4="Actuals",IF(CK$4="Actuals","",CK361),CJ369)</f>
        <v>-1543207.85464692</v>
      </c>
      <c r="CK412" s="13" t="n">
        <f aca="false">IF(CK$4="Actuals",IF(CL$4="Actuals","",CL361),CK369)</f>
        <v>-1969218.74371572</v>
      </c>
      <c r="CL412" s="13" t="n">
        <f aca="false">IF(CL$4="Actuals",IF(CM$4="Actuals","",CM361),CL369)</f>
        <v>-2395229.63278452</v>
      </c>
      <c r="CM412" s="13" t="n">
        <f aca="false">IF(CM$4="Actuals",IF(CN$4="Actuals","",CN361),CM369)</f>
        <v>-2821240.52185333</v>
      </c>
      <c r="CN412" s="13" t="n">
        <f aca="false">IF(CN$4="Actuals",IF(CO$4="Actuals","",CO361),CN369)</f>
        <v>-3247251.41092213</v>
      </c>
      <c r="CO412" s="13" t="n">
        <f aca="false">IF(CO$4="Actuals",IF(CP$4="Actuals","",CP361),CO369)</f>
        <v>-3673262.29999093</v>
      </c>
      <c r="CP412" s="13" t="n">
        <f aca="false">IF(CP$4="Actuals",IF(CQ$4="Actuals","",CQ361),CP369)</f>
        <v>-4099273.18905973</v>
      </c>
      <c r="CQ412" s="13" t="n">
        <f aca="false">IF(CQ$4="Actuals",IF(CR$4="Actuals","",CR361),CQ369)</f>
        <v>-4525284.07812854</v>
      </c>
      <c r="CR412" s="13" t="n">
        <f aca="false">IF(CR$4="Actuals",IF(CS$4="Actuals","",CS361),CR369)</f>
        <v>-4951294.96719734</v>
      </c>
      <c r="CS412" s="13" t="n">
        <f aca="false">IF(CS$4="Actuals",IF(CT$4="Actuals","",CT361),CS369)</f>
        <v>-5377305.85626614</v>
      </c>
      <c r="CT412" s="13" t="n">
        <f aca="false">IF(CT$4="Actuals",IF(CU$4="Actuals","",CU361),CT369)</f>
        <v>-5762963.93129292</v>
      </c>
      <c r="CU412" s="13" t="n">
        <f aca="false">IF(CU$4="Actuals",IF(CV$4="Actuals","",CV361),CU369)</f>
        <v>-6148622.00631969</v>
      </c>
      <c r="CV412" s="13" t="n">
        <f aca="false">IF(CV$4="Actuals",IF(CW$4="Actuals","",CW361),CV369)</f>
        <v>-6534280.08134647</v>
      </c>
      <c r="CW412" s="13" t="n">
        <f aca="false">IF(CW$4="Actuals",IF(CX$4="Actuals","",CX361),CW369)</f>
        <v>-6927351.31787378</v>
      </c>
      <c r="CX412" s="13" t="n">
        <f aca="false">IF(CX$4="Actuals",IF(CY$4="Actuals","",CY361),CX369)</f>
        <v>-7320422.55440109</v>
      </c>
      <c r="CY412" s="13" t="n">
        <f aca="false">IF(CY$4="Actuals",IF(CZ$4="Actuals","",CZ361),CY369)</f>
        <v>-7713493.79092841</v>
      </c>
      <c r="CZ412" s="13" t="n">
        <f aca="false">IF(CZ$4="Actuals",IF(DA$4="Actuals","",DA361),CZ369)</f>
        <v>-8106565.02745572</v>
      </c>
      <c r="DA412" s="13" t="n">
        <f aca="false">IF(DA$4="Actuals",IF(DB$4="Actuals","",DB361),DA369)</f>
        <v>-8499636.26398303</v>
      </c>
      <c r="DB412" s="13" t="n">
        <f aca="false">IF(DB$4="Actuals",IF(DC$4="Actuals","",DC361),DB369)</f>
        <v>-8892707.50051034</v>
      </c>
      <c r="DC412" s="13" t="n">
        <f aca="false">IF(DC$4="Actuals",IF(DD$4="Actuals","",DD361),DC369)</f>
        <v>-9285778.73703766</v>
      </c>
      <c r="DD412" s="13" t="n">
        <f aca="false">IF(DD$4="Actuals",IF(DE$4="Actuals","",DE361),DD369)</f>
        <v>-9678849.97356497</v>
      </c>
      <c r="DE412" s="13" t="n">
        <f aca="false">IF(DE$4="Actuals",IF(DF$4="Actuals","",DF361),DE369)</f>
        <v>-10071921.2100923</v>
      </c>
    </row>
    <row r="413" customFormat="false" ht="13.5" hidden="false" customHeight="true" outlineLevel="0" collapsed="false">
      <c r="A413" s="22" t="s">
        <v>230</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n">
        <f aca="false">IF(OR(I411="",I412=""),"",I412-I411)</f>
        <v>0</v>
      </c>
      <c r="J413" s="13" t="str">
        <f aca="false">IF(OR(J411="",J412=""),"",J412-J411)</f>
        <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3.5" hidden="false" customHeight="true" outlineLevel="0" collapsed="false">
      <c r="A414" s="22" t="s">
        <v>231</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OK</v>
      </c>
      <c r="J414" s="21" t="str">
        <f aca="false">IF(J413="","",IF(ABS(J413)&lt;1,"OK","CHECK"))</f>
        <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3.5" hidden="false" customHeight="true" outlineLevel="0" collapsed="false">
      <c r="A415" s="22" t="s">
        <v>232</v>
      </c>
      <c r="B415" s="13"/>
      <c r="C415" s="13"/>
      <c r="D415" s="13"/>
      <c r="E415" s="13"/>
      <c r="F415" s="13"/>
      <c r="G415" s="13"/>
      <c r="H415" s="73" t="n">
        <v>778701</v>
      </c>
      <c r="I415" s="73" t="n">
        <v>2671750</v>
      </c>
      <c r="J415" s="13" t="n">
        <v>1113428</v>
      </c>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3.5" hidden="false" customHeight="true" outlineLevel="0" collapsed="false">
      <c r="A416" s="22" t="s">
        <v>233</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str">
        <f aca="false">IF(OR(J411="",J415=""),"",J415-J411)</f>
        <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3.5" hidden="false" customHeight="true" outlineLevel="0" collapsed="false">
      <c r="A418" s="23" t="s">
        <v>234</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3.5" hidden="false" customHeight="true" outlineLevel="0" collapsed="false">
      <c r="A419" s="22" t="s">
        <v>228</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str">
        <f aca="false">IF(J403="","",J403)</f>
        <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3.5" hidden="false" customHeight="true" outlineLevel="0" collapsed="false">
      <c r="A420" s="22" t="s">
        <v>229</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n">
        <f aca="false">IF(I$4="Actuals",IF(J$4="Actuals","",J372),I378)</f>
        <v>658190</v>
      </c>
      <c r="J420" s="13" t="n">
        <f aca="false">IF(J$4="Actuals",IF(K$4="Actuals","",K372),J378)</f>
        <v>503745.387883333</v>
      </c>
      <c r="K420" s="13" t="n">
        <f aca="false">IF(K$4="Actuals",IF(L$4="Actuals","",L372),K378)</f>
        <v>349300.775766667</v>
      </c>
      <c r="L420" s="13" t="n">
        <f aca="false">IF(L$4="Actuals",IF(M$4="Actuals","",M372),L378)</f>
        <v>185481.16365</v>
      </c>
      <c r="M420" s="13" t="n">
        <f aca="false">IF(M$4="Actuals",IF(N$4="Actuals","",N372),M378)</f>
        <v>25161.5515333333</v>
      </c>
      <c r="N420" s="13" t="n">
        <f aca="false">IF(N$4="Actuals",IF(O$4="Actuals","",O372),N378)</f>
        <v>-234838.063931676</v>
      </c>
      <c r="O420" s="13" t="n">
        <f aca="false">IF(O$4="Actuals",IF(P$4="Actuals","",P372),O378)</f>
        <v>-491679.784659844</v>
      </c>
      <c r="P420" s="13" t="n">
        <f aca="false">IF(P$4="Actuals",IF(Q$4="Actuals","",Q372),P378)</f>
        <v>-747721.659855012</v>
      </c>
      <c r="Q420" s="13" t="n">
        <f aca="false">IF(Q$4="Actuals",IF(R$4="Actuals","",R372),Q378)</f>
        <v>-1008129.41298318</v>
      </c>
      <c r="R420" s="13" t="n">
        <f aca="false">IF(R$4="Actuals",IF(S$4="Actuals","",S372),R378)</f>
        <v>-1268537.16611135</v>
      </c>
      <c r="S420" s="13" t="n">
        <f aca="false">IF(S$4="Actuals",IF(T$4="Actuals","",T372),S378)</f>
        <v>-1528944.91923951</v>
      </c>
      <c r="T420" s="13" t="n">
        <f aca="false">IF(T$4="Actuals",IF(U$4="Actuals","",U372),T378)</f>
        <v>-1813258.92236768</v>
      </c>
      <c r="U420" s="13" t="n">
        <f aca="false">IF(U$4="Actuals",IF(V$4="Actuals","",V372),U378)</f>
        <v>-2097572.92549585</v>
      </c>
      <c r="V420" s="13" t="n">
        <f aca="false">IF(V$4="Actuals",IF(W$4="Actuals","",W372),V378)</f>
        <v>-2381886.92862402</v>
      </c>
      <c r="W420" s="13" t="n">
        <f aca="false">IF(W$4="Actuals",IF(X$4="Actuals","",X372),W378)</f>
        <v>-2666200.93175219</v>
      </c>
      <c r="X420" s="13" t="n">
        <f aca="false">IF(X$4="Actuals",IF(Y$4="Actuals","",Y372),X378)</f>
        <v>-2950514.93488035</v>
      </c>
      <c r="Y420" s="13" t="n">
        <f aca="false">IF(Y$4="Actuals",IF(Z$4="Actuals","",Z372),Y378)</f>
        <v>-3177453.93800852</v>
      </c>
      <c r="Z420" s="13" t="n">
        <f aca="false">IF(Z$4="Actuals",IF(AA$4="Actuals","",AA372),Z378)</f>
        <v>-3462198.54819132</v>
      </c>
      <c r="AA420" s="13" t="n">
        <f aca="false">IF(AA$4="Actuals",IF(AB$4="Actuals","",AB372),AA378)</f>
        <v>-3996943.15837412</v>
      </c>
      <c r="AB420" s="13" t="n">
        <f aca="false">IF(AB$4="Actuals",IF(AC$4="Actuals","",AC372),AB378)</f>
        <v>-4218969.77567501</v>
      </c>
      <c r="AC420" s="13" t="n">
        <f aca="false">IF(AC$4="Actuals",IF(AD$4="Actuals","",AD372),AC378)</f>
        <v>-4507351.73890581</v>
      </c>
      <c r="AD420" s="13" t="n">
        <f aca="false">IF(AD$4="Actuals",IF(AE$4="Actuals","",AE372),AD378)</f>
        <v>-4795733.70213661</v>
      </c>
      <c r="AE420" s="13" t="n">
        <f aca="false">IF(AE$4="Actuals",IF(AF$4="Actuals","",AF372),AE378)</f>
        <v>-5006722.095646</v>
      </c>
      <c r="AF420" s="13" t="n">
        <f aca="false">IF(AF$4="Actuals",IF(AG$4="Actuals","",AG372),AF378)</f>
        <v>-5183104.0588768</v>
      </c>
      <c r="AG420" s="13" t="n">
        <f aca="false">IF(AG$4="Actuals",IF(AH$4="Actuals","",AH372),AG378)</f>
        <v>-5362643.91684444</v>
      </c>
      <c r="AH420" s="13" t="n">
        <f aca="false">IF(AH$4="Actuals",IF(AI$4="Actuals","",AI372),AH378)</f>
        <v>-5545341.66954892</v>
      </c>
      <c r="AI420" s="13" t="n">
        <f aca="false">IF(AI$4="Actuals",IF(AJ$4="Actuals","",AJ372),AI378)</f>
        <v>-5737539.4222534</v>
      </c>
      <c r="AJ420" s="13" t="n">
        <f aca="false">IF(AJ$4="Actuals",IF(AK$4="Actuals","",AK372),AJ378)</f>
        <v>-5929737.17495788</v>
      </c>
      <c r="AK420" s="13" t="n">
        <f aca="false">IF(AK$4="Actuals",IF(AL$4="Actuals","",AL372),AK378)</f>
        <v>-6121934.92766236</v>
      </c>
      <c r="AL420" s="13" t="n">
        <f aca="false">IF(AL$4="Actuals",IF(AM$4="Actuals","",AM372),AL378)</f>
        <v>-6324577.93311036</v>
      </c>
      <c r="AM420" s="13" t="n">
        <f aca="false">IF(AM$4="Actuals",IF(AN$4="Actuals","",AN372),AM378)</f>
        <v>-6777220.93855836</v>
      </c>
      <c r="AN420" s="13" t="n">
        <f aca="false">IF(AN$4="Actuals",IF(AO$4="Actuals","",AO372),AN378)</f>
        <v>-6974279.67282714</v>
      </c>
      <c r="AO420" s="13" t="n">
        <f aca="false">IF(AO$4="Actuals",IF(AP$4="Actuals","",AP372),AO378)</f>
        <v>-7180632.7783841</v>
      </c>
      <c r="AP420" s="13" t="n">
        <f aca="false">IF(AP$4="Actuals",IF(AQ$4="Actuals","",AQ372),AP378)</f>
        <v>-7386985.88394106</v>
      </c>
      <c r="AQ420" s="13" t="n">
        <f aca="false">IF(AQ$4="Actuals",IF(AR$4="Actuals","",AR372),AQ378)</f>
        <v>-7593338.98949802</v>
      </c>
      <c r="AR420" s="13" t="n">
        <f aca="false">IF(AR$4="Actuals",IF(AS$4="Actuals","",AS372),AR378)</f>
        <v>-7799692.09505498</v>
      </c>
      <c r="AS420" s="13" t="n">
        <f aca="false">IF(AS$4="Actuals",IF(AT$4="Actuals","",AT372),AS378)</f>
        <v>-8006045.20061194</v>
      </c>
      <c r="AT420" s="13" t="n">
        <f aca="false">IF(AT$4="Actuals",IF(AU$4="Actuals","",AU372),AT378)</f>
        <v>-8212398.3061689</v>
      </c>
      <c r="AU420" s="13" t="n">
        <f aca="false">IF(AU$4="Actuals",IF(AV$4="Actuals","",AV372),AU378)</f>
        <v>-8418751.41172586</v>
      </c>
      <c r="AV420" s="13" t="n">
        <f aca="false">IF(AV$4="Actuals",IF(AW$4="Actuals","",AW372),AV378)</f>
        <v>-8625104.51728282</v>
      </c>
      <c r="AW420" s="13" t="n">
        <f aca="false">IF(AW$4="Actuals",IF(AX$4="Actuals","",AX372),AW378)</f>
        <v>-8831457.62283978</v>
      </c>
      <c r="AX420" s="13" t="n">
        <f aca="false">IF(AX$4="Actuals",IF(AY$4="Actuals","",AY372),AX378)</f>
        <v>-9037810.72839674</v>
      </c>
      <c r="AY420" s="13" t="n">
        <f aca="false">IF(AY$4="Actuals",IF(AZ$4="Actuals","",AZ372),AY378)</f>
        <v>-9244163.8339537</v>
      </c>
      <c r="AZ420" s="13" t="n">
        <f aca="false">IF(AZ$4="Actuals",IF(BA$4="Actuals","",BA372),AZ378)</f>
        <v>-9450516.93951066</v>
      </c>
      <c r="BA420" s="13" t="n">
        <f aca="false">IF(BA$4="Actuals",IF(BB$4="Actuals","",BB372),BA378)</f>
        <v>-9660654.34717876</v>
      </c>
      <c r="BB420" s="13" t="n">
        <f aca="false">IF(BB$4="Actuals",IF(BC$4="Actuals","",BC372),BB378)</f>
        <v>-9870791.75484686</v>
      </c>
      <c r="BC420" s="13" t="n">
        <f aca="false">IF(BC$4="Actuals",IF(BD$4="Actuals","",BD372),BC378)</f>
        <v>-10080929.162515</v>
      </c>
      <c r="BD420" s="13" t="n">
        <f aca="false">IF(BD$4="Actuals",IF(BE$4="Actuals","",BE372),BD378)</f>
        <v>-10291066.5701831</v>
      </c>
      <c r="BE420" s="13" t="n">
        <f aca="false">IF(BE$4="Actuals",IF(BF$4="Actuals","",BF372),BE378)</f>
        <v>-10501203.9778512</v>
      </c>
      <c r="BF420" s="13" t="n">
        <f aca="false">IF(BF$4="Actuals",IF(BG$4="Actuals","",BG372),BF378)</f>
        <v>-10711341.3855193</v>
      </c>
      <c r="BG420" s="13" t="n">
        <f aca="false">IF(BG$4="Actuals",IF(BH$4="Actuals","",BH372),BG378)</f>
        <v>-10921478.7931874</v>
      </c>
      <c r="BH420" s="13" t="n">
        <f aca="false">IF(BH$4="Actuals",IF(BI$4="Actuals","",BI372),BH378)</f>
        <v>-11131616.2008554</v>
      </c>
      <c r="BI420" s="13" t="n">
        <f aca="false">IF(BI$4="Actuals",IF(BJ$4="Actuals","",BJ372),BI378)</f>
        <v>-11341753.6085235</v>
      </c>
      <c r="BJ420" s="13" t="n">
        <f aca="false">IF(BJ$4="Actuals",IF(BK$4="Actuals","",BK372),BJ378)</f>
        <v>-11551891.0161916</v>
      </c>
      <c r="BK420" s="13" t="n">
        <f aca="false">IF(BK$4="Actuals",IF(BL$4="Actuals","",BL372),BK378)</f>
        <v>-11762028.4238597</v>
      </c>
      <c r="BL420" s="13" t="n">
        <f aca="false">IF(BL$4="Actuals",IF(BM$4="Actuals","",BM372),BL378)</f>
        <v>-11972165.8315278</v>
      </c>
      <c r="BM420" s="13" t="n">
        <f aca="false">IF(BM$4="Actuals",IF(BN$4="Actuals","",BN372),BM378)</f>
        <v>-12186163.2273493</v>
      </c>
      <c r="BN420" s="13" t="n">
        <f aca="false">IF(BN$4="Actuals",IF(BO$4="Actuals","",BO372),BN378)</f>
        <v>-12400160.6231708</v>
      </c>
      <c r="BO420" s="13" t="n">
        <f aca="false">IF(BO$4="Actuals",IF(BP$4="Actuals","",BP372),BO378)</f>
        <v>-12614158.0189922</v>
      </c>
      <c r="BP420" s="13" t="n">
        <f aca="false">IF(BP$4="Actuals",IF(BQ$4="Actuals","",BQ372),BP378)</f>
        <v>-12828155.4148137</v>
      </c>
      <c r="BQ420" s="13" t="n">
        <f aca="false">IF(BQ$4="Actuals",IF(BR$4="Actuals","",BR372),BQ378)</f>
        <v>-13042152.8106352</v>
      </c>
      <c r="BR420" s="13" t="n">
        <f aca="false">IF(BR$4="Actuals",IF(BS$4="Actuals","",BS372),BR378)</f>
        <v>-13202899.8564566</v>
      </c>
      <c r="BS420" s="13" t="n">
        <f aca="false">IF(BS$4="Actuals",IF(BT$4="Actuals","",BT372),BS378)</f>
        <v>-13416897.2522781</v>
      </c>
      <c r="BT420" s="13" t="n">
        <f aca="false">IF(BT$4="Actuals",IF(BU$4="Actuals","",BU372),BT378)</f>
        <v>-13630894.6480995</v>
      </c>
      <c r="BU420" s="13" t="n">
        <f aca="false">IF(BU$4="Actuals",IF(BV$4="Actuals","",BV372),BU378)</f>
        <v>-13777130.043921</v>
      </c>
      <c r="BV420" s="13" t="n">
        <f aca="false">IF(BV$4="Actuals",IF(BW$4="Actuals","",BW372),BV378)</f>
        <v>-13991127.4397425</v>
      </c>
      <c r="BW420" s="13" t="n">
        <f aca="false">IF(BW$4="Actuals",IF(BX$4="Actuals","",BX372),BW378)</f>
        <v>-14205124.8355639</v>
      </c>
      <c r="BX420" s="13" t="n">
        <f aca="false">IF(BX$4="Actuals",IF(BY$4="Actuals","",BY372),BX378)</f>
        <v>-14351360.2313854</v>
      </c>
      <c r="BY420" s="13" t="n">
        <f aca="false">IF(BY$4="Actuals",IF(BZ$4="Actuals","",BZ372),BY378)</f>
        <v>-14569294.8151233</v>
      </c>
      <c r="BZ420" s="13" t="n">
        <f aca="false">IF(BZ$4="Actuals",IF(CA$4="Actuals","",CA372),BZ378)</f>
        <v>-14787229.3988612</v>
      </c>
      <c r="CA420" s="13" t="n">
        <f aca="false">IF(CA$4="Actuals",IF(CB$4="Actuals","",CB372),CA378)</f>
        <v>-14937401.9825991</v>
      </c>
      <c r="CB420" s="13" t="n">
        <f aca="false">IF(CB$4="Actuals",IF(CC$4="Actuals","",CC372),CB378)</f>
        <v>-15155336.5663369</v>
      </c>
      <c r="CC420" s="13" t="n">
        <f aca="false">IF(CC$4="Actuals",IF(CD$4="Actuals","",CD372),CC378)</f>
        <v>-15373271.1500748</v>
      </c>
      <c r="CD420" s="13" t="n">
        <f aca="false">IF(CD$4="Actuals",IF(CE$4="Actuals","",CE372),CD378)</f>
        <v>-15514706.7338127</v>
      </c>
      <c r="CE420" s="13" t="n">
        <f aca="false">IF(CE$4="Actuals",IF(CF$4="Actuals","",CF372),CE378)</f>
        <v>-15732641.3175506</v>
      </c>
      <c r="CF420" s="13" t="n">
        <f aca="false">IF(CF$4="Actuals",IF(CG$4="Actuals","",CG372),CF378)</f>
        <v>-15950575.9012885</v>
      </c>
      <c r="CG420" s="13" t="n">
        <f aca="false">IF(CG$4="Actuals",IF(CH$4="Actuals","",CH372),CG378)</f>
        <v>-16092011.4850264</v>
      </c>
      <c r="CH420" s="13" t="n">
        <f aca="false">IF(CH$4="Actuals",IF(CI$4="Actuals","",CI372),CH378)</f>
        <v>-16309946.0687643</v>
      </c>
      <c r="CI420" s="13" t="n">
        <f aca="false">IF(CI$4="Actuals",IF(CJ$4="Actuals","",CJ372),CI378)</f>
        <v>-16527880.6525022</v>
      </c>
      <c r="CJ420" s="13" t="n">
        <f aca="false">IF(CJ$4="Actuals",IF(CK$4="Actuals","",CK372),CJ378)</f>
        <v>-16662708.2096336</v>
      </c>
      <c r="CK420" s="13" t="n">
        <f aca="false">IF(CK$4="Actuals",IF(CL$4="Actuals","",CL372),CK378)</f>
        <v>-16726797.7250462</v>
      </c>
      <c r="CL420" s="13" t="n">
        <f aca="false">IF(CL$4="Actuals",IF(CM$4="Actuals","",CM372),CL378)</f>
        <v>-16790887.2404589</v>
      </c>
      <c r="CM420" s="13" t="n">
        <f aca="false">IF(CM$4="Actuals",IF(CN$4="Actuals","",CN372),CM378)</f>
        <v>-16854976.7558715</v>
      </c>
      <c r="CN420" s="13" t="n">
        <f aca="false">IF(CN$4="Actuals",IF(CO$4="Actuals","",CO372),CN378)</f>
        <v>-16919066.2712842</v>
      </c>
      <c r="CO420" s="13" t="n">
        <f aca="false">IF(CO$4="Actuals",IF(CP$4="Actuals","",CP372),CO378)</f>
        <v>-16983155.7866968</v>
      </c>
      <c r="CP420" s="13" t="n">
        <f aca="false">IF(CP$4="Actuals",IF(CQ$4="Actuals","",CQ372),CP378)</f>
        <v>-17047245.3021095</v>
      </c>
      <c r="CQ420" s="13" t="n">
        <f aca="false">IF(CQ$4="Actuals",IF(CR$4="Actuals","",CR372),CQ378)</f>
        <v>-17111334.8175221</v>
      </c>
      <c r="CR420" s="13" t="n">
        <f aca="false">IF(CR$4="Actuals",IF(CS$4="Actuals","",CS372),CR378)</f>
        <v>-17175424.3329348</v>
      </c>
      <c r="CS420" s="13" t="n">
        <f aca="false">IF(CS$4="Actuals",IF(CT$4="Actuals","",CT372),CS378)</f>
        <v>-17239513.8483474</v>
      </c>
      <c r="CT420" s="13" t="n">
        <f aca="false">IF(CT$4="Actuals",IF(CU$4="Actuals","",CU372),CT378)</f>
        <v>-17297692.418762</v>
      </c>
      <c r="CU420" s="13" t="n">
        <f aca="false">IF(CU$4="Actuals",IF(CV$4="Actuals","",CV372),CU378)</f>
        <v>-17355870.9891765</v>
      </c>
      <c r="CV420" s="13" t="n">
        <f aca="false">IF(CV$4="Actuals",IF(CW$4="Actuals","",CW372),CV378)</f>
        <v>-17414049.559591</v>
      </c>
      <c r="CW420" s="13" t="n">
        <f aca="false">IF(CW$4="Actuals",IF(CX$4="Actuals","",CX372),CW378)</f>
        <v>-17420498.0103503</v>
      </c>
      <c r="CX420" s="13" t="n">
        <f aca="false">IF(CX$4="Actuals",IF(CY$4="Actuals","",CY372),CX378)</f>
        <v>-17409499.6121731</v>
      </c>
      <c r="CY420" s="13" t="n">
        <f aca="false">IF(CY$4="Actuals",IF(CZ$4="Actuals","",CZ372),CY378)</f>
        <v>-17398501.2139959</v>
      </c>
      <c r="CZ420" s="13" t="n">
        <f aca="false">IF(CZ$4="Actuals",IF(DA$4="Actuals","",DA372),CZ378)</f>
        <v>-17387502.8158187</v>
      </c>
      <c r="DA420" s="13" t="n">
        <f aca="false">IF(DA$4="Actuals",IF(DB$4="Actuals","",DB372),DA378)</f>
        <v>-17376504.4176416</v>
      </c>
      <c r="DB420" s="13" t="n">
        <f aca="false">IF(DB$4="Actuals",IF(DC$4="Actuals","",DC372),DB378)</f>
        <v>-17365506.0194644</v>
      </c>
      <c r="DC420" s="13" t="n">
        <f aca="false">IF(DC$4="Actuals",IF(DD$4="Actuals","",DD372),DC378)</f>
        <v>-17354507.6212872</v>
      </c>
      <c r="DD420" s="13" t="n">
        <f aca="false">IF(DD$4="Actuals",IF(DE$4="Actuals","",DE372),DD378)</f>
        <v>-17343509.2231101</v>
      </c>
      <c r="DE420" s="13" t="n">
        <f aca="false">IF(DE$4="Actuals",IF(DF$4="Actuals","",DF372),DE378)</f>
        <v>-17332510.8249329</v>
      </c>
    </row>
    <row r="421" customFormat="false" ht="13.5" hidden="false" customHeight="true" outlineLevel="0" collapsed="false">
      <c r="A421" s="22" t="s">
        <v>230</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n">
        <f aca="false">IF(OR(I419="",I420=""),"",I420-I419)</f>
        <v>0</v>
      </c>
      <c r="J421" s="13" t="str">
        <f aca="false">IF(OR(J419="",J420=""),"",J420-J419)</f>
        <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3.5" hidden="false" customHeight="true" outlineLevel="0" collapsed="false">
      <c r="A422" s="22" t="s">
        <v>231</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OK</v>
      </c>
      <c r="J422" s="21" t="str">
        <f aca="false">IF(J421="","",IF(ABS(J421)&lt;1,"OK","CHECK"))</f>
        <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3.5" hidden="false" customHeight="true" outlineLevel="0" collapsed="false">
      <c r="A423" s="22" t="s">
        <v>232</v>
      </c>
      <c r="B423" s="13"/>
      <c r="C423" s="13"/>
      <c r="D423" s="13"/>
      <c r="E423" s="13"/>
      <c r="F423" s="13"/>
      <c r="G423" s="13"/>
      <c r="H423" s="73" t="n">
        <v>133317</v>
      </c>
      <c r="I423" s="73" t="n">
        <v>-22279</v>
      </c>
      <c r="J423" s="13" t="n">
        <v>512855</v>
      </c>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3.5" hidden="false" customHeight="true" outlineLevel="0" collapsed="false">
      <c r="A424" s="22" t="s">
        <v>233</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str">
        <f aca="false">IF(OR(J419="",J423=""),"",J423-J419)</f>
        <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3.5" hidden="false" customHeight="true" outlineLevel="0" collapsed="false">
      <c r="A426" s="23" t="s">
        <v>235</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3.5" hidden="false" customHeight="true" outlineLevel="0" collapsed="false">
      <c r="A427" s="22" t="s">
        <v>228</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str">
        <f aca="false">IF(J408="","",J408)</f>
        <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3.5" hidden="false" customHeight="true" outlineLevel="0" collapsed="false">
      <c r="A428" s="22" t="s">
        <v>229</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n">
        <f aca="false">IF(I$4="Actuals",IF(J$4="Actuals","",J381),I383)</f>
        <v>1945296</v>
      </c>
      <c r="J428" s="13" t="n">
        <f aca="false">IF(J$4="Actuals",IF(K$4="Actuals","",K381),J383)</f>
        <v>1625067.18212404</v>
      </c>
      <c r="K428" s="13" t="n">
        <f aca="false">IF(K$4="Actuals",IF(L$4="Actuals","",L381),K383)</f>
        <v>1974023.90060204</v>
      </c>
      <c r="L428" s="13" t="n">
        <f aca="false">IF(L$4="Actuals",IF(M$4="Actuals","",M381),L383)</f>
        <v>2262823.00851452</v>
      </c>
      <c r="M428" s="13" t="n">
        <f aca="false">IF(M$4="Actuals",IF(N$4="Actuals","",N381),M383)</f>
        <v>2194441.66598602</v>
      </c>
      <c r="N428" s="13" t="n">
        <f aca="false">IF(N$4="Actuals",IF(O$4="Actuals","",O381),N383)</f>
        <v>1047233.50863443</v>
      </c>
      <c r="O428" s="13" t="n">
        <f aca="false">IF(O$4="Actuals",IF(P$4="Actuals","",P381),O383)</f>
        <v>1146599.00632778</v>
      </c>
      <c r="P428" s="13" t="n">
        <f aca="false">IF(P$4="Actuals",IF(Q$4="Actuals","",Q381),P383)</f>
        <v>973918.630544363</v>
      </c>
      <c r="Q428" s="13" t="n">
        <f aca="false">IF(Q$4="Actuals",IF(R$4="Actuals","",R381),Q383)</f>
        <v>1229067.634063</v>
      </c>
      <c r="R428" s="13" t="n">
        <f aca="false">IF(R$4="Actuals",IF(S$4="Actuals","",S381),R383)</f>
        <v>942768.197279849</v>
      </c>
      <c r="S428" s="13" t="n">
        <f aca="false">IF(S$4="Actuals",IF(T$4="Actuals","",T381),S383)</f>
        <v>773103.707458058</v>
      </c>
      <c r="T428" s="13" t="n">
        <f aca="false">IF(T$4="Actuals",IF(U$4="Actuals","",U381),T383)</f>
        <v>79524.5833289512</v>
      </c>
      <c r="U428" s="13" t="n">
        <f aca="false">IF(U$4="Actuals",IF(V$4="Actuals","",V381),U383)</f>
        <v>391947.486364868</v>
      </c>
      <c r="V428" s="13" t="n">
        <f aca="false">IF(V$4="Actuals",IF(W$4="Actuals","",W381),V383)</f>
        <v>664854.881795547</v>
      </c>
      <c r="W428" s="13" t="n">
        <f aca="false">IF(W$4="Actuals",IF(X$4="Actuals","",X381),W383)</f>
        <v>816290.171829276</v>
      </c>
      <c r="X428" s="13" t="n">
        <f aca="false">IF(X$4="Actuals",IF(Y$4="Actuals","",Y381),X383)</f>
        <v>849027.697687637</v>
      </c>
      <c r="Y428" s="13" t="n">
        <f aca="false">IF(Y$4="Actuals",IF(Z$4="Actuals","",Z381),Y383)</f>
        <v>1358951.76040807</v>
      </c>
      <c r="Z428" s="13" t="n">
        <f aca="false">IF(Z$4="Actuals",IF(AA$4="Actuals","",AA381),Z383)</f>
        <v>1642992.08707387</v>
      </c>
      <c r="AA428" s="13" t="n">
        <f aca="false">IF(AA$4="Actuals",IF(AB$4="Actuals","",AB381),AA383)</f>
        <v>1888200.35357161</v>
      </c>
      <c r="AB428" s="13" t="n">
        <f aca="false">IF(AB$4="Actuals",IF(AC$4="Actuals","",AC381),AB383)</f>
        <v>1235491.71678537</v>
      </c>
      <c r="AC428" s="13" t="n">
        <f aca="false">IF(AC$4="Actuals",IF(AD$4="Actuals","",AD381),AC383)</f>
        <v>2738680.22290235</v>
      </c>
      <c r="AD428" s="13" t="n">
        <f aca="false">IF(AD$4="Actuals",IF(AE$4="Actuals","",AE381),AD383)</f>
        <v>2792318.33398349</v>
      </c>
      <c r="AE428" s="13" t="n">
        <f aca="false">IF(AE$4="Actuals",IF(AF$4="Actuals","",AF381),AE383)</f>
        <v>2961178.03455029</v>
      </c>
      <c r="AF428" s="13" t="n">
        <f aca="false">IF(AF$4="Actuals",IF(AG$4="Actuals","",AG381),AF383)</f>
        <v>2698580.98969129</v>
      </c>
      <c r="AG428" s="13" t="n">
        <f aca="false">IF(AG$4="Actuals",IF(AH$4="Actuals","",AH381),AG383)</f>
        <v>3259340.87837988</v>
      </c>
      <c r="AH428" s="13" t="n">
        <f aca="false">IF(AH$4="Actuals",IF(AI$4="Actuals","",AI381),AH383)</f>
        <v>3812075.75848965</v>
      </c>
      <c r="AI428" s="13" t="n">
        <f aca="false">IF(AI$4="Actuals",IF(AJ$4="Actuals","",AJ381),AI383)</f>
        <v>4246365.87346727</v>
      </c>
      <c r="AJ428" s="13" t="n">
        <f aca="false">IF(AJ$4="Actuals",IF(AK$4="Actuals","",AK381),AJ383)</f>
        <v>4649857.29144195</v>
      </c>
      <c r="AK428" s="13" t="n">
        <f aca="false">IF(AK$4="Actuals",IF(AL$4="Actuals","",AL381),AK383)</f>
        <v>4950385.49529664</v>
      </c>
      <c r="AL428" s="13" t="n">
        <f aca="false">IF(AL$4="Actuals",IF(AM$4="Actuals","",AM381),AL383)</f>
        <v>4848082.54715358</v>
      </c>
      <c r="AM428" s="13" t="n">
        <f aca="false">IF(AM$4="Actuals",IF(AN$4="Actuals","",AN381),AM383)</f>
        <v>4524359.8664336</v>
      </c>
      <c r="AN428" s="13" t="n">
        <f aca="false">IF(AN$4="Actuals",IF(AO$4="Actuals","",AO381),AN383)</f>
        <v>2881190.98092144</v>
      </c>
      <c r="AO428" s="13" t="n">
        <f aca="false">IF(AO$4="Actuals",IF(AP$4="Actuals","",AP381),AO383)</f>
        <v>4898193.74323875</v>
      </c>
      <c r="AP428" s="13" t="n">
        <f aca="false">IF(AP$4="Actuals",IF(AQ$4="Actuals","",AQ381),AP383)</f>
        <v>4763556.78479796</v>
      </c>
      <c r="AQ428" s="13" t="n">
        <f aca="false">IF(AQ$4="Actuals",IF(AR$4="Actuals","",AR381),AQ383)</f>
        <v>4466599.91739179</v>
      </c>
      <c r="AR428" s="13" t="n">
        <f aca="false">IF(AR$4="Actuals",IF(AS$4="Actuals","",AS381),AR383)</f>
        <v>4179258.434601</v>
      </c>
      <c r="AS428" s="13" t="n">
        <f aca="false">IF(AS$4="Actuals",IF(AT$4="Actuals","",AT381),AS383)</f>
        <v>3891916.95181021</v>
      </c>
      <c r="AT428" s="13" t="n">
        <f aca="false">IF(AT$4="Actuals",IF(AU$4="Actuals","",AU381),AT383)</f>
        <v>3604575.46901942</v>
      </c>
      <c r="AU428" s="13" t="n">
        <f aca="false">IF(AU$4="Actuals",IF(AV$4="Actuals","",AV381),AU383)</f>
        <v>3317233.98622863</v>
      </c>
      <c r="AV428" s="13" t="n">
        <f aca="false">IF(AV$4="Actuals",IF(AW$4="Actuals","",AW381),AV383)</f>
        <v>3288753.80952367</v>
      </c>
      <c r="AW428" s="13" t="n">
        <f aca="false">IF(AW$4="Actuals",IF(AX$4="Actuals","",AX381),AW383)</f>
        <v>3282526.62228924</v>
      </c>
      <c r="AX428" s="13" t="n">
        <f aca="false">IF(AX$4="Actuals",IF(AY$4="Actuals","",AY381),AX383)</f>
        <v>2831239.6456441</v>
      </c>
      <c r="AY428" s="13" t="n">
        <f aca="false">IF(AY$4="Actuals",IF(AZ$4="Actuals","",AZ381),AY383)</f>
        <v>2379952.66899895</v>
      </c>
      <c r="AZ428" s="13" t="n">
        <f aca="false">IF(AZ$4="Actuals",IF(BA$4="Actuals","",BA381),AZ383)</f>
        <v>1928665.69235381</v>
      </c>
      <c r="BA428" s="13" t="n">
        <f aca="false">IF(BA$4="Actuals",IF(BB$4="Actuals","",BB381),BA383)</f>
        <v>1466000.20299926</v>
      </c>
      <c r="BB428" s="13" t="n">
        <f aca="false">IF(BB$4="Actuals",IF(BC$4="Actuals","",BC381),BB383)</f>
        <v>1003334.71364471</v>
      </c>
      <c r="BC428" s="13" t="n">
        <f aca="false">IF(BC$4="Actuals",IF(BD$4="Actuals","",BD381),BC383)</f>
        <v>540669.224290162</v>
      </c>
      <c r="BD428" s="13" t="n">
        <f aca="false">IF(BD$4="Actuals",IF(BE$4="Actuals","",BE381),BD383)</f>
        <v>78003.7349356134</v>
      </c>
      <c r="BE428" s="13" t="n">
        <f aca="false">IF(BE$4="Actuals",IF(BF$4="Actuals","",BF381),BE383)</f>
        <v>-384661.754418936</v>
      </c>
      <c r="BF428" s="13" t="n">
        <f aca="false">IF(BF$4="Actuals",IF(BG$4="Actuals","",BG381),BF383)</f>
        <v>-847327.243773485</v>
      </c>
      <c r="BG428" s="13" t="n">
        <f aca="false">IF(BG$4="Actuals",IF(BH$4="Actuals","",BH381),BG383)</f>
        <v>-1309992.73312803</v>
      </c>
      <c r="BH428" s="13" t="n">
        <f aca="false">IF(BH$4="Actuals",IF(BI$4="Actuals","",BI381),BH383)</f>
        <v>-1536168.76117976</v>
      </c>
      <c r="BI428" s="13" t="n">
        <f aca="false">IF(BI$4="Actuals",IF(BJ$4="Actuals","",BJ381),BI383)</f>
        <v>-1742014.99343528</v>
      </c>
      <c r="BJ428" s="13" t="n">
        <f aca="false">IF(BJ$4="Actuals",IF(BK$4="Actuals","",BK381),BJ383)</f>
        <v>-2354457.14161495</v>
      </c>
      <c r="BK428" s="13" t="n">
        <f aca="false">IF(BK$4="Actuals",IF(BL$4="Actuals","",BL381),BK383)</f>
        <v>-2966899.28979462</v>
      </c>
      <c r="BL428" s="13" t="n">
        <f aca="false">IF(BL$4="Actuals",IF(BM$4="Actuals","",BM381),BL383)</f>
        <v>-3579341.43797429</v>
      </c>
      <c r="BM428" s="13" t="n">
        <f aca="false">IF(BM$4="Actuals",IF(BN$4="Actuals","",BN381),BM383)</f>
        <v>-4203389.66911755</v>
      </c>
      <c r="BN428" s="13" t="n">
        <f aca="false">IF(BN$4="Actuals",IF(BO$4="Actuals","",BO381),BN383)</f>
        <v>-4827437.90026082</v>
      </c>
      <c r="BO428" s="13" t="n">
        <f aca="false">IF(BO$4="Actuals",IF(BP$4="Actuals","",BP381),BO383)</f>
        <v>-5451486.13140408</v>
      </c>
      <c r="BP428" s="13" t="n">
        <f aca="false">IF(BP$4="Actuals",IF(BQ$4="Actuals","",BQ381),BP383)</f>
        <v>-6075534.36254734</v>
      </c>
      <c r="BQ428" s="13" t="n">
        <f aca="false">IF(BQ$4="Actuals",IF(BR$4="Actuals","",BR381),BQ383)</f>
        <v>-6699582.59369061</v>
      </c>
      <c r="BR428" s="13" t="n">
        <f aca="false">IF(BR$4="Actuals",IF(BS$4="Actuals","",BS381),BR383)</f>
        <v>-7270380.47483387</v>
      </c>
      <c r="BS428" s="13" t="n">
        <f aca="false">IF(BS$4="Actuals",IF(BT$4="Actuals","",BT381),BS383)</f>
        <v>-7894428.70597713</v>
      </c>
      <c r="BT428" s="13" t="n">
        <f aca="false">IF(BT$4="Actuals",IF(BU$4="Actuals","",BU381),BT383)</f>
        <v>-8518476.9371204</v>
      </c>
      <c r="BU428" s="13" t="n">
        <f aca="false">IF(BU$4="Actuals",IF(BV$4="Actuals","",BV381),BU383)</f>
        <v>-9074763.16826366</v>
      </c>
      <c r="BV428" s="13" t="n">
        <f aca="false">IF(BV$4="Actuals",IF(BW$4="Actuals","",BW381),BV383)</f>
        <v>-9698811.39940692</v>
      </c>
      <c r="BW428" s="13" t="n">
        <f aca="false">IF(BW$4="Actuals",IF(BX$4="Actuals","",BX381),BW383)</f>
        <v>-10322859.6305502</v>
      </c>
      <c r="BX428" s="13" t="n">
        <f aca="false">IF(BX$4="Actuals",IF(BY$4="Actuals","",BY381),BX383)</f>
        <v>-10879145.8616935</v>
      </c>
      <c r="BY428" s="13" t="n">
        <f aca="false">IF(BY$4="Actuals",IF(BZ$4="Actuals","",BZ381),BY383)</f>
        <v>-11515032.2974596</v>
      </c>
      <c r="BZ428" s="13" t="n">
        <f aca="false">IF(BZ$4="Actuals",IF(CA$4="Actuals","",CA381),BZ383)</f>
        <v>-12150918.7332257</v>
      </c>
      <c r="CA428" s="13" t="n">
        <f aca="false">IF(CA$4="Actuals",IF(CB$4="Actuals","",CB381),CA383)</f>
        <v>-12719043.1689918</v>
      </c>
      <c r="CB428" s="13" t="n">
        <f aca="false">IF(CB$4="Actuals",IF(CC$4="Actuals","",CC381),CB383)</f>
        <v>-13354929.604758</v>
      </c>
      <c r="CC428" s="13" t="n">
        <f aca="false">IF(CC$4="Actuals",IF(CD$4="Actuals","",CD381),CC383)</f>
        <v>-13990816.0405241</v>
      </c>
      <c r="CD428" s="13" t="n">
        <f aca="false">IF(CD$4="Actuals",IF(CE$4="Actuals","",CE381),CD383)</f>
        <v>-14550203.4762902</v>
      </c>
      <c r="CE428" s="13" t="n">
        <f aca="false">IF(CE$4="Actuals",IF(CF$4="Actuals","",CF381),CE383)</f>
        <v>-15186089.9120564</v>
      </c>
      <c r="CF428" s="13" t="n">
        <f aca="false">IF(CF$4="Actuals",IF(CG$4="Actuals","",CG381),CF383)</f>
        <v>-15821976.3478225</v>
      </c>
      <c r="CG428" s="13" t="n">
        <f aca="false">IF(CG$4="Actuals",IF(CH$4="Actuals","",CH381),CG383)</f>
        <v>-16381363.7835886</v>
      </c>
      <c r="CH428" s="13" t="n">
        <f aca="false">IF(CH$4="Actuals",IF(CI$4="Actuals","",CI381),CH383)</f>
        <v>-17017250.2193547</v>
      </c>
      <c r="CI428" s="13" t="n">
        <f aca="false">IF(CI$4="Actuals",IF(CJ$4="Actuals","",CJ381),CI383)</f>
        <v>-17653136.6551209</v>
      </c>
      <c r="CJ428" s="13" t="n">
        <f aca="false">IF(CJ$4="Actuals",IF(CK$4="Actuals","",CK381),CJ383)</f>
        <v>-18205916.0642805</v>
      </c>
      <c r="CK428" s="13" t="n">
        <f aca="false">IF(CK$4="Actuals",IF(CL$4="Actuals","",CL381),CK383)</f>
        <v>-18696016.468762</v>
      </c>
      <c r="CL428" s="13" t="n">
        <f aca="false">IF(CL$4="Actuals",IF(CM$4="Actuals","",CM381),CL383)</f>
        <v>-19186116.8732434</v>
      </c>
      <c r="CM428" s="13" t="n">
        <f aca="false">IF(CM$4="Actuals",IF(CN$4="Actuals","",CN381),CM383)</f>
        <v>-19676217.2777249</v>
      </c>
      <c r="CN428" s="13" t="n">
        <f aca="false">IF(CN$4="Actuals",IF(CO$4="Actuals","",CO381),CN383)</f>
        <v>-20166317.6822063</v>
      </c>
      <c r="CO428" s="13" t="n">
        <f aca="false">IF(CO$4="Actuals",IF(CP$4="Actuals","",CP381),CO383)</f>
        <v>-20656418.0866878</v>
      </c>
      <c r="CP428" s="13" t="n">
        <f aca="false">IF(CP$4="Actuals",IF(CQ$4="Actuals","",CQ381),CP383)</f>
        <v>-21146518.4911692</v>
      </c>
      <c r="CQ428" s="13" t="n">
        <f aca="false">IF(CQ$4="Actuals",IF(CR$4="Actuals","",CR381),CQ383)</f>
        <v>-21636618.8956507</v>
      </c>
      <c r="CR428" s="13" t="n">
        <f aca="false">IF(CR$4="Actuals",IF(CS$4="Actuals","",CS381),CR383)</f>
        <v>-22126719.3001321</v>
      </c>
      <c r="CS428" s="13" t="n">
        <f aca="false">IF(CS$4="Actuals",IF(CT$4="Actuals","",CT381),CS383)</f>
        <v>-22616819.7046136</v>
      </c>
      <c r="CT428" s="13" t="n">
        <f aca="false">IF(CT$4="Actuals",IF(CU$4="Actuals","",CU381),CT383)</f>
        <v>-23060656.3500549</v>
      </c>
      <c r="CU428" s="13" t="n">
        <f aca="false">IF(CU$4="Actuals",IF(CV$4="Actuals","",CV381),CU383)</f>
        <v>-23504492.9954962</v>
      </c>
      <c r="CV428" s="13" t="n">
        <f aca="false">IF(CV$4="Actuals",IF(CW$4="Actuals","",CW381),CV383)</f>
        <v>-23948329.6409375</v>
      </c>
      <c r="CW428" s="13" t="n">
        <f aca="false">IF(CW$4="Actuals",IF(CX$4="Actuals","",CX381),CW383)</f>
        <v>-24347849.328224</v>
      </c>
      <c r="CX428" s="13" t="n">
        <f aca="false">IF(CX$4="Actuals",IF(CY$4="Actuals","",CY381),CX383)</f>
        <v>-24729922.1665742</v>
      </c>
      <c r="CY428" s="13" t="n">
        <f aca="false">IF(CY$4="Actuals",IF(CZ$4="Actuals","",CZ381),CY383)</f>
        <v>-25111995.0049243</v>
      </c>
      <c r="CZ428" s="13" t="n">
        <f aca="false">IF(CZ$4="Actuals",IF(DA$4="Actuals","",DA381),CZ383)</f>
        <v>-25494067.8432745</v>
      </c>
      <c r="DA428" s="13" t="n">
        <f aca="false">IF(DA$4="Actuals",IF(DB$4="Actuals","",DB381),DA383)</f>
        <v>-25876140.6816246</v>
      </c>
      <c r="DB428" s="13" t="n">
        <f aca="false">IF(DB$4="Actuals",IF(DC$4="Actuals","",DC381),DB383)</f>
        <v>-26258213.5199747</v>
      </c>
      <c r="DC428" s="13" t="n">
        <f aca="false">IF(DC$4="Actuals",IF(DD$4="Actuals","",DD381),DC383)</f>
        <v>-26640286.3583249</v>
      </c>
      <c r="DD428" s="13" t="n">
        <f aca="false">IF(DD$4="Actuals",IF(DE$4="Actuals","",DE381),DD383)</f>
        <v>-27022359.196675</v>
      </c>
      <c r="DE428" s="13" t="n">
        <f aca="false">IF(DE$4="Actuals",IF(DF$4="Actuals","",DF381),DE383)</f>
        <v>-27404432.0350252</v>
      </c>
    </row>
    <row r="429" customFormat="false" ht="13.5" hidden="false" customHeight="true" outlineLevel="0" collapsed="false">
      <c r="A429" s="22" t="s">
        <v>230</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n">
        <f aca="false">IF(OR(I427="",I428=""),"",I428-I427)</f>
        <v>0</v>
      </c>
      <c r="J429" s="13" t="str">
        <f aca="false">IF(OR(J427="",J428=""),"",J428-J427)</f>
        <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3.5" hidden="false" customHeight="true" outlineLevel="0" collapsed="false">
      <c r="A430" s="22" t="s">
        <v>231</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OK</v>
      </c>
      <c r="J430" s="21" t="str">
        <f aca="false">IF(J429="","",IF(ABS(J429)&lt;1,"OK","CHECK"))</f>
        <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3.5" hidden="false" customHeight="true" outlineLevel="0" collapsed="false">
      <c r="A431" s="22" t="s">
        <v>232</v>
      </c>
      <c r="B431" s="13"/>
      <c r="C431" s="13"/>
      <c r="D431" s="13"/>
      <c r="E431" s="13"/>
      <c r="F431" s="13"/>
      <c r="G431" s="13"/>
      <c r="H431" s="73" t="n">
        <v>912018</v>
      </c>
      <c r="I431" s="73" t="n">
        <v>2649471</v>
      </c>
      <c r="J431" s="13" t="n">
        <v>1626284</v>
      </c>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233</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str">
        <f aca="false">IF(OR(J427="",J431=""),"",J431-J427)</f>
        <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3.5" hidden="false" customHeight="true" outlineLevel="0" collapsed="false">
      <c r="A434" s="23" t="s">
        <v>236</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3.5" hidden="false" customHeight="true" outlineLevel="0" collapsed="false">
      <c r="A435" s="70" t="s">
        <v>237</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3.5" hidden="false" customHeight="true" outlineLevel="0" collapsed="false">
      <c r="A436" s="22" t="s">
        <v>238</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3.5" hidden="false" customHeight="true" outlineLevel="0" collapsed="false">
      <c r="A437" s="22" t="s">
        <v>239</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73" t="n">
        <v>2921863</v>
      </c>
      <c r="C445" s="73" t="n">
        <v>3816651</v>
      </c>
      <c r="D445" s="73" t="n">
        <v>3367521</v>
      </c>
      <c r="E445" s="73" t="n">
        <v>4913957</v>
      </c>
      <c r="F445" s="73" t="n">
        <v>5548038</v>
      </c>
      <c r="G445" s="73" t="n">
        <v>8605828</v>
      </c>
      <c r="H445" s="73" t="n">
        <v>9463439</v>
      </c>
      <c r="I445" s="73" t="n">
        <v>8872832</v>
      </c>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3.5" hidden="false" customHeight="true" outlineLevel="0" collapsed="false">
      <c r="A446" s="22" t="s">
        <v>247</v>
      </c>
      <c r="B446" s="73" t="n">
        <v>417159</v>
      </c>
      <c r="C446" s="73" t="n">
        <v>552746</v>
      </c>
      <c r="D446" s="73" t="n">
        <v>682719</v>
      </c>
      <c r="E446" s="73" t="n">
        <v>863823</v>
      </c>
      <c r="F446" s="73" t="n">
        <v>1075205</v>
      </c>
      <c r="G446" s="73" t="n">
        <v>1343596</v>
      </c>
      <c r="H446" s="73" t="n">
        <v>1609222</v>
      </c>
      <c r="I446" s="73" t="n">
        <v>1872897</v>
      </c>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3.5" hidden="false" customHeight="true" outlineLevel="0" collapsed="false">
      <c r="A447" s="22" t="s">
        <v>248</v>
      </c>
      <c r="B447" s="73" t="n">
        <v>0</v>
      </c>
      <c r="C447" s="73" t="n">
        <v>0</v>
      </c>
      <c r="D447" s="73" t="n">
        <v>0</v>
      </c>
      <c r="E447" s="73" t="n">
        <v>0</v>
      </c>
      <c r="F447" s="73" t="n">
        <v>0</v>
      </c>
      <c r="G447" s="73" t="n">
        <v>0</v>
      </c>
      <c r="H447" s="73" t="n">
        <v>96097</v>
      </c>
      <c r="I447" s="73" t="n">
        <v>0</v>
      </c>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249</v>
      </c>
      <c r="B448" s="73" t="n">
        <v>4052636</v>
      </c>
      <c r="C448" s="73" t="n">
        <v>4295889</v>
      </c>
      <c r="D448" s="73" t="n">
        <v>4394933</v>
      </c>
      <c r="E448" s="73" t="n">
        <v>5359073</v>
      </c>
      <c r="F448" s="73" t="n">
        <v>6161063</v>
      </c>
      <c r="G448" s="73" t="n">
        <v>8892451</v>
      </c>
      <c r="H448" s="73" t="n">
        <v>8434511</v>
      </c>
      <c r="I448" s="73" t="n">
        <v>8606048</v>
      </c>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250</v>
      </c>
      <c r="B449" s="73" t="n">
        <v>246844</v>
      </c>
      <c r="C449" s="73" t="n">
        <v>362001</v>
      </c>
      <c r="D449" s="73" t="n">
        <v>458628</v>
      </c>
      <c r="E449" s="73" t="n">
        <v>625437</v>
      </c>
      <c r="F449" s="73" t="n">
        <v>812294</v>
      </c>
      <c r="G449" s="73" t="n">
        <v>1055651</v>
      </c>
      <c r="H449" s="73" t="n">
        <v>1280305</v>
      </c>
      <c r="I449" s="73" t="n">
        <v>1515221</v>
      </c>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3.5" hidden="false" customHeight="true" outlineLevel="0" collapsed="false">
      <c r="A451" s="70" t="s">
        <v>251</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252</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str">
        <f aca="false">IF(J397="","",I397)</f>
        <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3.5" hidden="false" customHeight="true" outlineLevel="0" collapsed="false">
      <c r="A453" s="22" t="s">
        <v>253</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-517304.675125</v>
      </c>
      <c r="J453" s="13" t="str">
        <f aca="false">IF(J$4="Actuals",J237,"")</f>
        <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3.5" hidden="false" customHeight="true" outlineLevel="0" collapsed="false">
      <c r="A454" s="22" t="s">
        <v>254</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str">
        <f aca="false">IF(J397="","",-(SUM(J445:J447)-SUM(I445:I447)))</f>
        <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3.5" hidden="false" customHeight="true" outlineLevel="0" collapsed="false">
      <c r="A455" s="22" t="s">
        <v>255</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str">
        <f aca="false">IF(J397="","",SUM(J448:J449)-SUM(I448:I449))</f>
        <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3.5" hidden="false" customHeight="true" outlineLevel="0" collapsed="false">
      <c r="A456" s="22" t="s">
        <v>256</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691588.675125</v>
      </c>
      <c r="J456" s="13" t="str">
        <f aca="false">IF(J397="","",J397-J452-J453-J454-J455)</f>
        <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3.5" hidden="false" customHeight="true" outlineLevel="0" collapsed="false">
      <c r="A457" s="67" t="s">
        <v>257</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str">
        <f aca="false">IF(J397="","",J397)</f>
        <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3.5" hidden="false" customHeight="true" outlineLevel="0" collapsed="false">
      <c r="A458" s="22" t="s">
        <v>258</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1521070.675125</v>
      </c>
      <c r="J458" s="13" t="str">
        <f aca="false">IF(J397="","",J397-J452-J453)</f>
        <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3.5" hidden="false" customHeight="true" outlineLevel="0" collapsed="false">
      <c r="A460" s="70" t="s">
        <v>259</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3.5" hidden="false" customHeight="true" outlineLevel="0" collapsed="false">
      <c r="A461" s="22" t="s">
        <v>260</v>
      </c>
      <c r="B461" s="73" t="n">
        <v>1301264</v>
      </c>
      <c r="C461" s="73" t="n">
        <v>1306764</v>
      </c>
      <c r="D461" s="73" t="n">
        <v>1217660</v>
      </c>
      <c r="E461" s="73" t="n">
        <v>998958</v>
      </c>
      <c r="F461" s="73" t="n">
        <v>989458</v>
      </c>
      <c r="G461" s="73" t="n">
        <v>939458</v>
      </c>
      <c r="H461" s="73" t="n">
        <v>860154</v>
      </c>
      <c r="I461" s="13" t="n">
        <v>1013501</v>
      </c>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3.5" hidden="false" customHeight="true" outlineLevel="0" collapsed="false">
      <c r="A462" s="22" t="s">
        <v>261</v>
      </c>
      <c r="B462" s="73" t="n">
        <v>3067551</v>
      </c>
      <c r="C462" s="73" t="n">
        <v>3100884</v>
      </c>
      <c r="D462" s="73" t="n">
        <v>3265551</v>
      </c>
      <c r="E462" s="73" t="n">
        <v>3021000</v>
      </c>
      <c r="F462" s="73" t="n">
        <v>3320315</v>
      </c>
      <c r="G462" s="73" t="n">
        <v>4437495</v>
      </c>
      <c r="H462" s="73" t="n">
        <v>4083064</v>
      </c>
      <c r="I462" s="13" t="n">
        <v>2929492</v>
      </c>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3.5" hidden="false" customHeight="true" outlineLevel="0" collapsed="false">
      <c r="A463" s="22" t="s">
        <v>262</v>
      </c>
      <c r="B463" s="73" t="n">
        <v>299000</v>
      </c>
      <c r="C463" s="73" t="n">
        <v>299000</v>
      </c>
      <c r="D463" s="73" t="n">
        <v>299000</v>
      </c>
      <c r="E463" s="73" t="n">
        <v>299000</v>
      </c>
      <c r="F463" s="73" t="n">
        <v>299000</v>
      </c>
      <c r="G463" s="73" t="n">
        <v>0</v>
      </c>
      <c r="H463" s="73" t="n">
        <v>0</v>
      </c>
      <c r="I463" s="13" t="n">
        <v>0</v>
      </c>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3.5" hidden="false" customHeight="true" outlineLevel="0" collapsed="false">
      <c r="A465" s="70" t="s">
        <v>263</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252</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str">
        <f aca="false">IF(J403="","",I403)</f>
        <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3.5" hidden="false" customHeight="true" outlineLevel="0" collapsed="false">
      <c r="A467" s="22" t="s">
        <v>264</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-113826.21</v>
      </c>
      <c r="H467" s="13" t="n">
        <f aca="false">IF(H$4="Actuals",H293,"")</f>
        <v>-118383.36</v>
      </c>
      <c r="I467" s="13" t="n">
        <f aca="false">IF(I$4="Actuals",I293,"")</f>
        <v>-3786.68999999997</v>
      </c>
      <c r="J467" s="13" t="str">
        <f aca="false">IF(J$4="Actuals",J293,"")</f>
        <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3.5" hidden="false" customHeight="true" outlineLevel="0" collapsed="false">
      <c r="A468" s="22" t="s">
        <v>265</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str">
        <f aca="false">IF(J403="","",J462-I462)</f>
        <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3.5" hidden="false" customHeight="true" outlineLevel="0" collapsed="false">
      <c r="A469" s="22" t="s">
        <v>266</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str">
        <f aca="false">IF(J403="","",-(J461-I461))</f>
        <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3.5" hidden="false" customHeight="true" outlineLevel="0" collapsed="false">
      <c r="A470" s="22" t="s">
        <v>267</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str">
        <f aca="false">IF(J403="","",J463-I463)</f>
        <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3.5" hidden="false" customHeight="true" outlineLevel="0" collapsed="false">
      <c r="A471" s="22" t="s">
        <v>268</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-432236.79</v>
      </c>
      <c r="H471" s="13" t="n">
        <f aca="false">IF(H403="","",H403-H466-H467-H468-H469-H470)</f>
        <v>-149634.64</v>
      </c>
      <c r="I471" s="13" t="n">
        <f aca="false">IF(I403="","",I403-I466-I467-I468-I469-I470)</f>
        <v>1846672.69</v>
      </c>
      <c r="J471" s="13" t="str">
        <f aca="false">IF(J403="","",J403-J466-J467-J468-J469-J470)</f>
        <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3.5" hidden="false" customHeight="true" outlineLevel="0" collapsed="false">
      <c r="A472" s="67" t="s">
        <v>257</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str">
        <f aca="false">IF(J403="","",J403)</f>
        <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3.5" hidden="false" customHeight="true" outlineLevel="0" collapsed="false">
      <c r="A474" s="75" t="s">
        <v>206</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3.5" hidden="false" customHeight="true" outlineLevel="0" collapsed="false">
      <c r="A475" s="70" t="s">
        <v>269</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3.5" hidden="false" customHeight="true" outlineLevel="0" collapsed="false">
      <c r="A476" s="70" t="s">
        <v>270</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3.5" hidden="false" customHeight="true" outlineLevel="0" collapsed="false">
      <c r="A477" s="70" t="s">
        <v>271</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272</v>
      </c>
      <c r="B1" s="76"/>
      <c r="C1" s="76"/>
      <c r="D1" s="76"/>
      <c r="E1" s="76"/>
      <c r="F1" s="3"/>
      <c r="G1" s="3"/>
      <c r="H1" s="3"/>
      <c r="I1" s="3"/>
    </row>
    <row r="2" customFormat="false" ht="15" hidden="false" customHeight="true" outlineLevel="0" collapsed="false">
      <c r="A2" s="15" t="s">
        <v>273</v>
      </c>
      <c r="B2" s="49" t="s">
        <v>274</v>
      </c>
      <c r="C2" s="49" t="s">
        <v>275</v>
      </c>
      <c r="D2" s="49" t="s">
        <v>276</v>
      </c>
      <c r="E2" s="49" t="s">
        <v>277</v>
      </c>
      <c r="F2" s="49" t="s">
        <v>278</v>
      </c>
      <c r="G2" s="49" t="s">
        <v>279</v>
      </c>
      <c r="H2" s="49" t="s">
        <v>280</v>
      </c>
      <c r="I2" s="49" t="s">
        <v>281</v>
      </c>
      <c r="J2" s="49" t="s">
        <v>282</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283</v>
      </c>
      <c r="B4" s="13" t="n">
        <f aca="false">SUM(Model!B10:M10)</f>
        <v>3747256.72908282</v>
      </c>
      <c r="C4" s="13" t="n">
        <f aca="false">SUM(Model!N10:Y10)</f>
        <v>7316525.38077403</v>
      </c>
      <c r="D4" s="13" t="n">
        <f aca="false">SUM(Model!Z10:AK10)</f>
        <v>7457407.11478496</v>
      </c>
      <c r="E4" s="13" t="n">
        <f aca="false">SUM(Model!AL10:AW10)</f>
        <v>2938569.41681862</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284</v>
      </c>
      <c r="B5" s="13" t="n">
        <f aca="false">SUM(Model!B11:M11)</f>
        <v>2819529.54316545</v>
      </c>
      <c r="C5" s="13" t="n">
        <f aca="false">SUM(Model!N11:Y11)</f>
        <v>5553556.62426349</v>
      </c>
      <c r="D5" s="13" t="n">
        <f aca="false">SUM(Model!Z11:AK11)</f>
        <v>5594346.19264187</v>
      </c>
      <c r="E5" s="13" t="n">
        <f aca="false">SUM(Model!AL11:AW11)</f>
        <v>2203917.06350583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285</v>
      </c>
      <c r="B6" s="13" t="n">
        <f aca="false">SUM(Model!B57:M57)</f>
        <v>50774848.9526328</v>
      </c>
      <c r="C6" s="13" t="n">
        <f aca="false">SUM(Model!N57:Y57)</f>
        <v>99511533.8134651</v>
      </c>
      <c r="D6" s="13" t="n">
        <f aca="false">SUM(Model!Z57:AK57)</f>
        <v>97217780.6306616</v>
      </c>
      <c r="E6" s="13" t="n">
        <f aca="false">SUM(Model!AL57:AW57)</f>
        <v>36566330.3259136</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57341635.2248811</v>
      </c>
      <c r="C7" s="30" t="n">
        <f aca="false">SUM(Model!N58:Y58)</f>
        <v>112381615.818503</v>
      </c>
      <c r="D7" s="30" t="n">
        <f aca="false">SUM(Model!Z58:AK58)</f>
        <v>110269533.938088</v>
      </c>
      <c r="E7" s="30" t="n">
        <f aca="false">SUM(Model!AL58:AW58)</f>
        <v>41708816.806238</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-49632865.6114253</v>
      </c>
      <c r="C8" s="13" t="n">
        <f aca="false">SUM(Model!N104:Y104)</f>
        <v>-99828549.6734651</v>
      </c>
      <c r="D8" s="13" t="n">
        <f aca="false">SUM(Model!Z104:AK104)</f>
        <v>-97217780.6306616</v>
      </c>
      <c r="E8" s="13" t="n">
        <f aca="false">SUM(Model!AL104:AW104)</f>
        <v>-36566330.3259136</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286</v>
      </c>
      <c r="B9" s="13" t="n">
        <f aca="false">SUM(Model!B150:M150)</f>
        <v>1557253.76231527</v>
      </c>
      <c r="C9" s="13" t="n">
        <f aca="false">SUM(Model!N150:Y150)</f>
        <v>1529474.85221675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287</v>
      </c>
      <c r="B10" s="13" t="n">
        <f aca="false">SUM(Model!B196:M196)</f>
        <v>-1069700.04530973</v>
      </c>
      <c r="C10" s="13" t="n">
        <f aca="false">SUM(Model!N196:Y196)</f>
        <v>-1834095.26028325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288</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289</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6312359.05254232</v>
      </c>
      <c r="C13" s="32" t="n">
        <f aca="false">SUM(Model!N199:Y199)</f>
        <v>10766361.7747543</v>
      </c>
      <c r="D13" s="32" t="n">
        <f aca="false">SUM(Model!Z199:AK199)</f>
        <v>12318879.9644712</v>
      </c>
      <c r="E13" s="32" t="n">
        <f aca="false">SUM(Model!AL199:AW199)</f>
        <v>5142486.48032444</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0.110083345683929</v>
      </c>
      <c r="C14" s="78" t="n">
        <f aca="false">IFERROR(C13/C7,0)</f>
        <v>0.095801806161446</v>
      </c>
      <c r="D14" s="78" t="n">
        <f aca="false">IFERROR(D13/D7,0)</f>
        <v>0.111716078997737</v>
      </c>
      <c r="E14" s="78" t="n">
        <f aca="false">IFERROR(E13/E7,0)</f>
        <v>0.123294949943421</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290</v>
      </c>
      <c r="B17" s="13" t="n">
        <f aca="false">SUM(Model!B203:M204)+SUM(Model!B206:M210)</f>
        <v>-3026926.27866667</v>
      </c>
      <c r="C17" s="13" t="n">
        <f aca="false">SUM(Model!N203:Y204)+SUM(Model!N206:Y210)</f>
        <v>-5553715.91054</v>
      </c>
      <c r="D17" s="13" t="n">
        <f aca="false">SUM(Model!Z203:AK204)+SUM(Model!Z206:AK210)</f>
        <v>-5506383.6167508</v>
      </c>
      <c r="E17" s="13" t="n">
        <f aca="false">SUM(Model!AL203:AW204)+SUM(Model!AL206:AW210)</f>
        <v>-4117901.67637582</v>
      </c>
      <c r="F17" s="13" t="n">
        <f aca="false">SUM(Model!AX203:BI204)+SUM(Model!AX206:BI210)</f>
        <v>-3987657.29918333</v>
      </c>
      <c r="G17" s="13" t="n">
        <f aca="false">SUM(Model!BJ203:BU204)+SUM(Model!BJ206:BU210)</f>
        <v>-4067410.445167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291</v>
      </c>
      <c r="B18" s="13" t="n">
        <f aca="false">SUM(Model!B211:M233)+SUM(Model!B235:M235)</f>
        <v>-1035910.81</v>
      </c>
      <c r="C18" s="13" t="n">
        <f aca="false">SUM(Model!N211:Y233)+SUM(Model!N235:Y235)</f>
        <v>-886588.7688</v>
      </c>
      <c r="D18" s="13" t="n">
        <f aca="false">SUM(Model!Z211:AK233)+SUM(Model!Z235:AK235)</f>
        <v>-856703.813406769</v>
      </c>
      <c r="E18" s="13" t="n">
        <f aca="false">SUM(Model!AL211:AW233)+SUM(Model!AL235:AW235)</f>
        <v>-886645.581982597</v>
      </c>
      <c r="F18" s="13" t="n">
        <f aca="false">SUM(Model!AX211:BI233)+SUM(Model!AX235:BI235)</f>
        <v>-817216.95516071</v>
      </c>
      <c r="G18" s="13" t="n">
        <f aca="false">SUM(Model!BJ211:BU233)+SUM(Model!BJ235:BU235)</f>
        <v>-829961.294263925</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292</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293</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-4066669.58866667</v>
      </c>
      <c r="C21" s="30" t="n">
        <f aca="false">SUM(Model!N236:Y236)</f>
        <v>-6440304.67934</v>
      </c>
      <c r="D21" s="30" t="n">
        <f aca="false">SUM(Model!Z236:AK236)</f>
        <v>-6363087.43015757</v>
      </c>
      <c r="E21" s="30" t="n">
        <f aca="false">SUM(Model!AL236:AW236)</f>
        <v>-5004547.25835841</v>
      </c>
      <c r="F21" s="30" t="n">
        <f aca="false">SUM(Model!AX236:BI236)</f>
        <v>-4804874.25434404</v>
      </c>
      <c r="G21" s="30" t="n">
        <f aca="false">SUM(Model!BJ236:BU236)</f>
        <v>-4897371.73943092</v>
      </c>
      <c r="H21" s="30" t="n">
        <f aca="false">SUM(Model!BV236:CG236)</f>
        <v>-4991719.17421954</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2245689.46387566</v>
      </c>
      <c r="C22" s="30" t="n">
        <f aca="false">SUM(Model!N237:Y237)</f>
        <v>4326057.09541427</v>
      </c>
      <c r="D22" s="30" t="n">
        <f aca="false">SUM(Model!Z237:AK237)</f>
        <v>5955792.53431359</v>
      </c>
      <c r="E22" s="30" t="n">
        <f aca="false">SUM(Model!AL237:AW237)</f>
        <v>137939.22196603</v>
      </c>
      <c r="F22" s="30" t="n">
        <f aca="false">SUM(Model!AX237:BI237)</f>
        <v>-2821681.92973443</v>
      </c>
      <c r="G22" s="30" t="n">
        <f aca="false">SUM(Model!BJ237:BU237)</f>
        <v>-4897371.73943092</v>
      </c>
      <c r="H22" s="30" t="n">
        <f aca="false">SUM(Model!BV237:CG237)</f>
        <v>-4991719.17421954</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0.0391633314095171</v>
      </c>
      <c r="C23" s="78" t="n">
        <f aca="false">IFERROR(C22/C7,0)</f>
        <v>0.0384943485988037</v>
      </c>
      <c r="D23" s="78" t="n">
        <f aca="false">IFERROR(D22/D7,0)</f>
        <v>0.0540112243301718</v>
      </c>
      <c r="E23" s="78" t="n">
        <f aca="false">IFERROR(E22/E7,0)</f>
        <v>0.0033071957568789</v>
      </c>
      <c r="F23" s="78" t="n">
        <f aca="false">IFERROR(F22/F7,0)</f>
        <v>-0.212816588798145</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-2407825.26</v>
      </c>
      <c r="C26" s="13" t="n">
        <f aca="false">Model!N292+Model!O292+Model!P292+Model!Q292+Model!R292+Model!S292+Model!T292+Model!U292+Model!V292+Model!W292+Model!X292+Model!Y292</f>
        <v>-2377369.7316</v>
      </c>
      <c r="D26" s="13" t="n">
        <f aca="false">Model!Z292+Model!AA292+Model!AB292+Model!AC292+Model!AD292+Model!AE292+Model!AF292+Model!AG292+Model!AH292+Model!AI292+Model!AJ292+Model!AK292</f>
        <v>-2420804.006232</v>
      </c>
      <c r="E26" s="13" t="n">
        <f aca="false">Model!AL292+Model!AM292+Model!AN292+Model!AO292+Model!AP292+Model!AQ292+Model!AR292+Model!AS292+Model!AT292+Model!AU292+Model!AV292+Model!AW292</f>
        <v>-2628471.96635664</v>
      </c>
      <c r="F26" s="13" t="n">
        <f aca="false">Model!AX292+Model!AY292+Model!AZ292+Model!BA292+Model!BB292+Model!BC292+Model!BD292+Model!BE292+Model!BF292+Model!BG292+Model!BH292+Model!BI292</f>
        <v>-3787252.98568377</v>
      </c>
      <c r="G26" s="13" t="n">
        <f aca="false">Model!BJ292+Model!BK292+Model!BL292+Model!BM292+Model!BN292+Model!BO292+Model!BP292+Model!BQ292+Model!BR292+Model!BS292+Model!BT292+Model!BU292</f>
        <v>-2981936.43539745</v>
      </c>
      <c r="H26" s="13" t="n">
        <f aca="false">Model!BV292+Model!BW292+Model!BX292+Model!BY292+Model!BZ292+Model!CA292+Model!CB292+Model!CC292+Model!CD292+Model!CE292+Model!CF292+Model!CG292</f>
        <v>-3134874.4411054</v>
      </c>
      <c r="I26" s="13" t="n">
        <f aca="false">Model!CH292+Model!CI292+Model!CJ292+Model!CK292+Model!CL292+Model!CM292+Model!CN292+Model!CO292+Model!CP292+Model!CQ292+Model!CR292+Model!CS292</f>
        <v>-3457662.36332103</v>
      </c>
      <c r="J26" s="13" t="n">
        <f aca="false">Model!CT292+Model!CU292+Model!CV292+Model!CW292+Model!CX292+Model!CY292+Model!CZ292+Model!DA292+Model!DB292+Model!DC292+Model!DD292+Model!DE292</f>
        <v>-2865188.97658546</v>
      </c>
    </row>
    <row r="27" customFormat="false" ht="15" hidden="false" customHeight="true" outlineLevel="0" collapsed="false">
      <c r="A27" s="36" t="s">
        <v>138</v>
      </c>
      <c r="B27" s="37" t="n">
        <f aca="false">Model!E293+Model!F293+Model!G293+Model!H293+Model!I293+Model!J293+Model!K293+Model!L293+Model!M293+Model!B293+Model!C293+Model!D293</f>
        <v>-1792019.62</v>
      </c>
      <c r="C27" s="37" t="n">
        <f aca="false">Model!N293+Model!O293+Model!P293+Model!Q293+Model!R293+Model!S293+Model!T293+Model!U293+Model!V293+Model!W293+Model!X293+Model!Y293</f>
        <v>-1989925.65265263</v>
      </c>
      <c r="D27" s="37" t="n">
        <f aca="false">Model!Z293+Model!AA293+Model!AB293+Model!AC293+Model!AD293+Model!AE293+Model!AF293+Model!AG293+Model!AH293+Model!AI293+Model!AJ293+Model!AK293</f>
        <v>-2173185.58517937</v>
      </c>
      <c r="E27" s="37" t="n">
        <f aca="false">Model!AL293+Model!AM293+Model!AN293+Model!AO293+Model!AP293+Model!AQ293+Model!AR293+Model!AS293+Model!AT293+Model!AU293+Model!AV293+Model!AW293</f>
        <v>-2465106.96635664</v>
      </c>
      <c r="F27" s="37" t="n">
        <f aca="false">Model!AX293+Model!AY293+Model!AZ293+Model!BA293+Model!BB293+Model!BC293+Model!BD293+Model!BE293+Model!BF293+Model!BG293+Model!BH293+Model!BI293</f>
        <v>-2510295.98568377</v>
      </c>
      <c r="G27" s="37" t="n">
        <f aca="false">Model!BJ293+Model!BK293+Model!BL293+Model!BM293+Model!BN293+Model!BO293+Model!BP293+Model!BQ293+Model!BR293+Model!BS293+Model!BT293+Model!BU293</f>
        <v>-2435376.43539745</v>
      </c>
      <c r="H27" s="37" t="n">
        <f aca="false">Model!BV293+Model!BW293+Model!BX293+Model!BY293+Model!BZ293+Model!CA293+Model!CB293+Model!CC293+Model!CD293+Model!CE293+Model!CF293+Model!CG293</f>
        <v>-2314881.4411054</v>
      </c>
      <c r="I27" s="37" t="n">
        <f aca="false">Model!CH293+Model!CI293+Model!CJ293+Model!CK293+Model!CL293+Model!CM293+Model!CN293+Model!CO293+Model!CP293+Model!CQ293+Model!CR293+Model!CS293</f>
        <v>-1147502.36332103</v>
      </c>
      <c r="J27" s="37" t="n">
        <f aca="false">Model!CT293+Model!CU293+Model!CV293+Model!CW293+Model!CX293+Model!CY293+Model!CZ293+Model!DA293+Model!DB293+Model!DC293+Model!DD293+Model!DE293</f>
        <v>-92996.9765854594</v>
      </c>
    </row>
    <row r="28" customFormat="false" ht="15" hidden="false" customHeight="true" outlineLevel="0" collapsed="false">
      <c r="A28" s="22" t="s">
        <v>294</v>
      </c>
      <c r="B28" s="13" t="n">
        <f aca="false">Model!E297+Model!F297+Model!G297+Model!H297+Model!I297+Model!J297+Model!K297+Model!L297+Model!M297+Model!B297+Model!C297+Model!D297</f>
        <v>1279.75153333334</v>
      </c>
      <c r="C28" s="13" t="n">
        <f aca="false">Model!N297+Model!O297+Model!P297+Model!Q297+Model!R297+Model!S297+Model!T297+Model!U297+Model!V297+Model!W297+Model!X297+Model!Y297</f>
        <v>131310.163110778</v>
      </c>
      <c r="D28" s="13" t="n">
        <f aca="false">Model!Z297+Model!AA297+Model!AB297+Model!AC297+Model!AD297+Model!AE297+Model!AF297+Model!AG297+Model!AH297+Model!AI297+Model!AJ297+Model!AK297</f>
        <v>130686.025804122</v>
      </c>
      <c r="E28" s="13" t="n">
        <f aca="false">Model!AL297+Model!AM297+Model!AN297+Model!AO297+Model!AP297+Model!AQ297+Model!AR297+Model!AS297+Model!AT297+Model!AU297+Model!AV297+Model!AW297</f>
        <v>5584.27117921855</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295</v>
      </c>
      <c r="B30" s="37" t="n">
        <f aca="false">Model!E308+Model!F308+Model!G308+Model!H308+Model!I308+Model!J308+Model!K308+Model!L308+Model!M308+Model!B308+Model!C308+Model!D308</f>
        <v>454949.595408988</v>
      </c>
      <c r="C30" s="37" t="n">
        <f aca="false">Model!N308+Model!O308+Model!P308+Model!Q308+Model!R308+Model!S308+Model!T308+Model!U308+Model!V308+Model!W308+Model!X308+Model!Y308</f>
        <v>2467441.60587242</v>
      </c>
      <c r="D30" s="37" t="n">
        <f aca="false">Model!Z308+Model!AA308+Model!AB308+Model!AC308+Model!AD308+Model!AE308+Model!AF308+Model!AG308+Model!AH308+Model!AI308+Model!AJ308+Model!AK308</f>
        <v>3913292.97493834</v>
      </c>
      <c r="E30" s="37" t="n">
        <f aca="false">Model!AL308+Model!AM308+Model!AN308+Model!AO308+Model!AP308+Model!AQ308+Model!AR308+Model!AS308+Model!AT308+Model!AU308+Model!AV308+Model!AW308</f>
        <v>-2321583.47321139</v>
      </c>
      <c r="F30" s="37" t="n">
        <f aca="false">Model!AX308+Model!AY308+Model!AZ308+Model!BA308+Model!BB308+Model!BC308+Model!BD308+Model!BE308+Model!BF308+Model!BG308+Model!BH308+Model!BI308</f>
        <v>-5331977.9154182</v>
      </c>
      <c r="G30" s="37" t="n">
        <f aca="false">Model!BJ308+Model!BK308+Model!BL308+Model!BM308+Model!BN308+Model!BO308+Model!BP308+Model!BQ308+Model!BR308+Model!BS308+Model!BT308+Model!BU308</f>
        <v>-7332748.17482837</v>
      </c>
      <c r="H30" s="37" t="n">
        <f aca="false">Model!BV308+Model!BW308+Model!BX308+Model!BY308+Model!BZ308+Model!CA308+Model!CB308+Model!CC308+Model!CD308+Model!CE308+Model!CF308+Model!CG308</f>
        <v>-7306600.61532494</v>
      </c>
      <c r="I30" s="37" t="n">
        <f aca="false">Model!CH308+Model!CI308+Model!CJ308+Model!CK308+Model!CL308+Model!CM308+Model!CN308+Model!CO308+Model!CP308+Model!CQ308+Model!CR308+Model!CS308</f>
        <v>-6235455.92102496</v>
      </c>
      <c r="J30" s="37" t="n">
        <f aca="false">Model!CT308+Model!CU308+Model!CV308+Model!CW308+Model!CX308+Model!CY308+Model!CZ308+Model!DA308+Model!DB308+Model!DC308+Model!DD308+Model!DE308</f>
        <v>-4787612.3304116</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296</v>
      </c>
      <c r="B32" s="25"/>
      <c r="C32" s="25"/>
      <c r="D32" s="25"/>
      <c r="E32" s="25"/>
      <c r="F32" s="25"/>
      <c r="G32" s="25"/>
      <c r="H32" s="25"/>
      <c r="I32" s="25"/>
      <c r="J32" s="25"/>
    </row>
    <row r="33" customFormat="false" ht="15" hidden="false" customHeight="true" outlineLevel="0" collapsed="false">
      <c r="A33" s="22" t="s">
        <v>297</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298</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299</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300</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301</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-219466</v>
      </c>
      <c r="I37" s="13" t="n">
        <f aca="false">Model!CH291+Model!CI291+Model!CJ291+Model!CK291+Model!CL291+Model!CM291+Model!CN291+Model!CO291+Model!CP291+Model!CQ291+Model!CR291+Model!CS291</f>
        <v>-731550</v>
      </c>
      <c r="J37" s="13" t="n">
        <f aca="false">Model!CT291+Model!CU291+Model!CV291+Model!CW291+Model!CX291+Model!CY291+Model!CZ291+Model!DA291+Model!DB291+Model!DC291+Model!DD291+Model!DE291</f>
        <v>-236911.848936407</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302</v>
      </c>
      <c r="B39" s="25"/>
      <c r="C39" s="25"/>
      <c r="D39" s="25"/>
      <c r="E39" s="25"/>
      <c r="F39" s="25"/>
      <c r="G39" s="25"/>
      <c r="H39" s="25"/>
      <c r="I39" s="25"/>
      <c r="J39" s="25"/>
    </row>
    <row r="40" customFormat="false" ht="15" hidden="false" customHeight="true" outlineLevel="0" collapsed="false">
      <c r="A40" s="22" t="s">
        <v>303</v>
      </c>
      <c r="B40" s="13" t="n">
        <f aca="false">Model!E316+Model!F316+Model!G316+Model!H316+Model!I316+Model!J316+Model!K316+Model!L316+Model!M316+Model!B316+Model!C316+Model!D316</f>
        <v>0</v>
      </c>
      <c r="C40" s="13" t="n">
        <f aca="false">Model!N316+Model!O316+Model!P316+Model!Q316+Model!R316+Model!S316+Model!T316+Model!U316+Model!V316+Model!W316+Model!X316+Model!Y316</f>
        <v>-1344000</v>
      </c>
      <c r="D40" s="13" t="n">
        <f aca="false">Model!Z316+Model!AA316+Model!AB316+Model!AC316+Model!AD316+Model!AE316+Model!AF316+Model!AG316+Model!AH316+Model!AI316+Model!AJ316+Model!AK316</f>
        <v>-651981.430278598</v>
      </c>
      <c r="E40" s="13" t="n">
        <f aca="false">Model!AL316+Model!AM316+Model!AN316+Model!AO316+Model!AP316+Model!AQ316+Model!AR316+Model!AS316+Model!AT316+Model!AU316+Model!AV316+Model!AW316</f>
        <v>0</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304</v>
      </c>
      <c r="B41" s="13" t="n">
        <f aca="false">Model!M317</f>
        <v>1804127.58143555</v>
      </c>
      <c r="C41" s="13" t="n">
        <f aca="false">Model!Y317</f>
        <v>633307.759294967</v>
      </c>
      <c r="D41" s="13" t="n">
        <f aca="false">Model!AK317</f>
        <v>0</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305</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-250000</v>
      </c>
      <c r="F42" s="13" t="n">
        <f aca="false">Model!AX322+Model!AY322+Model!AZ322+Model!BA322+Model!BB322+Model!BC322+Model!BD322+Model!BE322+Model!BF322+Model!BG322+Model!BH322+Model!BI322</f>
        <v>0</v>
      </c>
      <c r="G42" s="13" t="n">
        <f aca="false">Model!BJ322+Model!BK322+Model!BL322+Model!BM322+Model!BN322+Model!BO322+Model!BP322+Model!BQ322+Model!BR322+Model!BS322+Model!BT322+Model!BU322</f>
        <v>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306</v>
      </c>
      <c r="B43" s="13" t="n">
        <f aca="false">Model!M323</f>
        <v>1000000</v>
      </c>
      <c r="C43" s="13" t="n">
        <f aca="false">Model!Y323</f>
        <v>1000000</v>
      </c>
      <c r="D43" s="13" t="n">
        <f aca="false">Model!AK323</f>
        <v>750000</v>
      </c>
      <c r="E43" s="13" t="n">
        <f aca="false">Model!AW323</f>
        <v>500000</v>
      </c>
      <c r="F43" s="13" t="n">
        <f aca="false">Model!BI323</f>
        <v>500000</v>
      </c>
      <c r="G43" s="13" t="n">
        <f aca="false">Model!BU323</f>
        <v>500000</v>
      </c>
      <c r="H43" s="13" t="n">
        <f aca="false">Model!CG323</f>
        <v>500000</v>
      </c>
      <c r="I43" s="13" t="n">
        <f aca="false">Model!CS323</f>
        <v>500000</v>
      </c>
      <c r="J43" s="13" t="n">
        <f aca="false">Model!DE323</f>
        <v>500000</v>
      </c>
    </row>
    <row r="44" customFormat="false" ht="15" hidden="false" customHeight="true" outlineLevel="0" collapsed="false">
      <c r="A44" s="22" t="s">
        <v>307</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308</v>
      </c>
      <c r="B45" s="13" t="n">
        <f aca="false">Model!M330+Model!M335+Model!M340+Model!M345</f>
        <v>2378399.92018311</v>
      </c>
      <c r="C45" s="13" t="n">
        <f aca="false">Model!Y330+Model!Y335+Model!Y340+Model!Y345</f>
        <v>1714451.09866009</v>
      </c>
      <c r="D45" s="13" t="n">
        <f aca="false">Model!AK330+Model!AK335+Model!AK340+Model!AK345</f>
        <v>1035128.51554915</v>
      </c>
      <c r="E45" s="13" t="n">
        <f aca="false">Model!AW330+Model!AW335+Model!AW340+Model!AW345</f>
        <v>1199352.08415979</v>
      </c>
      <c r="F45" s="13" t="n">
        <f aca="false">Model!BI330+Model!BI335+Model!BI340+Model!BI345</f>
        <v>975331.495449082</v>
      </c>
      <c r="G45" s="13" t="n">
        <f aca="false">Model!BU330+Model!BU335+Model!BU340+Model!BU345</f>
        <v>820735.28594806</v>
      </c>
      <c r="H45" s="13" t="n">
        <f aca="false">Model!CG330+Model!CG335+Model!CG340+Model!CG345</f>
        <v>621470.381107174</v>
      </c>
      <c r="I45" s="13" t="n">
        <f aca="false">Model!CS330+Model!CS335+Model!CS340+Model!CS345</f>
        <v>233637.0833122</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309</v>
      </c>
      <c r="B47" s="13" t="n">
        <f aca="false">Model!M356</f>
        <v>93841157.4299332</v>
      </c>
      <c r="C47" s="13" t="n">
        <f aca="false">Model!Y356</f>
        <v>114921954.782205</v>
      </c>
      <c r="D47" s="13" t="n">
        <f aca="false">Model!AK356</f>
        <v>55038862.430782</v>
      </c>
      <c r="E47" s="13" t="n">
        <f aca="false">Model!AW356</f>
        <v>13258584.501624</v>
      </c>
      <c r="F47" s="13" t="n">
        <f aca="false">Model!BI356</f>
        <v>0</v>
      </c>
      <c r="G47" s="13" t="n">
        <f aca="false">Model!BU356</f>
        <v>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193</v>
      </c>
      <c r="B49" s="83" t="n">
        <f aca="false">Model!M369</f>
        <v>2169280.11445269</v>
      </c>
      <c r="C49" s="83" t="n">
        <f aca="false">Model!Y369</f>
        <v>4536405.69841659</v>
      </c>
      <c r="D49" s="83" t="n">
        <f aca="false">Model!AK369</f>
        <v>11072320.422959</v>
      </c>
      <c r="E49" s="83" t="n">
        <f aca="false">Model!AW369</f>
        <v>12113984.245129</v>
      </c>
      <c r="F49" s="83" t="n">
        <f aca="false">Model!BI369</f>
        <v>9599738.61508826</v>
      </c>
      <c r="G49" s="83" t="n">
        <f aca="false">Model!BU369</f>
        <v>4702366.87565734</v>
      </c>
      <c r="H49" s="83" t="n">
        <f aca="false">Model!CG369</f>
        <v>-289352.298562206</v>
      </c>
      <c r="I49" s="83" t="n">
        <f aca="false">Model!CS369</f>
        <v>-5377305.85626614</v>
      </c>
      <c r="J49" s="83" t="n">
        <f aca="false">Model!DE369</f>
        <v>-10071921.2100923</v>
      </c>
    </row>
    <row r="50" customFormat="false" ht="15" hidden="false" customHeight="true" outlineLevel="0" collapsed="false">
      <c r="A50" s="82" t="s">
        <v>201</v>
      </c>
      <c r="B50" s="83" t="n">
        <f aca="false">Model!M378</f>
        <v>25161.5515333333</v>
      </c>
      <c r="C50" s="83" t="n">
        <f aca="false">Model!Y378</f>
        <v>-3177453.93800852</v>
      </c>
      <c r="D50" s="83" t="n">
        <f aca="false">Model!AK378</f>
        <v>-6121934.92766236</v>
      </c>
      <c r="E50" s="83" t="n">
        <f aca="false">Model!AW378</f>
        <v>-8831457.62283978</v>
      </c>
      <c r="F50" s="83" t="n">
        <f aca="false">Model!BI378</f>
        <v>-11341753.6085235</v>
      </c>
      <c r="G50" s="83" t="n">
        <f aca="false">Model!BU378</f>
        <v>-13777130.043921</v>
      </c>
      <c r="H50" s="83" t="n">
        <f aca="false">Model!CG378</f>
        <v>-16092011.4850264</v>
      </c>
      <c r="I50" s="83" t="n">
        <f aca="false">Model!CS378</f>
        <v>-17239513.8483474</v>
      </c>
      <c r="J50" s="83" t="n">
        <f aca="false">Model!DE378</f>
        <v>-17332510.8249329</v>
      </c>
    </row>
    <row r="51" customFormat="false" ht="15" hidden="false" customHeight="true" outlineLevel="0" collapsed="false">
      <c r="A51" s="82" t="s">
        <v>204</v>
      </c>
      <c r="B51" s="83" t="n">
        <f aca="false">Model!E382+Model!F382+Model!G382+Model!H382+Model!I382+Model!J382+Model!K382+Model!L382+Model!M382+Model!B382+Model!C382+Model!D382</f>
        <v>0</v>
      </c>
      <c r="C51" s="83" t="n">
        <f aca="false">Model!N382+Model!O382+Model!P382+Model!Q382+Model!R382+Model!S382+Model!T382+Model!U382+Model!V382+Model!W382+Model!X382+Model!Y382</f>
        <v>-228839.646490721</v>
      </c>
      <c r="D51" s="83" t="n">
        <f aca="false">Model!Z382+Model!AA382+Model!AB382+Model!AC382+Model!AD382+Model!AE382+Model!AF382+Model!AG382+Model!AH382+Model!AI382+Model!AJ382+Model!AK382</f>
        <v>-1241123.12775383</v>
      </c>
      <c r="E51" s="83" t="n">
        <f aca="false">Model!AL382+Model!AM382+Model!AN382+Model!AO382+Model!AP382+Model!AQ382+Model!AR382+Model!AS382+Model!AT382+Model!AU382+Model!AV382+Model!AW382</f>
        <v>-1968386.36639399</v>
      </c>
      <c r="F51" s="83" t="n">
        <f aca="false">Model!AX382+Model!AY382+Model!AZ382+Model!BA382+Model!BB382+Model!BC382+Model!BD382+Model!BE382+Model!BF382+Model!BG382+Model!BH382+Model!BI382</f>
        <v>0</v>
      </c>
      <c r="G51" s="83" t="n">
        <f aca="false">Model!BJ382+Model!BK382+Model!BL382+Model!BM382+Model!BN382+Model!BO382+Model!BP382+Model!BQ382+Model!BR382+Model!BS382+Model!BT382+Model!BU382</f>
        <v>0</v>
      </c>
      <c r="H51" s="83" t="n">
        <f aca="false">Model!BV382+Model!BW382+Model!BX382+Model!BY382+Model!BZ382+Model!CA382+Model!CB382+Model!CC382+Model!CD382+Model!CE382+Model!CF382+Model!CG382</f>
        <v>0</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310</v>
      </c>
      <c r="B52" s="84" t="n">
        <f aca="false">Model!M383</f>
        <v>2194441.66598602</v>
      </c>
      <c r="C52" s="84" t="n">
        <f aca="false">Model!Y383</f>
        <v>1358951.76040807</v>
      </c>
      <c r="D52" s="84" t="n">
        <f aca="false">Model!AK383</f>
        <v>4950385.49529664</v>
      </c>
      <c r="E52" s="84" t="n">
        <f aca="false">Model!AW383</f>
        <v>3282526.62228924</v>
      </c>
      <c r="F52" s="84" t="n">
        <f aca="false">Model!BI383</f>
        <v>-1742014.99343528</v>
      </c>
      <c r="G52" s="84" t="n">
        <f aca="false">Model!BU383</f>
        <v>-9074763.16826366</v>
      </c>
      <c r="H52" s="84" t="n">
        <f aca="false">Model!CG383</f>
        <v>-16381363.7835886</v>
      </c>
      <c r="I52" s="84" t="n">
        <f aca="false">Model!CS383</f>
        <v>-22616819.7046136</v>
      </c>
      <c r="J52" s="84" t="n">
        <f aca="false">Model!DE383</f>
        <v>-27404432.0350252</v>
      </c>
    </row>
    <row r="1048576" customFormat="false" ht="12.8" hidden="false" customHeight="fals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311</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273</v>
      </c>
      <c r="B2" s="85" t="s">
        <v>312</v>
      </c>
      <c r="C2" s="86" t="s">
        <v>313</v>
      </c>
      <c r="D2" s="86" t="s">
        <v>314</v>
      </c>
      <c r="E2" s="86" t="s">
        <v>315</v>
      </c>
      <c r="F2" s="86" t="s">
        <v>316</v>
      </c>
      <c r="G2" s="86" t="s">
        <v>317</v>
      </c>
      <c r="H2" s="86" t="s">
        <v>318</v>
      </c>
      <c r="I2" s="86" t="s">
        <v>319</v>
      </c>
      <c r="J2" s="86" t="s">
        <v>320</v>
      </c>
      <c r="K2" s="86" t="s">
        <v>321</v>
      </c>
      <c r="L2" s="86" t="s">
        <v>322</v>
      </c>
      <c r="M2" s="86" t="s">
        <v>323</v>
      </c>
      <c r="N2" s="86" t="s">
        <v>324</v>
      </c>
      <c r="O2" s="86" t="s">
        <v>325</v>
      </c>
      <c r="P2" s="86" t="s">
        <v>326</v>
      </c>
      <c r="Q2" s="86" t="s">
        <v>327</v>
      </c>
      <c r="R2" s="86" t="s">
        <v>328</v>
      </c>
      <c r="S2" s="86" t="s">
        <v>329</v>
      </c>
      <c r="T2" s="86" t="s">
        <v>330</v>
      </c>
      <c r="U2" s="86" t="s">
        <v>331</v>
      </c>
      <c r="V2" s="86" t="s">
        <v>332</v>
      </c>
      <c r="W2" s="86" t="s">
        <v>333</v>
      </c>
      <c r="X2" s="86" t="s">
        <v>334</v>
      </c>
      <c r="Y2" s="86" t="s">
        <v>335</v>
      </c>
      <c r="Z2" s="86" t="s">
        <v>336</v>
      </c>
      <c r="AA2" s="86" t="s">
        <v>337</v>
      </c>
      <c r="AB2" s="86" t="s">
        <v>338</v>
      </c>
      <c r="AC2" s="86" t="s">
        <v>339</v>
      </c>
      <c r="AD2" s="86" t="s">
        <v>340</v>
      </c>
      <c r="AE2" s="86" t="s">
        <v>341</v>
      </c>
      <c r="AF2" s="86" t="s">
        <v>342</v>
      </c>
      <c r="AG2" s="86" t="s">
        <v>343</v>
      </c>
      <c r="AH2" s="86" t="s">
        <v>344</v>
      </c>
      <c r="AI2" s="86" t="s">
        <v>345</v>
      </c>
      <c r="AJ2" s="86" t="s">
        <v>346</v>
      </c>
      <c r="AK2" s="86" t="s">
        <v>347</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283</v>
      </c>
      <c r="B4" s="13" t="n">
        <f aca="false">SUM(Model!B10:D10)</f>
        <v>474538.45</v>
      </c>
      <c r="C4" s="13" t="n">
        <f aca="false">SUM(Model!E10:G10)</f>
        <v>854579.17</v>
      </c>
      <c r="D4" s="13" t="n">
        <f aca="false">SUM(Model!H10:J10)</f>
        <v>1218191.92322767</v>
      </c>
      <c r="E4" s="13" t="n">
        <f aca="false">SUM(Model!K10:M10)</f>
        <v>1199947.18585516</v>
      </c>
      <c r="F4" s="13" t="n">
        <f aca="false">SUM(Model!N10:P10)</f>
        <v>1412977.17582839</v>
      </c>
      <c r="G4" s="13" t="n">
        <f aca="false">SUM(Model!Q10:S10)</f>
        <v>1705551.77456694</v>
      </c>
      <c r="H4" s="13" t="n">
        <f aca="false">SUM(Model!T10:V10)</f>
        <v>2065391.9550256</v>
      </c>
      <c r="I4" s="13" t="n">
        <f aca="false">SUM(Model!W10:Y10)</f>
        <v>2132604.4753531</v>
      </c>
      <c r="J4" s="13" t="n">
        <f aca="false">SUM(Model!Z10:AB10)</f>
        <v>2191049.14652109</v>
      </c>
      <c r="K4" s="13" t="n">
        <f aca="false">SUM(Model!AC10:AE10)</f>
        <v>1713843.10358517</v>
      </c>
      <c r="L4" s="13" t="n">
        <f aca="false">SUM(Model!AF10:AH10)</f>
        <v>2082051.77868754</v>
      </c>
      <c r="M4" s="13" t="n">
        <f aca="false">SUM(Model!AI10:AK10)</f>
        <v>1470463.08599115</v>
      </c>
      <c r="N4" s="13" t="n">
        <f aca="false">SUM(Model!AL10:AN10)</f>
        <v>1088837.63846105</v>
      </c>
      <c r="O4" s="13" t="n">
        <f aca="false">SUM(Model!AO10:AQ10)</f>
        <v>660406.76530605</v>
      </c>
      <c r="P4" s="13" t="n">
        <f aca="false">SUM(Model!AR10:AT10)</f>
        <v>566116.33830605</v>
      </c>
      <c r="Q4" s="13" t="n">
        <f aca="false">SUM(Model!AU10:AW10)</f>
        <v>623208.674745467</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284</v>
      </c>
      <c r="B5" s="13" t="n">
        <f aca="false">SUM(Model!B11:D11)</f>
        <v>319091.99</v>
      </c>
      <c r="C5" s="13" t="n">
        <f aca="false">SUM(Model!E11:G11)</f>
        <v>669542.47</v>
      </c>
      <c r="D5" s="13" t="n">
        <f aca="false">SUM(Model!H11:J11)</f>
        <v>880862.568624924</v>
      </c>
      <c r="E5" s="13" t="n">
        <f aca="false">SUM(Model!K11:M11)</f>
        <v>950032.514540531</v>
      </c>
      <c r="F5" s="13" t="n">
        <f aca="false">SUM(Model!N11:P11)</f>
        <v>1099020.20896161</v>
      </c>
      <c r="G5" s="13" t="n">
        <f aca="false">SUM(Model!Q11:S11)</f>
        <v>1296584.95873578</v>
      </c>
      <c r="H5" s="13" t="n">
        <f aca="false">SUM(Model!T11:V11)</f>
        <v>1558015.13789205</v>
      </c>
      <c r="I5" s="13" t="n">
        <f aca="false">SUM(Model!W11:Y11)</f>
        <v>1599936.31867405</v>
      </c>
      <c r="J5" s="13" t="n">
        <f aca="false">SUM(Model!Z11:AB11)</f>
        <v>1643769.67212784</v>
      </c>
      <c r="K5" s="13" t="n">
        <f aca="false">SUM(Model!AC11:AE11)</f>
        <v>1285865.98736177</v>
      </c>
      <c r="L5" s="13" t="n">
        <f aca="false">SUM(Model!AF11:AH11)</f>
        <v>1561867.4249146</v>
      </c>
      <c r="M5" s="13" t="n">
        <f aca="false">SUM(Model!AI11:AK11)</f>
        <v>1102843.10823766</v>
      </c>
      <c r="N5" s="13" t="n">
        <f aca="false">SUM(Model!AL11:AN11)</f>
        <v>816624.95163524</v>
      </c>
      <c r="O5" s="13" t="n">
        <f aca="false">SUM(Model!AO11:AQ11)</f>
        <v>495302.67407124</v>
      </c>
      <c r="P5" s="13" t="n">
        <f aca="false">SUM(Model!AR11:AT11)</f>
        <v>424585.19647124</v>
      </c>
      <c r="Q5" s="13" t="n">
        <f aca="false">SUM(Model!AU11:AW11)</f>
        <v>467404.241328107</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285</v>
      </c>
      <c r="B6" s="13" t="n">
        <f aca="false">SUM(Model!B57:D57)</f>
        <v>6354898.1</v>
      </c>
      <c r="C6" s="13" t="n">
        <f aca="false">SUM(Model!E57:G57)</f>
        <v>12836560.87</v>
      </c>
      <c r="D6" s="13" t="n">
        <f aca="false">SUM(Model!H57:J57)</f>
        <v>16833452.2461319</v>
      </c>
      <c r="E6" s="13" t="n">
        <f aca="false">SUM(Model!K57:M57)</f>
        <v>14749937.736501</v>
      </c>
      <c r="F6" s="13" t="n">
        <f aca="false">SUM(Model!N57:P57)</f>
        <v>17894247.8728342</v>
      </c>
      <c r="G6" s="13" t="n">
        <f aca="false">SUM(Model!Q57:S57)</f>
        <v>22198470.4464218</v>
      </c>
      <c r="H6" s="13" t="n">
        <f aca="false">SUM(Model!T57:V57)</f>
        <v>28834889.1174574</v>
      </c>
      <c r="I6" s="13" t="n">
        <f aca="false">SUM(Model!W57:Y57)</f>
        <v>30583926.3767517</v>
      </c>
      <c r="J6" s="13" t="n">
        <f aca="false">SUM(Model!Z57:AB57)</f>
        <v>30549058.8719619</v>
      </c>
      <c r="K6" s="13" t="n">
        <f aca="false">SUM(Model!AC57:AE57)</f>
        <v>24955898.4401071</v>
      </c>
      <c r="L6" s="13" t="n">
        <f aca="false">SUM(Model!AF57:AH57)</f>
        <v>23909648.0722965</v>
      </c>
      <c r="M6" s="13" t="n">
        <f aca="false">SUM(Model!AI57:AK57)</f>
        <v>17803175.2462962</v>
      </c>
      <c r="N6" s="13" t="n">
        <f aca="false">SUM(Model!AL57:AN57)</f>
        <v>13730675.1416797</v>
      </c>
      <c r="O6" s="13" t="n">
        <f aca="false">SUM(Model!AO57:AQ57)</f>
        <v>8916163.69193671</v>
      </c>
      <c r="P6" s="13" t="n">
        <f aca="false">SUM(Model!AR57:AT57)</f>
        <v>7925437.74166871</v>
      </c>
      <c r="Q6" s="13" t="n">
        <f aca="false">SUM(Model!AU57:AW57)</f>
        <v>5994053.75062843</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16899917.4368966</v>
      </c>
      <c r="F7" s="88" t="n">
        <f aca="false">SUM(Model!N58:P58)</f>
        <v>20406245.2576242</v>
      </c>
      <c r="G7" s="88" t="n">
        <f aca="false">SUM(Model!Q58:S58)</f>
        <v>25200607.1797245</v>
      </c>
      <c r="H7" s="88" t="n">
        <f aca="false">SUM(Model!T58:V58)</f>
        <v>32458296.210375</v>
      </c>
      <c r="I7" s="88" t="n">
        <f aca="false">SUM(Model!W58:Y58)</f>
        <v>34316467.1707789</v>
      </c>
      <c r="J7" s="88" t="n">
        <f aca="false">SUM(Model!Z58:AB58)</f>
        <v>34383877.6906109</v>
      </c>
      <c r="K7" s="88" t="n">
        <f aca="false">SUM(Model!AC58:AE58)</f>
        <v>27955607.531054</v>
      </c>
      <c r="L7" s="88" t="n">
        <f aca="false">SUM(Model!AF58:AH58)</f>
        <v>27553567.2758986</v>
      </c>
      <c r="M7" s="88" t="n">
        <f aca="false">SUM(Model!AI58:AK58)</f>
        <v>20376481.440525</v>
      </c>
      <c r="N7" s="88" t="n">
        <f aca="false">SUM(Model!AL58:AN58)</f>
        <v>15636137.731776</v>
      </c>
      <c r="O7" s="88" t="n">
        <f aca="false">SUM(Model!AO58:AQ58)</f>
        <v>10071873.131314</v>
      </c>
      <c r="P7" s="88" t="n">
        <f aca="false">SUM(Model!AR58:AT58)</f>
        <v>8916139.276446</v>
      </c>
      <c r="Q7" s="88" t="n">
        <f aca="false">SUM(Model!AU58:AW58)</f>
        <v>7084666.666702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-14762598.9618378</v>
      </c>
      <c r="F8" s="13" t="n">
        <f aca="false">SUM(Model!N104:P104)</f>
        <v>-17813706.0228342</v>
      </c>
      <c r="G8" s="13" t="n">
        <f aca="false">SUM(Model!Q104:S104)</f>
        <v>-22367662.9264218</v>
      </c>
      <c r="H8" s="13" t="n">
        <f aca="false">SUM(Model!T104:V104)</f>
        <v>-29069039.6674574</v>
      </c>
      <c r="I8" s="13" t="n">
        <f aca="false">SUM(Model!W104:Y104)</f>
        <v>-30578141.0567517</v>
      </c>
      <c r="J8" s="13" t="n">
        <f aca="false">SUM(Model!Z104:AB104)</f>
        <v>-30549058.8719619</v>
      </c>
      <c r="K8" s="13" t="n">
        <f aca="false">SUM(Model!AC104:AE104)</f>
        <v>-24955898.4401071</v>
      </c>
      <c r="L8" s="13" t="n">
        <f aca="false">SUM(Model!AF104:AH104)</f>
        <v>-23909648.0722965</v>
      </c>
      <c r="M8" s="13" t="n">
        <f aca="false">SUM(Model!AI104:AK104)</f>
        <v>-17803175.2462962</v>
      </c>
      <c r="N8" s="13" t="n">
        <f aca="false">SUM(Model!AL104:AN104)</f>
        <v>-13730675.1416797</v>
      </c>
      <c r="O8" s="13" t="n">
        <f aca="false">SUM(Model!AO104:AQ104)</f>
        <v>-8916163.69193671</v>
      </c>
      <c r="P8" s="13" t="n">
        <f aca="false">SUM(Model!AR104:AT104)</f>
        <v>-7925437.74166871</v>
      </c>
      <c r="Q8" s="13" t="n">
        <f aca="false">SUM(Model!AU104:AW104)</f>
        <v>-5994053.75062843</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286</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287</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288</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289</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1659057.32927036</v>
      </c>
      <c r="F13" s="32" t="n">
        <f aca="false">SUM(Model!N199:P199)</f>
        <v>2561813.72479001</v>
      </c>
      <c r="G13" s="32" t="n">
        <f aca="false">SUM(Model!Q199:S199)</f>
        <v>1556896.52226824</v>
      </c>
      <c r="H13" s="32" t="n">
        <f aca="false">SUM(Model!T199:V199)</f>
        <v>3158004.00953095</v>
      </c>
      <c r="I13" s="32" t="n">
        <f aca="false">SUM(Model!W199:Y199)</f>
        <v>3489647.51816508</v>
      </c>
      <c r="J13" s="32" t="n">
        <f aca="false">SUM(Model!Z199:AB199)</f>
        <v>3834818.81864893</v>
      </c>
      <c r="K13" s="32" t="n">
        <f aca="false">SUM(Model!AC199:AE199)</f>
        <v>2266835.74799128</v>
      </c>
      <c r="L13" s="32" t="n">
        <f aca="false">SUM(Model!AF199:AH199)</f>
        <v>3643919.20360214</v>
      </c>
      <c r="M13" s="32" t="n">
        <f aca="false">SUM(Model!AI199:AK199)</f>
        <v>2573306.19422881</v>
      </c>
      <c r="N13" s="32" t="n">
        <f aca="false">SUM(Model!AL199:AN199)</f>
        <v>1905462.59009629</v>
      </c>
      <c r="O13" s="32" t="n">
        <f aca="false">SUM(Model!AO199:AQ199)</f>
        <v>1155709.43937729</v>
      </c>
      <c r="P13" s="32" t="n">
        <f aca="false">SUM(Model!AR199:AT199)</f>
        <v>990701.534777289</v>
      </c>
      <c r="Q13" s="32" t="n">
        <f aca="false">SUM(Model!AU199:AW199)</f>
        <v>1090612.91607357</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0.098169552334512</v>
      </c>
      <c r="F14" s="89" t="n">
        <f aca="false">IFERROR(F13/F7,0)</f>
        <v>0.125540671125319</v>
      </c>
      <c r="G14" s="89" t="n">
        <f aca="false">IFERROR(G13/G7,0)</f>
        <v>0.0617801194695364</v>
      </c>
      <c r="H14" s="89" t="n">
        <f aca="false">IFERROR(H13/H7,0)</f>
        <v>0.0972942014288945</v>
      </c>
      <c r="I14" s="89" t="n">
        <f aca="false">IFERROR(I13/I7,0)</f>
        <v>0.101690174014666</v>
      </c>
      <c r="J14" s="89" t="n">
        <f aca="false">IFERROR(J13/J7,0)</f>
        <v>0.111529561998648</v>
      </c>
      <c r="K14" s="89" t="n">
        <f aca="false">IFERROR(K13/K7,0)</f>
        <v>0.0810869785417185</v>
      </c>
      <c r="L14" s="89" t="n">
        <f aca="false">IFERROR(L13/L7,0)</f>
        <v>0.132248545791365</v>
      </c>
      <c r="M14" s="89" t="n">
        <f aca="false">IFERROR(M13/M7,0)</f>
        <v>0.126288054281589</v>
      </c>
      <c r="N14" s="89" t="n">
        <f aca="false">IFERROR(N13/N7,0)</f>
        <v>0.121862740197279</v>
      </c>
      <c r="O14" s="89" t="n">
        <f aca="false">IFERROR(O13/O7,0)</f>
        <v>0.114746226874535</v>
      </c>
      <c r="P14" s="89" t="n">
        <f aca="false">IFERROR(P13/P7,0)</f>
        <v>0.111113286150033</v>
      </c>
      <c r="Q14" s="89" t="n">
        <f aca="false">IFERROR(Q13/Q7,0)</f>
        <v>0.153939905345083</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290</v>
      </c>
      <c r="B17" s="13" t="n">
        <f aca="false">SUM(Model!B203:D204)+SUM(Model!B206:D210)</f>
        <v>-637683.26</v>
      </c>
      <c r="C17" s="13" t="n">
        <f aca="false">SUM(Model!E203:G204)+SUM(Model!E206:G210)</f>
        <v>-493512.62</v>
      </c>
      <c r="D17" s="13" t="n">
        <f aca="false">SUM(Model!H203:J204)+SUM(Model!H206:J210)</f>
        <v>-875878.739666667</v>
      </c>
      <c r="E17" s="13" t="n">
        <f aca="false">SUM(Model!K203:M204)+SUM(Model!K206:M210)</f>
        <v>-1019851.659</v>
      </c>
      <c r="F17" s="13" t="n">
        <f aca="false">SUM(Model!N203:P204)+SUM(Model!N206:P210)</f>
        <v>-1186622.909</v>
      </c>
      <c r="G17" s="13" t="n">
        <f aca="false">SUM(Model!Q203:S204)+SUM(Model!Q206:S210)</f>
        <v>-1400511.41718</v>
      </c>
      <c r="H17" s="13" t="n">
        <f aca="false">SUM(Model!T203:V204)+SUM(Model!T206:V210)</f>
        <v>-1483290.79218</v>
      </c>
      <c r="I17" s="13" t="n">
        <f aca="false">SUM(Model!W203:Y204)+SUM(Model!W206:Y210)</f>
        <v>-1483290.79218</v>
      </c>
      <c r="J17" s="13" t="n">
        <f aca="false">SUM(Model!Z203:AB204)+SUM(Model!Z206:AB210)</f>
        <v>-1483290.79218</v>
      </c>
      <c r="K17" s="13" t="n">
        <f aca="false">SUM(Model!AC203:AE204)+SUM(Model!AC206:AE210)</f>
        <v>-1397642.5735236</v>
      </c>
      <c r="L17" s="13" t="n">
        <f aca="false">SUM(Model!AF203:AH204)+SUM(Model!AF206:AH210)</f>
        <v>-1354218.8785236</v>
      </c>
      <c r="M17" s="13" t="n">
        <f aca="false">SUM(Model!AI203:AK204)+SUM(Model!AI206:AK210)</f>
        <v>-1271231.3725236</v>
      </c>
      <c r="N17" s="13" t="n">
        <f aca="false">SUM(Model!AL203:AN204)+SUM(Model!AL206:AN210)</f>
        <v>-1146750.1135236</v>
      </c>
      <c r="O17" s="13" t="n">
        <f aca="false">SUM(Model!AO203:AQ204)+SUM(Model!AO206:AQ210)</f>
        <v>-1006788.36128407</v>
      </c>
      <c r="P17" s="13" t="n">
        <f aca="false">SUM(Model!AR203:AT204)+SUM(Model!AR206:AT210)</f>
        <v>-982181.600784072</v>
      </c>
      <c r="Q17" s="13" t="n">
        <f aca="false">SUM(Model!AU203:AW204)+SUM(Model!AU206:AW210)</f>
        <v>-982181.600784072</v>
      </c>
      <c r="R17" s="13" t="n">
        <f aca="false">SUM(Model!AX203:AZ204)+SUM(Model!AX206:AZ210)</f>
        <v>-982181.600784072</v>
      </c>
      <c r="S17" s="13" t="n">
        <f aca="false">SUM(Model!BA203:BC204)+SUM(Model!BA206:BC210)</f>
        <v>-1001825.23279975</v>
      </c>
      <c r="T17" s="13" t="n">
        <f aca="false">SUM(Model!BD203:BF204)+SUM(Model!BD206:BF210)</f>
        <v>-1001825.23279975</v>
      </c>
      <c r="U17" s="13" t="n">
        <f aca="false">SUM(Model!BG203:BI204)+SUM(Model!BG206:BI210)</f>
        <v>-1001825.23279975</v>
      </c>
      <c r="V17" s="13" t="n">
        <f aca="false">SUM(Model!BJ203:BL204)+SUM(Model!BJ206:BL210)</f>
        <v>-1001825.23279975</v>
      </c>
      <c r="W17" s="13" t="n">
        <f aca="false">SUM(Model!BM203:BO204)+SUM(Model!BM206:BO210)</f>
        <v>-1021861.73745575</v>
      </c>
      <c r="X17" s="13" t="n">
        <f aca="false">SUM(Model!BP203:BR204)+SUM(Model!BP206:BR210)</f>
        <v>-1021861.73745575</v>
      </c>
      <c r="Y17" s="13" t="n">
        <f aca="false">SUM(Model!BS203:BU204)+SUM(Model!BS206:BU210)</f>
        <v>-1021861.73745575</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291</v>
      </c>
      <c r="B18" s="13" t="n">
        <f aca="false">SUM(Model!B211:D233)+SUM(Model!B235:D235)</f>
        <v>-235164.52</v>
      </c>
      <c r="C18" s="13" t="n">
        <f aca="false">SUM(Model!E211:G233)+SUM(Model!E235:G235)</f>
        <v>-340675</v>
      </c>
      <c r="D18" s="13" t="n">
        <f aca="false">SUM(Model!H211:J233)+SUM(Model!H235:J235)</f>
        <v>-224048.81</v>
      </c>
      <c r="E18" s="13" t="n">
        <f aca="false">SUM(Model!K211:M233)+SUM(Model!K235:M235)</f>
        <v>-236022.48</v>
      </c>
      <c r="F18" s="13" t="n">
        <f aca="false">SUM(Model!N211:P233)+SUM(Model!N235:P235)</f>
        <v>-240522.48</v>
      </c>
      <c r="G18" s="13" t="n">
        <f aca="false">SUM(Model!Q211:S233)+SUM(Model!Q235:S235)</f>
        <v>-254355.4296</v>
      </c>
      <c r="H18" s="13" t="n">
        <f aca="false">SUM(Model!T211:V233)+SUM(Model!T235:V235)</f>
        <v>-195855.4296</v>
      </c>
      <c r="I18" s="13" t="n">
        <f aca="false">SUM(Model!W211:Y233)+SUM(Model!W235:Y235)</f>
        <v>-195855.4296</v>
      </c>
      <c r="J18" s="13" t="n">
        <f aca="false">SUM(Model!Z211:AB233)+SUM(Model!Z235:AB235)</f>
        <v>-195855.4296</v>
      </c>
      <c r="K18" s="13" t="n">
        <f aca="false">SUM(Model!AC211:AE233)+SUM(Model!AC235:AE235)</f>
        <v>-236949.461268923</v>
      </c>
      <c r="L18" s="13" t="n">
        <f aca="false">SUM(Model!AF211:AH233)+SUM(Model!AF235:AH235)</f>
        <v>-211180.230499692</v>
      </c>
      <c r="M18" s="13" t="n">
        <f aca="false">SUM(Model!AI211:AK233)+SUM(Model!AI235:AK235)</f>
        <v>-212718.692038154</v>
      </c>
      <c r="N18" s="13" t="n">
        <f aca="false">SUM(Model!AL211:AN233)+SUM(Model!AL235:AN235)</f>
        <v>-251564.845884308</v>
      </c>
      <c r="O18" s="13" t="n">
        <f aca="false">SUM(Model!AO211:AQ233)+SUM(Model!AO235:AQ235)</f>
        <v>-231180.758186609</v>
      </c>
      <c r="P18" s="13" t="n">
        <f aca="false">SUM(Model!AR211:AT233)+SUM(Model!AR235:AT235)</f>
        <v>-201949.98895584</v>
      </c>
      <c r="Q18" s="13" t="n">
        <f aca="false">SUM(Model!AU211:AW233)+SUM(Model!AU235:AW235)</f>
        <v>-201949.98895584</v>
      </c>
      <c r="R18" s="13" t="n">
        <f aca="false">SUM(Model!AX211:AZ233)+SUM(Model!AX235:AZ235)</f>
        <v>-201949.98895584</v>
      </c>
      <c r="S18" s="13" t="n">
        <f aca="false">SUM(Model!BA211:BC233)+SUM(Model!BA235:BC235)</f>
        <v>-205088.988734957</v>
      </c>
      <c r="T18" s="13" t="n">
        <f aca="false">SUM(Model!BD211:BF233)+SUM(Model!BD235:BF235)</f>
        <v>-205088.988734957</v>
      </c>
      <c r="U18" s="13" t="n">
        <f aca="false">SUM(Model!BG211:BI233)+SUM(Model!BG235:BI235)</f>
        <v>-205088.988734957</v>
      </c>
      <c r="V18" s="13" t="n">
        <f aca="false">SUM(Model!BJ211:BL233)+SUM(Model!BJ235:BL235)</f>
        <v>-205088.988734957</v>
      </c>
      <c r="W18" s="13" t="n">
        <f aca="false">SUM(Model!BM211:BO233)+SUM(Model!BM235:BO235)</f>
        <v>-208290.768509656</v>
      </c>
      <c r="X18" s="13" t="n">
        <f aca="false">SUM(Model!BP211:BR233)+SUM(Model!BP235:BR235)</f>
        <v>-208290.768509656</v>
      </c>
      <c r="Y18" s="13" t="n">
        <f aca="false">SUM(Model!BS211:BU233)+SUM(Model!BS235:BU235)</f>
        <v>-208290.768509656</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292</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293</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-1103147.36966667</v>
      </c>
      <c r="E21" s="88" t="n">
        <f aca="false">SUM(Model!K236:M236)</f>
        <v>-1255874.139</v>
      </c>
      <c r="F21" s="88" t="n">
        <f aca="false">SUM(Model!N236:P236)</f>
        <v>-1427145.389</v>
      </c>
      <c r="G21" s="88" t="n">
        <f aca="false">SUM(Model!Q236:S236)</f>
        <v>-1654866.84678</v>
      </c>
      <c r="H21" s="88" t="n">
        <f aca="false">SUM(Model!T236:V236)</f>
        <v>-1679146.22178</v>
      </c>
      <c r="I21" s="88" t="n">
        <f aca="false">SUM(Model!W236:Y236)</f>
        <v>-1679146.22178</v>
      </c>
      <c r="J21" s="88" t="n">
        <f aca="false">SUM(Model!Z236:AB236)</f>
        <v>-1679146.22178</v>
      </c>
      <c r="K21" s="88" t="n">
        <f aca="false">SUM(Model!AC236:AE236)</f>
        <v>-1634592.03479252</v>
      </c>
      <c r="L21" s="88" t="n">
        <f aca="false">SUM(Model!AF236:AH236)</f>
        <v>-1565399.10902329</v>
      </c>
      <c r="M21" s="88" t="n">
        <f aca="false">SUM(Model!AI236:AK236)</f>
        <v>-1483950.06456175</v>
      </c>
      <c r="N21" s="88" t="n">
        <f aca="false">SUM(Model!AL236:AN236)</f>
        <v>-1398314.95940791</v>
      </c>
      <c r="O21" s="88" t="n">
        <f aca="false">SUM(Model!AO236:AQ236)</f>
        <v>-1237969.11947068</v>
      </c>
      <c r="P21" s="88" t="n">
        <f aca="false">SUM(Model!AR236:AT236)</f>
        <v>-1184131.58973991</v>
      </c>
      <c r="Q21" s="88" t="n">
        <f aca="false">SUM(Model!AU236:AW236)</f>
        <v>-1184131.58973991</v>
      </c>
      <c r="R21" s="88" t="n">
        <f aca="false">SUM(Model!AX236:AZ236)</f>
        <v>-1184131.58973991</v>
      </c>
      <c r="S21" s="88" t="n">
        <f aca="false">SUM(Model!BA236:BC236)</f>
        <v>-1206914.22153471</v>
      </c>
      <c r="T21" s="88" t="n">
        <f aca="false">SUM(Model!BD236:BF236)</f>
        <v>-1206914.22153471</v>
      </c>
      <c r="U21" s="88" t="n">
        <f aca="false">SUM(Model!BG236:BI236)</f>
        <v>-1206914.22153471</v>
      </c>
      <c r="V21" s="88" t="n">
        <f aca="false">SUM(Model!BJ236:BL236)</f>
        <v>-1206914.22153471</v>
      </c>
      <c r="W21" s="88" t="n">
        <f aca="false">SUM(Model!BM236:BO236)</f>
        <v>-1230152.5059654</v>
      </c>
      <c r="X21" s="88" t="n">
        <f aca="false">SUM(Model!BP236:BR236)</f>
        <v>-1230152.5059654</v>
      </c>
      <c r="Y21" s="88" t="n">
        <f aca="false">SUM(Model!BS236:BU236)</f>
        <v>-1230152.5059654</v>
      </c>
      <c r="Z21" s="88" t="n">
        <f aca="false">SUM(Model!BV236:BX236)</f>
        <v>-1230152.5059654</v>
      </c>
      <c r="AA21" s="88" t="n">
        <f aca="false">SUM(Model!BY236:CA236)</f>
        <v>-1253855.55608471</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1233967.6636053</v>
      </c>
      <c r="E22" s="91" t="n">
        <f aca="false">SUM(Model!K237:M237)</f>
        <v>403183.190270356</v>
      </c>
      <c r="F22" s="91" t="n">
        <f aca="false">SUM(Model!N237:P237)</f>
        <v>1134668.33579001</v>
      </c>
      <c r="G22" s="91" t="n">
        <f aca="false">SUM(Model!Q237:S237)</f>
        <v>-97970.3245117648</v>
      </c>
      <c r="H22" s="91" t="n">
        <f aca="false">SUM(Model!T237:V237)</f>
        <v>1478857.78775095</v>
      </c>
      <c r="I22" s="91" t="n">
        <f aca="false">SUM(Model!W237:Y237)</f>
        <v>1810501.29638508</v>
      </c>
      <c r="J22" s="91" t="n">
        <f aca="false">SUM(Model!Z237:AB237)</f>
        <v>2155672.59686893</v>
      </c>
      <c r="K22" s="91" t="n">
        <f aca="false">SUM(Model!AC237:AE237)</f>
        <v>632243.713198757</v>
      </c>
      <c r="L22" s="91" t="n">
        <f aca="false">SUM(Model!AF237:AH237)</f>
        <v>2078520.09457885</v>
      </c>
      <c r="M22" s="91" t="n">
        <f aca="false">SUM(Model!AI237:AK237)</f>
        <v>1089356.12966706</v>
      </c>
      <c r="N22" s="91" t="n">
        <f aca="false">SUM(Model!AL237:AN237)</f>
        <v>507147.630688383</v>
      </c>
      <c r="O22" s="91" t="n">
        <f aca="false">SUM(Model!AO237:AQ237)</f>
        <v>-82259.6800933917</v>
      </c>
      <c r="P22" s="91" t="n">
        <f aca="false">SUM(Model!AR237:AT237)</f>
        <v>-193430.054962623</v>
      </c>
      <c r="Q22" s="91" t="n">
        <f aca="false">SUM(Model!AU237:AW237)</f>
        <v>-93518.6736663387</v>
      </c>
      <c r="R22" s="91" t="n">
        <f aca="false">SUM(Model!AX237:AZ237)</f>
        <v>-711152.667134272</v>
      </c>
      <c r="S22" s="91" t="n">
        <f aca="false">SUM(Model!BA237:BC237)</f>
        <v>-733935.29892907</v>
      </c>
      <c r="T22" s="91" t="n">
        <f aca="false">SUM(Model!BD237:BF237)</f>
        <v>-733935.29892907</v>
      </c>
      <c r="U22" s="91" t="n">
        <f aca="false">SUM(Model!BG237:BI237)</f>
        <v>-642658.664742017</v>
      </c>
      <c r="V22" s="91" t="n">
        <f aca="false">SUM(Model!BJ237:BL237)</f>
        <v>-1206914.22153471</v>
      </c>
      <c r="W22" s="91" t="n">
        <f aca="false">SUM(Model!BM237:BO237)</f>
        <v>-1230152.5059654</v>
      </c>
      <c r="X22" s="91" t="n">
        <f aca="false">SUM(Model!BP237:BR237)</f>
        <v>-1230152.5059654</v>
      </c>
      <c r="Y22" s="91" t="n">
        <f aca="false">SUM(Model!BS237:BU237)</f>
        <v>-1230152.5059654</v>
      </c>
      <c r="Z22" s="91" t="n">
        <f aca="false">SUM(Model!BV237:BX237)</f>
        <v>-1230152.5059654</v>
      </c>
      <c r="AA22" s="91" t="n">
        <f aca="false">SUM(Model!BY237:CA237)</f>
        <v>-1253855.55608471</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0.0651771939491551</v>
      </c>
      <c r="E23" s="89" t="n">
        <f aca="false">IFERROR(E22/E7,0)</f>
        <v>0.023857110058426</v>
      </c>
      <c r="F23" s="89" t="n">
        <f aca="false">IFERROR(F22/F7,0)</f>
        <v>0.0556039742473482</v>
      </c>
      <c r="G23" s="89" t="n">
        <f aca="false">IFERROR(G22/G7,0)</f>
        <v>-0.00388761762020513</v>
      </c>
      <c r="H23" s="89" t="n">
        <f aca="false">IFERROR(H22/H7,0)</f>
        <v>0.0455617811288026</v>
      </c>
      <c r="I23" s="89" t="n">
        <f aca="false">IFERROR(I22/I7,0)</f>
        <v>0.0527589651747939</v>
      </c>
      <c r="J23" s="89" t="n">
        <f aca="false">IFERROR(J22/J7,0)</f>
        <v>0.062694284113789</v>
      </c>
      <c r="K23" s="89" t="n">
        <f aca="false">IFERROR(K22/K7,0)</f>
        <v>0.0226159890281919</v>
      </c>
      <c r="L23" s="89" t="n">
        <f aca="false">IFERROR(L22/L7,0)</f>
        <v>0.0754356078022953</v>
      </c>
      <c r="M23" s="89" t="n">
        <f aca="false">IFERROR(M22/M7,0)</f>
        <v>0.0534614444032782</v>
      </c>
      <c r="N23" s="89" t="n">
        <f aca="false">IFERROR(N22/N7,0)</f>
        <v>0.0324343286934439</v>
      </c>
      <c r="O23" s="89" t="n">
        <f aca="false">IFERROR(O22/O7,0)</f>
        <v>-0.00816726730181319</v>
      </c>
      <c r="P23" s="89" t="n">
        <f aca="false">IFERROR(P22/P7,0)</f>
        <v>-0.021694373423889</v>
      </c>
      <c r="Q23" s="89" t="n">
        <f aca="false">IFERROR(Q22/Q7,0)</f>
        <v>-0.0132001515478318</v>
      </c>
      <c r="R23" s="89" t="n">
        <f aca="false">IFERROR(R22/R7,0)</f>
        <v>-0.14519119639547</v>
      </c>
      <c r="S23" s="89" t="n">
        <f aca="false">IFERROR(S22/S7,0)</f>
        <v>-0.184566429150299</v>
      </c>
      <c r="T23" s="89" t="n">
        <f aca="false">IFERROR(T22/T7,0)</f>
        <v>-0.248579790290711</v>
      </c>
      <c r="U23" s="89" t="n">
        <f aca="false">IFERROR(U22/U7,0)</f>
        <v>-0.448891816472804</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-578459.01</v>
      </c>
      <c r="E26" s="92" t="n">
        <f aca="false">Model!K292+Model!L292+Model!M292</f>
        <v>-589137.4</v>
      </c>
      <c r="F26" s="92" t="n">
        <f aca="false">Model!N292+Model!O292+Model!P292</f>
        <v>-586318.86</v>
      </c>
      <c r="G26" s="92" t="n">
        <f aca="false">Model!Q292+Model!R292+Model!S292</f>
        <v>-597016.9572</v>
      </c>
      <c r="H26" s="92" t="n">
        <f aca="false">Model!T292+Model!U292+Model!V292</f>
        <v>-597016.9572</v>
      </c>
      <c r="I26" s="92" t="n">
        <f aca="false">Model!W292+Model!X292+Model!Y292</f>
        <v>-597016.9572</v>
      </c>
      <c r="J26" s="92" t="n">
        <f aca="false">Model!Z292+Model!AA292+Model!AB292</f>
        <v>-597016.9572</v>
      </c>
      <c r="K26" s="92" t="n">
        <f aca="false">Model!AC292+Model!AD292+Model!AE292</f>
        <v>-607929.016344</v>
      </c>
      <c r="L26" s="92" t="n">
        <f aca="false">Model!AF292+Model!AG292+Model!AH292</f>
        <v>-607929.016344</v>
      </c>
      <c r="M26" s="92" t="n">
        <f aca="false">Model!AI292+Model!AJ292+Model!AK292</f>
        <v>-607929.016344</v>
      </c>
      <c r="N26" s="92" t="n">
        <f aca="false">Model!AL292+Model!AM292+Model!AN292</f>
        <v>-607929.016344</v>
      </c>
      <c r="O26" s="92" t="n">
        <f aca="false">Model!AO292+Model!AP292+Model!AQ292</f>
        <v>-619059.31667088</v>
      </c>
      <c r="P26" s="92" t="n">
        <f aca="false">Model!AR292+Model!AS292+Model!AT292</f>
        <v>-700742.31667088</v>
      </c>
      <c r="Q26" s="92" t="n">
        <f aca="false">Model!AU292+Model!AV292+Model!AW292</f>
        <v>-700741.31667088</v>
      </c>
      <c r="R26" s="92" t="n">
        <f aca="false">Model!AX292+Model!AY292+Model!AZ292</f>
        <v>-700741.31667088</v>
      </c>
      <c r="S26" s="92" t="n">
        <f aca="false">Model!BA292+Model!BB292+Model!BC292</f>
        <v>-1563933.2230043</v>
      </c>
      <c r="T26" s="92" t="n">
        <f aca="false">Model!BD292+Model!BE292+Model!BF292</f>
        <v>-761290.223004298</v>
      </c>
      <c r="U26" s="92" t="n">
        <f aca="false">Model!BG292+Model!BH292+Model!BI292</f>
        <v>-761288.223004298</v>
      </c>
      <c r="V26" s="92" t="n">
        <f aca="false">Model!BJ292+Model!BK292+Model!BL292</f>
        <v>-761288.223004298</v>
      </c>
      <c r="W26" s="92" t="n">
        <f aca="false">Model!BM292+Model!BN292+Model!BO292</f>
        <v>-772868.187464384</v>
      </c>
      <c r="X26" s="92" t="n">
        <f aca="false">Model!BP292+Model!BQ292+Model!BR292</f>
        <v>-731147.837464384</v>
      </c>
      <c r="Y26" s="92" t="n">
        <f aca="false">Model!BS292+Model!BT292+Model!BU292</f>
        <v>-716632.187464384</v>
      </c>
      <c r="Z26" s="92" t="n">
        <f aca="false">Model!BV292+Model!BW292+Model!BX292</f>
        <v>-716632.187464384</v>
      </c>
      <c r="AA26" s="92" t="n">
        <f aca="false">Model!BY292+Model!BZ292+Model!CA292</f>
        <v>-801599.751213671</v>
      </c>
      <c r="AB26" s="92" t="n">
        <f aca="false">Model!CB292+Model!CC292+Model!CD292</f>
        <v>-808321.751213671</v>
      </c>
      <c r="AC26" s="92" t="n">
        <f aca="false">Model!CE292+Model!CF292+Model!CG292</f>
        <v>-808320.751213671</v>
      </c>
      <c r="AD26" s="92" t="n">
        <f aca="false">Model!CH292+Model!CI292+Model!CJ292</f>
        <v>-801712.724607192</v>
      </c>
      <c r="AE26" s="92" t="n">
        <f aca="false">Model!CK292+Model!CL292+Model!CM292</f>
        <v>-885316.546237945</v>
      </c>
      <c r="AF26" s="92" t="n">
        <f aca="false">Model!CN292+Model!CO292+Model!CP292</f>
        <v>-885316.546237945</v>
      </c>
      <c r="AG26" s="92" t="n">
        <f aca="false">Model!CQ292+Model!CR292+Model!CS292</f>
        <v>-885316.546237945</v>
      </c>
      <c r="AH26" s="92" t="n">
        <f aca="false">Model!CT292+Model!CU292+Model!CV292</f>
        <v>-867583.711243609</v>
      </c>
      <c r="AI26" s="92" t="n">
        <f aca="false">Model!CW292+Model!CX292+Model!CY292</f>
        <v>-677499.654404888</v>
      </c>
      <c r="AJ26" s="92" t="n">
        <f aca="false">Model!CZ292+Model!DA292+Model!DB292</f>
        <v>-660052.805468481</v>
      </c>
      <c r="AK26" s="92" t="n">
        <f aca="false">Model!DC292+Model!DD292+Model!DE292</f>
        <v>-660052.805468481</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-276934.6</v>
      </c>
      <c r="E27" s="37" t="n">
        <f aca="false">Model!K293+Model!L293+Model!M293</f>
        <v>-479543.65</v>
      </c>
      <c r="F27" s="37" t="n">
        <f aca="false">Model!N293+Model!O293+Model!P293</f>
        <v>-470310.63631579</v>
      </c>
      <c r="G27" s="37" t="n">
        <f aca="false">Model!Q293+Model!R293+Model!S293</f>
        <v>-477850.838778947</v>
      </c>
      <c r="H27" s="37" t="n">
        <f aca="false">Model!T293+Model!U293+Model!V293</f>
        <v>-549569.588778948</v>
      </c>
      <c r="I27" s="37" t="n">
        <f aca="false">Model!W293+Model!X293+Model!Y293</f>
        <v>-492194.588778947</v>
      </c>
      <c r="J27" s="37" t="n">
        <f aca="false">Model!Z293+Model!AA293+Model!AB293</f>
        <v>-492194.588778947</v>
      </c>
      <c r="K27" s="37" t="n">
        <f aca="false">Model!AC293+Model!AD293+Model!AE293</f>
        <v>-503106.647922947</v>
      </c>
      <c r="L27" s="37" t="n">
        <f aca="false">Model!AF293+Model!AG293+Model!AH293</f>
        <v>-569955.332133474</v>
      </c>
      <c r="M27" s="37" t="n">
        <f aca="false">Model!AI293+Model!AJ293+Model!AK293</f>
        <v>-607929.016344</v>
      </c>
      <c r="N27" s="37" t="n">
        <f aca="false">Model!AL293+Model!AM293+Model!AN293</f>
        <v>-607929.016344</v>
      </c>
      <c r="O27" s="37" t="n">
        <f aca="false">Model!AO293+Model!AP293+Model!AQ293</f>
        <v>-619059.31667088</v>
      </c>
      <c r="P27" s="37" t="n">
        <f aca="false">Model!AR293+Model!AS293+Model!AT293</f>
        <v>-619059.31667088</v>
      </c>
      <c r="Q27" s="37" t="n">
        <f aca="false">Model!AU293+Model!AV293+Model!AW293</f>
        <v>-619059.31667088</v>
      </c>
      <c r="R27" s="37" t="n">
        <f aca="false">Model!AX293+Model!AY293+Model!AZ293</f>
        <v>-619059.31667088</v>
      </c>
      <c r="S27" s="37" t="n">
        <f aca="false">Model!BA293+Model!BB293+Model!BC293</f>
        <v>-630412.223004298</v>
      </c>
      <c r="T27" s="37" t="n">
        <f aca="false">Model!BD293+Model!BE293+Model!BF293</f>
        <v>-630412.223004298</v>
      </c>
      <c r="U27" s="37" t="n">
        <f aca="false">Model!BG293+Model!BH293+Model!BI293</f>
        <v>-630412.223004298</v>
      </c>
      <c r="V27" s="37" t="n">
        <f aca="false">Model!BJ293+Model!BK293+Model!BL293</f>
        <v>-630412.223004298</v>
      </c>
      <c r="W27" s="37" t="n">
        <f aca="false">Model!BM293+Model!BN293+Model!BO293</f>
        <v>-641992.187464384</v>
      </c>
      <c r="X27" s="37" t="n">
        <f aca="false">Model!BP293+Model!BQ293+Model!BR293</f>
        <v>-588741.837464384</v>
      </c>
      <c r="Y27" s="37" t="n">
        <f aca="false">Model!BS293+Model!BT293+Model!BU293</f>
        <v>-574230.187464384</v>
      </c>
      <c r="Z27" s="37" t="n">
        <f aca="false">Model!BV293+Model!BW293+Model!BX293</f>
        <v>-574230.187464384</v>
      </c>
      <c r="AA27" s="37" t="n">
        <f aca="false">Model!BY293+Model!BZ293+Model!CA293</f>
        <v>-586041.751213671</v>
      </c>
      <c r="AB27" s="37" t="n">
        <f aca="false">Model!CB293+Model!CC293+Model!CD293</f>
        <v>-577304.751213671</v>
      </c>
      <c r="AC27" s="37" t="n">
        <f aca="false">Model!CE293+Model!CF293+Model!CG293</f>
        <v>-577304.751213671</v>
      </c>
      <c r="AD27" s="37" t="n">
        <f aca="false">Model!CH293+Model!CI293+Model!CJ293</f>
        <v>-570696.724607192</v>
      </c>
      <c r="AE27" s="37" t="n">
        <f aca="false">Model!CK293+Model!CL293+Model!CM293</f>
        <v>-192268.546237945</v>
      </c>
      <c r="AF27" s="37" t="n">
        <f aca="false">Model!CN293+Model!CO293+Model!CP293</f>
        <v>-192268.546237945</v>
      </c>
      <c r="AG27" s="37" t="n">
        <f aca="false">Model!CQ293+Model!CR293+Model!CS293</f>
        <v>-192268.546237945</v>
      </c>
      <c r="AH27" s="37" t="n">
        <f aca="false">Model!CT293+Model!CU293+Model!CV293</f>
        <v>-174535.711243609</v>
      </c>
      <c r="AI27" s="37" t="n">
        <f aca="false">Model!CW293+Model!CX293+Model!CY293</f>
        <v>15548.3455951117</v>
      </c>
      <c r="AJ27" s="37" t="n">
        <f aca="false">Model!CZ293+Model!DA293+Model!DB293</f>
        <v>32995.1945315189</v>
      </c>
      <c r="AK27" s="37" t="n">
        <f aca="false">Model!DC293+Model!DD293+Model!DE293</f>
        <v>32995.1945315189</v>
      </c>
    </row>
    <row r="28" customFormat="false" ht="15" hidden="false" customHeight="true" outlineLevel="0" collapsed="false">
      <c r="A28" s="22" t="s">
        <v>294</v>
      </c>
      <c r="B28" s="92" t="n">
        <f aca="false">Model!B297+Model!C297+Model!D297</f>
        <v>0</v>
      </c>
      <c r="C28" s="92" t="n">
        <f aca="false">Model!E297+Model!F297+Model!G297</f>
        <v>0</v>
      </c>
      <c r="D28" s="92" t="n">
        <f aca="false">Model!H297+Model!I297+Model!J297</f>
        <v>319.937883333334</v>
      </c>
      <c r="E28" s="92" t="n">
        <f aca="false">Model!K297+Model!L297+Model!M297</f>
        <v>959.813650000002</v>
      </c>
      <c r="F28" s="92" t="n">
        <f aca="false">Model!N297+Model!O297+Model!P297</f>
        <v>33427.4249274444</v>
      </c>
      <c r="G28" s="92" t="n">
        <f aca="false">Model!Q297+Model!R297+Model!S297</f>
        <v>32627.5793944444</v>
      </c>
      <c r="H28" s="92" t="n">
        <f aca="false">Model!T297+Model!U297+Model!V297</f>
        <v>32627.5793944444</v>
      </c>
      <c r="I28" s="92" t="n">
        <f aca="false">Model!W297+Model!X297+Model!Y297</f>
        <v>32627.5793944444</v>
      </c>
      <c r="J28" s="92" t="n">
        <f aca="false">Model!Z297+Model!AA297+Model!AB297</f>
        <v>36678.751112455</v>
      </c>
      <c r="K28" s="92" t="n">
        <f aca="false">Model!AC297+Model!AD297+Model!AE297</f>
        <v>31335.7582305556</v>
      </c>
      <c r="L28" s="92" t="n">
        <f aca="false">Model!AF297+Model!AG297+Model!AH297</f>
        <v>31335.7582305556</v>
      </c>
      <c r="M28" s="92" t="n">
        <f aca="false">Model!AI297+Model!AJ297+Model!AK297</f>
        <v>31335.7582305556</v>
      </c>
      <c r="N28" s="92" t="n">
        <f aca="false">Model!AL297+Model!AM297+Model!AN297</f>
        <v>5584.27117921855</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295</v>
      </c>
      <c r="B30" s="37" t="n">
        <f aca="false">Model!B308+Model!C308+Model!D308</f>
        <v>-654917.25</v>
      </c>
      <c r="C30" s="37" t="n">
        <f aca="false">Model!E308+Model!F308+Model!G308</f>
        <v>227914.490000001</v>
      </c>
      <c r="D30" s="37" t="n">
        <f aca="false">Model!H308+Model!I308+Model!J308</f>
        <v>957353.001488631</v>
      </c>
      <c r="E30" s="37" t="n">
        <f aca="false">Model!K308+Model!L308+Model!M308</f>
        <v>-75400.6460796436</v>
      </c>
      <c r="F30" s="37" t="n">
        <f aca="false">Model!N308+Model!O308+Model!P308</f>
        <v>697785.124401665</v>
      </c>
      <c r="G30" s="37" t="n">
        <f aca="false">Model!Q308+Model!R308+Model!S308</f>
        <v>-543193.583896268</v>
      </c>
      <c r="H30" s="37" t="n">
        <f aca="false">Model!T308+Model!U308+Model!V308</f>
        <v>961915.778366445</v>
      </c>
      <c r="I30" s="37" t="n">
        <f aca="false">Model!W308+Model!X308+Model!Y308</f>
        <v>1350934.28700058</v>
      </c>
      <c r="J30" s="37" t="n">
        <f aca="false">Model!Z308+Model!AA308+Model!AB308</f>
        <v>1700156.75920244</v>
      </c>
      <c r="K30" s="37" t="n">
        <f aca="false">Model!AC308+Model!AD308+Model!AE308</f>
        <v>160472.823506365</v>
      </c>
      <c r="L30" s="37" t="n">
        <f aca="false">Model!AF308+Model!AG308+Model!AH308</f>
        <v>1539900.52067593</v>
      </c>
      <c r="M30" s="37" t="n">
        <f aca="false">Model!AI308+Model!AJ308+Model!AK308</f>
        <v>512762.871553612</v>
      </c>
      <c r="N30" s="37" t="n">
        <f aca="false">Model!AL308+Model!AM308+Model!AN308</f>
        <v>-95197.1144763986</v>
      </c>
      <c r="O30" s="37" t="n">
        <f aca="false">Model!AO308+Model!AP308+Model!AQ308</f>
        <v>-701318.996764272</v>
      </c>
      <c r="P30" s="37" t="n">
        <f aca="false">Model!AR308+Model!AS308+Model!AT308</f>
        <v>-812489.371633503</v>
      </c>
      <c r="Q30" s="37" t="n">
        <f aca="false">Model!AU308+Model!AV308+Model!AW308</f>
        <v>-712577.990337219</v>
      </c>
      <c r="R30" s="37" t="n">
        <f aca="false">Model!AX308+Model!AY308+Model!AZ308</f>
        <v>-1330211.98380515</v>
      </c>
      <c r="S30" s="37" t="n">
        <f aca="false">Model!BA308+Model!BB308+Model!BC308</f>
        <v>-1364347.52193337</v>
      </c>
      <c r="T30" s="37" t="n">
        <f aca="false">Model!BD308+Model!BE308+Model!BF308</f>
        <v>-1364347.52193337</v>
      </c>
      <c r="U30" s="37" t="n">
        <f aca="false">Model!BG308+Model!BH308+Model!BI308</f>
        <v>-1273070.88774631</v>
      </c>
      <c r="V30" s="37" t="n">
        <f aca="false">Model!BJ308+Model!BK308+Model!BL308</f>
        <v>-1837326.44453901</v>
      </c>
      <c r="W30" s="37" t="n">
        <f aca="false">Model!BM308+Model!BN308+Model!BO308</f>
        <v>-1872144.69342979</v>
      </c>
      <c r="X30" s="37" t="n">
        <f aca="false">Model!BP308+Model!BQ308+Model!BR308</f>
        <v>-1818894.34342979</v>
      </c>
      <c r="Y30" s="37" t="n">
        <f aca="false">Model!BS308+Model!BT308+Model!BU308</f>
        <v>-1804382.69342979</v>
      </c>
      <c r="Z30" s="37" t="n">
        <f aca="false">Model!BV308+Model!BW308+Model!BX308</f>
        <v>-1804382.69342979</v>
      </c>
      <c r="AA30" s="37" t="n">
        <f aca="false">Model!BY308+Model!BZ308+Model!CA308</f>
        <v>-1839897.30729838</v>
      </c>
      <c r="AB30" s="37" t="n">
        <f aca="false">Model!CB308+Model!CC308+Model!CD308</f>
        <v>-1831160.30729838</v>
      </c>
      <c r="AC30" s="37" t="n">
        <f aca="false">Model!CE308+Model!CF308+Model!CG308</f>
        <v>-1831160.30729838</v>
      </c>
      <c r="AD30" s="37" t="n">
        <f aca="false">Model!CH308+Model!CI308+Model!CJ308</f>
        <v>-1824552.28069191</v>
      </c>
      <c r="AE30" s="37" t="n">
        <f aca="false">Model!CK308+Model!CL308+Model!CM308</f>
        <v>-1470301.21344435</v>
      </c>
      <c r="AF30" s="37" t="n">
        <f aca="false">Model!CN308+Model!CO308+Model!CP308</f>
        <v>-1470301.21344435</v>
      </c>
      <c r="AG30" s="37" t="n">
        <f aca="false">Model!CQ308+Model!CR308+Model!CS308</f>
        <v>-1470301.21344435</v>
      </c>
      <c r="AH30" s="37" t="n">
        <f aca="false">Model!CT308+Model!CU308+Model!CV308</f>
        <v>-1331509.93632394</v>
      </c>
      <c r="AI30" s="37" t="n">
        <f aca="false">Model!CW308+Model!CX308+Model!CY308</f>
        <v>-1163665.36398682</v>
      </c>
      <c r="AJ30" s="37" t="n">
        <f aca="false">Model!CZ308+Model!DA308+Model!DB308</f>
        <v>-1146218.51505042</v>
      </c>
      <c r="AK30" s="37" t="n">
        <f aca="false">Model!DC308+Model!DD308+Model!DE308</f>
        <v>-1146218.51505042</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296</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297</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298</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299</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300</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301</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-73156</v>
      </c>
      <c r="AB37" s="93" t="n">
        <f aca="false">Model!CB291+Model!CC291+Model!CD291</f>
        <v>-73155</v>
      </c>
      <c r="AC37" s="93" t="n">
        <f aca="false">Model!CE291+Model!CF291+Model!CG291</f>
        <v>-73155</v>
      </c>
      <c r="AD37" s="93" t="n">
        <f aca="false">Model!CH291+Model!CI291+Model!CJ291</f>
        <v>-73155</v>
      </c>
      <c r="AE37" s="93" t="n">
        <f aca="false">Model!CK291+Model!CL291+Model!CM291</f>
        <v>-219465</v>
      </c>
      <c r="AF37" s="93" t="n">
        <f aca="false">Model!CN291+Model!CO291+Model!CP291</f>
        <v>-219465</v>
      </c>
      <c r="AG37" s="93" t="n">
        <f aca="false">Model!CQ291+Model!CR291+Model!CS291</f>
        <v>-219465</v>
      </c>
      <c r="AH37" s="93" t="n">
        <f aca="false">Model!CT291+Model!CU291+Model!CV291</f>
        <v>-219465</v>
      </c>
      <c r="AI37" s="93" t="n">
        <f aca="false">Model!CW291+Model!CX291+Model!CY291</f>
        <v>-17446.8489364072</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302</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303</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-336000</v>
      </c>
      <c r="G40" s="93" t="n">
        <f aca="false">Model!Q316+Model!R316+Model!S316</f>
        <v>-336000</v>
      </c>
      <c r="H40" s="93" t="n">
        <f aca="false">Model!T316+Model!U316+Model!V316</f>
        <v>-336000</v>
      </c>
      <c r="I40" s="93" t="n">
        <f aca="false">Model!W316+Model!X316+Model!Y316</f>
        <v>-336000</v>
      </c>
      <c r="J40" s="93" t="n">
        <f aca="false">Model!Z316+Model!AA316+Model!AB316</f>
        <v>-336000</v>
      </c>
      <c r="K40" s="93" t="n">
        <f aca="false">Model!AC316+Model!AD316+Model!AE316</f>
        <v>-315981.430278598</v>
      </c>
      <c r="L40" s="93" t="n">
        <f aca="false">Model!AF316+Model!AG316+Model!AH316</f>
        <v>0</v>
      </c>
      <c r="M40" s="93" t="n">
        <f aca="false">Model!AI316+Model!AJ316+Model!AK316</f>
        <v>0</v>
      </c>
      <c r="N40" s="93" t="n">
        <f aca="false">Model!AL316+Model!AM316+Model!AN316</f>
        <v>0</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304</v>
      </c>
      <c r="B41" s="93" t="n">
        <f aca="false">Model!D317</f>
        <v>0</v>
      </c>
      <c r="C41" s="93" t="n">
        <f aca="false">Model!G317</f>
        <v>1676065.6875</v>
      </c>
      <c r="D41" s="93" t="n">
        <f aca="false">Model!J317</f>
        <v>1738918.15078125</v>
      </c>
      <c r="E41" s="93" t="n">
        <f aca="false">Model!M317</f>
        <v>1804127.58143555</v>
      </c>
      <c r="F41" s="93" t="n">
        <f aca="false">Model!P317</f>
        <v>1527382.36573938</v>
      </c>
      <c r="G41" s="93" t="n">
        <f aca="false">Model!S317</f>
        <v>1240259.20445461</v>
      </c>
      <c r="H41" s="93" t="n">
        <f aca="false">Model!V317</f>
        <v>942368.924621655</v>
      </c>
      <c r="I41" s="93" t="n">
        <f aca="false">Model!Y317</f>
        <v>633307.759294967</v>
      </c>
      <c r="J41" s="93" t="n">
        <f aca="false">Model!AB317</f>
        <v>312656.800268528</v>
      </c>
      <c r="K41" s="93" t="n">
        <f aca="false">Model!AE317</f>
        <v>0</v>
      </c>
      <c r="L41" s="93" t="n">
        <f aca="false">Model!AH317</f>
        <v>0</v>
      </c>
      <c r="M41" s="93" t="n">
        <f aca="false">Model!AK317</f>
        <v>0</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305</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-250000</v>
      </c>
      <c r="O42" s="93" t="n">
        <f aca="false">Model!AO322+Model!AP322+Model!AQ322</f>
        <v>0</v>
      </c>
      <c r="P42" s="93" t="n">
        <f aca="false">Model!AR322+Model!AS322+Model!AT322</f>
        <v>0</v>
      </c>
      <c r="Q42" s="93" t="n">
        <f aca="false">Model!AU322+Model!AV322+Model!AW322</f>
        <v>0</v>
      </c>
      <c r="R42" s="93" t="n">
        <f aca="false">Model!AX322+Model!AY322+Model!AZ322</f>
        <v>0</v>
      </c>
      <c r="S42" s="93" t="n">
        <f aca="false">Model!BA322+Model!BB322+Model!BC322</f>
        <v>0</v>
      </c>
      <c r="T42" s="93" t="n">
        <f aca="false">Model!BD322+Model!BE322+Model!BF322</f>
        <v>0</v>
      </c>
      <c r="U42" s="93" t="n">
        <f aca="false">Model!BG322+Model!BH322+Model!BI322</f>
        <v>0</v>
      </c>
      <c r="V42" s="93" t="n">
        <f aca="false">Model!BJ322+Model!BK322+Model!BL322</f>
        <v>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306</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500000</v>
      </c>
      <c r="O43" s="93" t="n">
        <f aca="false">Model!AQ323</f>
        <v>500000</v>
      </c>
      <c r="P43" s="93" t="n">
        <f aca="false">Model!AT323</f>
        <v>500000</v>
      </c>
      <c r="Q43" s="93" t="n">
        <f aca="false">Model!AW323</f>
        <v>500000</v>
      </c>
      <c r="R43" s="93" t="n">
        <f aca="false">Model!AZ323</f>
        <v>500000</v>
      </c>
      <c r="S43" s="93" t="n">
        <f aca="false">Model!BC323</f>
        <v>500000</v>
      </c>
      <c r="T43" s="93" t="n">
        <f aca="false">Model!BF323</f>
        <v>500000</v>
      </c>
      <c r="U43" s="93" t="n">
        <f aca="false">Model!BI323</f>
        <v>500000</v>
      </c>
      <c r="V43" s="93" t="n">
        <f aca="false">Model!BL323</f>
        <v>500000</v>
      </c>
      <c r="W43" s="93" t="n">
        <f aca="false">Model!BO323</f>
        <v>500000</v>
      </c>
      <c r="X43" s="93" t="n">
        <f aca="false">Model!BR323</f>
        <v>500000</v>
      </c>
      <c r="Y43" s="93" t="n">
        <f aca="false">Model!BU323</f>
        <v>500000</v>
      </c>
      <c r="Z43" s="93" t="n">
        <f aca="false">Model!BX323</f>
        <v>500000</v>
      </c>
      <c r="AA43" s="93" t="n">
        <f aca="false">Model!CA323</f>
        <v>500000</v>
      </c>
      <c r="AB43" s="93" t="n">
        <f aca="false">Model!CD323</f>
        <v>500000</v>
      </c>
      <c r="AC43" s="93" t="n">
        <f aca="false">Model!CG323</f>
        <v>500000</v>
      </c>
      <c r="AD43" s="93" t="n">
        <f aca="false">Model!CJ323</f>
        <v>500000</v>
      </c>
      <c r="AE43" s="93" t="n">
        <f aca="false">Model!CM323</f>
        <v>500000</v>
      </c>
      <c r="AF43" s="93" t="n">
        <f aca="false">Model!CP323</f>
        <v>500000</v>
      </c>
      <c r="AG43" s="93" t="n">
        <f aca="false">Model!CS323</f>
        <v>500000</v>
      </c>
      <c r="AH43" s="93" t="n">
        <f aca="false">Model!CV323</f>
        <v>500000</v>
      </c>
      <c r="AI43" s="93" t="n">
        <f aca="false">Model!CY323</f>
        <v>500000</v>
      </c>
      <c r="AJ43" s="93" t="n">
        <f aca="false">Model!DB323</f>
        <v>500000</v>
      </c>
      <c r="AK43" s="93" t="n">
        <f aca="false">Model!DE323</f>
        <v>500000</v>
      </c>
    </row>
    <row r="44" customFormat="false" ht="15" hidden="false" customHeight="true" outlineLevel="0" collapsed="false">
      <c r="A44" s="22" t="s">
        <v>307</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308</v>
      </c>
      <c r="B45" s="93" t="n">
        <f aca="false">Model!D330+Model!D335+Model!D340+Model!D345</f>
        <v>0</v>
      </c>
      <c r="C45" s="93" t="n">
        <f aca="false">Model!G330+Model!G335+Model!G340+Model!G345</f>
        <v>1738378.196875</v>
      </c>
      <c r="D45" s="93" t="n">
        <f aca="false">Model!J330+Model!J335+Model!J340+Model!J345</f>
        <v>2142433.65800781</v>
      </c>
      <c r="E45" s="93" t="n">
        <f aca="false">Model!M330+Model!M335+Model!M340+Model!M345</f>
        <v>2378399.92018311</v>
      </c>
      <c r="F45" s="93" t="n">
        <f aca="false">Model!P330+Model!P335+Model!P340+Model!P345</f>
        <v>2714835.55656497</v>
      </c>
      <c r="G45" s="93" t="n">
        <f aca="false">Model!S330+Model!S335+Model!S340+Model!S345</f>
        <v>1507637.52931116</v>
      </c>
      <c r="H45" s="93" t="n">
        <f aca="false">Model!V330+Model!V335+Model!V340+Model!V345</f>
        <v>1564173.93666033</v>
      </c>
      <c r="I45" s="93" t="n">
        <f aca="false">Model!Y330+Model!Y335+Model!Y340+Model!Y345</f>
        <v>1714451.09866009</v>
      </c>
      <c r="J45" s="93" t="n">
        <f aca="false">Model!AB330+Model!AB335+Model!AB340+Model!AB345</f>
        <v>1778743.01485984</v>
      </c>
      <c r="K45" s="93" t="n">
        <f aca="false">Model!AE330+Model!AE335+Model!AE340+Model!AE345</f>
        <v>961652.271667087</v>
      </c>
      <c r="L45" s="93" t="n">
        <f aca="false">Model!AH330+Model!AH335+Model!AH340+Model!AH345</f>
        <v>997714.231854602</v>
      </c>
      <c r="M45" s="93" t="n">
        <f aca="false">Model!AK330+Model!AK335+Model!AK340+Model!AK345</f>
        <v>1035128.51554915</v>
      </c>
      <c r="N45" s="93" t="n">
        <f aca="false">Model!AN330+Model!AN335+Model!AN340+Model!AN345</f>
        <v>1073945.83488224</v>
      </c>
      <c r="O45" s="93" t="n">
        <f aca="false">Model!AQ330+Model!AQ335+Model!AQ340+Model!AQ345</f>
        <v>1114218.80369033</v>
      </c>
      <c r="P45" s="93" t="n">
        <f aca="false">Model!AT330+Model!AT335+Model!AT340+Model!AT345</f>
        <v>1156002.00882871</v>
      </c>
      <c r="Q45" s="93" t="n">
        <f aca="false">Model!AW330+Model!AW335+Model!AW340+Model!AW345</f>
        <v>1199352.08415979</v>
      </c>
      <c r="R45" s="93" t="n">
        <f aca="false">Model!AZ330+Model!AZ335+Model!AZ340+Model!AZ345</f>
        <v>1244327.78731578</v>
      </c>
      <c r="S45" s="93" t="n">
        <f aca="false">Model!BC330+Model!BC335+Model!BC340+Model!BC345</f>
        <v>1041818.77934013</v>
      </c>
      <c r="T45" s="93" t="n">
        <f aca="false">Model!BF330+Model!BF335+Model!BF340+Model!BF345</f>
        <v>1009186.98356538</v>
      </c>
      <c r="U45" s="93" t="n">
        <f aca="false">Model!BI330+Model!BI335+Model!BI340+Model!BI345</f>
        <v>975331.495449082</v>
      </c>
      <c r="V45" s="93" t="n">
        <f aca="false">Model!BL330+Model!BL335+Model!BL340+Model!BL345</f>
        <v>940206.426528422</v>
      </c>
      <c r="W45" s="93" t="n">
        <f aca="false">Model!BO330+Model!BO335+Model!BO340+Model!BO345</f>
        <v>903764.167523238</v>
      </c>
      <c r="X45" s="93" t="n">
        <f aca="false">Model!BR330+Model!BR335+Model!BR340+Model!BR345</f>
        <v>863012.323805359</v>
      </c>
      <c r="Y45" s="93" t="n">
        <f aca="false">Model!BU330+Model!BU335+Model!BU340+Model!BU345</f>
        <v>820735.28594806</v>
      </c>
      <c r="Z45" s="93" t="n">
        <f aca="false">Model!BX330+Model!BX335+Model!BX340+Model!BX345</f>
        <v>776872.859171113</v>
      </c>
      <c r="AA45" s="93" t="n">
        <f aca="false">Model!CA330+Model!CA335+Model!CA340+Model!CA345</f>
        <v>731365.591390029</v>
      </c>
      <c r="AB45" s="93" t="n">
        <f aca="false">Model!CD330+Model!CD335+Model!CD340+Model!CD345</f>
        <v>677428.801067155</v>
      </c>
      <c r="AC45" s="93" t="n">
        <f aca="false">Model!CG330+Model!CG335+Model!CG340+Model!CG345</f>
        <v>621470.381107174</v>
      </c>
      <c r="AD45" s="93" t="n">
        <f aca="false">Model!CJ330+Model!CJ335+Model!CJ340+Model!CJ345</f>
        <v>570021.547005172</v>
      </c>
      <c r="AE45" s="93" t="n">
        <f aca="false">Model!CM330+Model!CM335+Model!CM340+Model!CM345</f>
        <v>591397.355017866</v>
      </c>
      <c r="AF45" s="93" t="n">
        <f aca="false">Model!CP330+Model!CP335+Model!CP340+Model!CP345</f>
        <v>442013.212831036</v>
      </c>
      <c r="AG45" s="93" t="n">
        <f aca="false">Model!CS330+Model!CS335+Model!CS340+Model!CS345</f>
        <v>233637.0833122</v>
      </c>
      <c r="AH45" s="93" t="n">
        <f aca="false">Model!CV330+Model!CV335+Model!CV340+Model!CV345</f>
        <v>17446.8489364072</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309</v>
      </c>
      <c r="B47" s="93" t="n">
        <f aca="false">Model!D356</f>
        <v>0</v>
      </c>
      <c r="C47" s="93" t="n">
        <f aca="false">Model!G356</f>
        <v>20879271.91</v>
      </c>
      <c r="D47" s="93" t="n">
        <f aca="false">Model!J356</f>
        <v>82574509.2435969</v>
      </c>
      <c r="E47" s="93" t="n">
        <f aca="false">Model!M356</f>
        <v>93841157.4299332</v>
      </c>
      <c r="F47" s="93" t="n">
        <f aca="false">Model!P356</f>
        <v>81571690.8249268</v>
      </c>
      <c r="G47" s="93" t="n">
        <f aca="false">Model!S356</f>
        <v>139923409.92022</v>
      </c>
      <c r="H47" s="93" t="n">
        <f aca="false">Model!V356</f>
        <v>129730690.935604</v>
      </c>
      <c r="I47" s="93" t="n">
        <f aca="false">Model!Y356</f>
        <v>114921954.782205</v>
      </c>
      <c r="J47" s="93" t="n">
        <f aca="false">Model!AB356</f>
        <v>81088973.3302383</v>
      </c>
      <c r="K47" s="93" t="n">
        <f aca="false">Model!AE356</f>
        <v>99064774.3854532</v>
      </c>
      <c r="L47" s="93" t="n">
        <f aca="false">Model!AH356</f>
        <v>74580971.284942</v>
      </c>
      <c r="M47" s="93" t="n">
        <f aca="false">Model!AK356</f>
        <v>55038862.430782</v>
      </c>
      <c r="N47" s="93" t="n">
        <f aca="false">Model!AN356</f>
        <v>39331082.509006</v>
      </c>
      <c r="O47" s="93" t="n">
        <f aca="false">Model!AQ356</f>
        <v>29259209.377692</v>
      </c>
      <c r="P47" s="93" t="n">
        <f aca="false">Model!AT356</f>
        <v>20343070.101246</v>
      </c>
      <c r="Q47" s="93" t="n">
        <f aca="false">Model!AW356</f>
        <v>13258584.501624</v>
      </c>
      <c r="R47" s="93" t="n">
        <f aca="false">Model!AZ356</f>
        <v>8360541.887544</v>
      </c>
      <c r="S47" s="93" t="n">
        <f aca="false">Model!BC356</f>
        <v>4384004.53832</v>
      </c>
      <c r="T47" s="93" t="n">
        <f aca="false">Model!BF356</f>
        <v>1431490.58668</v>
      </c>
      <c r="U47" s="93" t="n">
        <f aca="false">Model!BI356</f>
        <v>0</v>
      </c>
      <c r="V47" s="93" t="n">
        <f aca="false">Model!BL356</f>
        <v>0</v>
      </c>
      <c r="W47" s="93" t="n">
        <f aca="false">Model!BO356</f>
        <v>0</v>
      </c>
      <c r="X47" s="93" t="n">
        <f aca="false">Model!BR356</f>
        <v>0</v>
      </c>
      <c r="Y47" s="93" t="n">
        <f aca="false">Model!BU356</f>
        <v>0</v>
      </c>
      <c r="Z47" s="93" t="n">
        <f aca="false">Model!BX356</f>
        <v>0</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193</v>
      </c>
      <c r="B49" s="83" t="n">
        <f aca="false">Model!D369</f>
        <v>0</v>
      </c>
      <c r="C49" s="83" t="n">
        <f aca="false">Model!G369</f>
        <v>0</v>
      </c>
      <c r="D49" s="83" t="n">
        <f aca="false">Model!J369</f>
        <v>1121321.7942407</v>
      </c>
      <c r="E49" s="83" t="n">
        <f aca="false">Model!M369</f>
        <v>2169280.11445269</v>
      </c>
      <c r="F49" s="83" t="n">
        <f aca="false">Model!P369</f>
        <v>1950479.9368901</v>
      </c>
      <c r="G49" s="83" t="n">
        <f aca="false">Model!S369</f>
        <v>2302048.62669757</v>
      </c>
      <c r="H49" s="83" t="n">
        <f aca="false">Model!V369</f>
        <v>3046741.81041956</v>
      </c>
      <c r="I49" s="83" t="n">
        <f aca="false">Model!Y369</f>
        <v>4536405.69841659</v>
      </c>
      <c r="J49" s="83" t="n">
        <f aca="false">Model!AB369</f>
        <v>6695584.62021421</v>
      </c>
      <c r="K49" s="83" t="n">
        <f aca="false">Model!AE369</f>
        <v>7967900.13019629</v>
      </c>
      <c r="L49" s="83" t="n">
        <f aca="false">Model!AH369</f>
        <v>9357417.42803857</v>
      </c>
      <c r="M49" s="83" t="n">
        <f aca="false">Model!AK369</f>
        <v>11072320.422959</v>
      </c>
      <c r="N49" s="83" t="n">
        <f aca="false">Model!AN369</f>
        <v>11823857.0201426</v>
      </c>
      <c r="O49" s="83" t="n">
        <f aca="false">Model!AQ369</f>
        <v>12059938.9068898</v>
      </c>
      <c r="P49" s="83" t="n">
        <f aca="false">Model!AT369</f>
        <v>11816973.7751883</v>
      </c>
      <c r="Q49" s="83" t="n">
        <f aca="false">Model!AW369</f>
        <v>12113984.245129</v>
      </c>
      <c r="R49" s="83" t="n">
        <f aca="false">Model!AZ369</f>
        <v>11379182.6318645</v>
      </c>
      <c r="S49" s="83" t="n">
        <f aca="false">Model!BC369</f>
        <v>10621598.3868051</v>
      </c>
      <c r="T49" s="83" t="n">
        <f aca="false">Model!BF369</f>
        <v>9864014.14174577</v>
      </c>
      <c r="U49" s="83" t="n">
        <f aca="false">Model!BI369</f>
        <v>9599738.61508826</v>
      </c>
      <c r="V49" s="83" t="n">
        <f aca="false">Model!BL369</f>
        <v>8392824.39355355</v>
      </c>
      <c r="W49" s="83" t="n">
        <f aca="false">Model!BO369</f>
        <v>7162671.88758815</v>
      </c>
      <c r="X49" s="83" t="n">
        <f aca="false">Model!BR369</f>
        <v>5932519.38162274</v>
      </c>
      <c r="Y49" s="83" t="n">
        <f aca="false">Model!BU369</f>
        <v>4702366.87565734</v>
      </c>
      <c r="Z49" s="83" t="n">
        <f aca="false">Model!BX369</f>
        <v>3472214.36969193</v>
      </c>
      <c r="AA49" s="83" t="n">
        <f aca="false">Model!CA369</f>
        <v>2218358.81360722</v>
      </c>
      <c r="AB49" s="83" t="n">
        <f aca="false">Model!CD369</f>
        <v>964503.257522507</v>
      </c>
      <c r="AC49" s="83" t="n">
        <f aca="false">Model!CG369</f>
        <v>-289352.298562206</v>
      </c>
      <c r="AD49" s="83" t="n">
        <f aca="false">Model!CJ369</f>
        <v>-1543207.85464692</v>
      </c>
      <c r="AE49" s="83" t="n">
        <f aca="false">Model!CM369</f>
        <v>-2821240.52185333</v>
      </c>
      <c r="AF49" s="83" t="n">
        <f aca="false">Model!CP369</f>
        <v>-4099273.18905973</v>
      </c>
      <c r="AG49" s="83" t="n">
        <f aca="false">Model!CS369</f>
        <v>-5377305.85626614</v>
      </c>
      <c r="AH49" s="83" t="n">
        <f aca="false">Model!CV369</f>
        <v>-6534280.08134647</v>
      </c>
      <c r="AI49" s="83" t="n">
        <f aca="false">Model!CY369</f>
        <v>-7713493.79092841</v>
      </c>
      <c r="AJ49" s="83" t="n">
        <f aca="false">Model!DB369</f>
        <v>-8892707.50051034</v>
      </c>
      <c r="AK49" s="83" t="n">
        <f aca="false">Model!DE369</f>
        <v>-10071921.2100923</v>
      </c>
    </row>
    <row r="50" customFormat="false" ht="15" hidden="false" customHeight="true" outlineLevel="0" collapsed="false">
      <c r="A50" s="82" t="s">
        <v>201</v>
      </c>
      <c r="B50" s="83" t="n">
        <f aca="false">Model!D378</f>
        <v>0</v>
      </c>
      <c r="C50" s="83" t="n">
        <f aca="false">Model!G378</f>
        <v>0</v>
      </c>
      <c r="D50" s="83" t="n">
        <f aca="false">Model!J378</f>
        <v>503745.387883333</v>
      </c>
      <c r="E50" s="83" t="n">
        <f aca="false">Model!M378</f>
        <v>25161.5515333333</v>
      </c>
      <c r="F50" s="83" t="n">
        <f aca="false">Model!P378</f>
        <v>-747721.659855012</v>
      </c>
      <c r="G50" s="83" t="n">
        <f aca="false">Model!S378</f>
        <v>-1528944.91923951</v>
      </c>
      <c r="H50" s="83" t="n">
        <f aca="false">Model!V378</f>
        <v>-2381886.92862402</v>
      </c>
      <c r="I50" s="83" t="n">
        <f aca="false">Model!Y378</f>
        <v>-3177453.93800852</v>
      </c>
      <c r="J50" s="83" t="n">
        <f aca="false">Model!AB378</f>
        <v>-4218969.77567501</v>
      </c>
      <c r="K50" s="83" t="n">
        <f aca="false">Model!AE378</f>
        <v>-5006722.095646</v>
      </c>
      <c r="L50" s="83" t="n">
        <f aca="false">Model!AH378</f>
        <v>-5545341.66954892</v>
      </c>
      <c r="M50" s="83" t="n">
        <f aca="false">Model!AK378</f>
        <v>-6121934.92766236</v>
      </c>
      <c r="N50" s="83" t="n">
        <f aca="false">Model!AN378</f>
        <v>-6974279.67282714</v>
      </c>
      <c r="O50" s="83" t="n">
        <f aca="false">Model!AQ378</f>
        <v>-7593338.98949802</v>
      </c>
      <c r="P50" s="83" t="n">
        <f aca="false">Model!AT378</f>
        <v>-8212398.3061689</v>
      </c>
      <c r="Q50" s="83" t="n">
        <f aca="false">Model!AW378</f>
        <v>-8831457.62283978</v>
      </c>
      <c r="R50" s="83" t="n">
        <f aca="false">Model!AZ378</f>
        <v>-9450516.93951066</v>
      </c>
      <c r="S50" s="83" t="n">
        <f aca="false">Model!BC378</f>
        <v>-10080929.162515</v>
      </c>
      <c r="T50" s="83" t="n">
        <f aca="false">Model!BF378</f>
        <v>-10711341.3855193</v>
      </c>
      <c r="U50" s="83" t="n">
        <f aca="false">Model!BI378</f>
        <v>-11341753.6085235</v>
      </c>
      <c r="V50" s="83" t="n">
        <f aca="false">Model!BL378</f>
        <v>-11972165.8315278</v>
      </c>
      <c r="W50" s="83" t="n">
        <f aca="false">Model!BO378</f>
        <v>-12614158.0189922</v>
      </c>
      <c r="X50" s="83" t="n">
        <f aca="false">Model!BR378</f>
        <v>-13202899.8564566</v>
      </c>
      <c r="Y50" s="83" t="n">
        <f aca="false">Model!BU378</f>
        <v>-13777130.043921</v>
      </c>
      <c r="Z50" s="83" t="n">
        <f aca="false">Model!BX378</f>
        <v>-14351360.2313854</v>
      </c>
      <c r="AA50" s="83" t="n">
        <f aca="false">Model!CA378</f>
        <v>-14937401.9825991</v>
      </c>
      <c r="AB50" s="83" t="n">
        <f aca="false">Model!CD378</f>
        <v>-15514706.7338127</v>
      </c>
      <c r="AC50" s="83" t="n">
        <f aca="false">Model!CG378</f>
        <v>-16092011.4850264</v>
      </c>
      <c r="AD50" s="83" t="n">
        <f aca="false">Model!CJ378</f>
        <v>-16662708.2096336</v>
      </c>
      <c r="AE50" s="83" t="n">
        <f aca="false">Model!CM378</f>
        <v>-16854976.7558715</v>
      </c>
      <c r="AF50" s="83" t="n">
        <f aca="false">Model!CP378</f>
        <v>-17047245.3021095</v>
      </c>
      <c r="AG50" s="83" t="n">
        <f aca="false">Model!CS378</f>
        <v>-17239513.8483474</v>
      </c>
      <c r="AH50" s="83" t="n">
        <f aca="false">Model!CV378</f>
        <v>-17414049.559591</v>
      </c>
      <c r="AI50" s="83" t="n">
        <f aca="false">Model!CY378</f>
        <v>-17398501.2139959</v>
      </c>
      <c r="AJ50" s="83" t="n">
        <f aca="false">Model!DB378</f>
        <v>-17365506.0194644</v>
      </c>
      <c r="AK50" s="83" t="n">
        <f aca="false">Model!DE378</f>
        <v>-17332510.8249329</v>
      </c>
    </row>
    <row r="51" customFormat="false" ht="15" hidden="false" customHeight="true" outlineLevel="0" collapsed="false">
      <c r="A51" s="82" t="s">
        <v>204</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-228839.646490721</v>
      </c>
      <c r="G51" s="83" t="n">
        <f aca="false">Model!Q382+Model!R382+Model!S382</f>
        <v>0</v>
      </c>
      <c r="H51" s="83" t="n">
        <f aca="false">Model!T382+Model!U382+Model!V382</f>
        <v>0</v>
      </c>
      <c r="I51" s="83" t="n">
        <f aca="false">Model!W382+Model!X382+Model!Y382</f>
        <v>0</v>
      </c>
      <c r="J51" s="83" t="n">
        <f aca="false">Model!Z382+Model!AA382+Model!AB382</f>
        <v>-1241123.12775383</v>
      </c>
      <c r="K51" s="83" t="n">
        <f aca="false">Model!AC382+Model!AD382+Model!AE382</f>
        <v>0</v>
      </c>
      <c r="L51" s="83" t="n">
        <f aca="false">Model!AF382+Model!AG382+Model!AH382</f>
        <v>0</v>
      </c>
      <c r="M51" s="83" t="n">
        <f aca="false">Model!AI382+Model!AJ382+Model!AK382</f>
        <v>0</v>
      </c>
      <c r="N51" s="83" t="n">
        <f aca="false">Model!AL382+Model!AM382+Model!AN382</f>
        <v>-1968386.36639399</v>
      </c>
      <c r="O51" s="83" t="n">
        <f aca="false">Model!AO382+Model!AP382+Model!AQ382</f>
        <v>0</v>
      </c>
      <c r="P51" s="83" t="n">
        <f aca="false">Model!AR382+Model!AS382+Model!AT382</f>
        <v>0</v>
      </c>
      <c r="Q51" s="83" t="n">
        <f aca="false">Model!AU382+Model!AV382+Model!AW382</f>
        <v>0</v>
      </c>
      <c r="R51" s="83" t="n">
        <f aca="false">Model!AX382+Model!AY382+Model!AZ382</f>
        <v>0</v>
      </c>
      <c r="S51" s="83" t="n">
        <f aca="false">Model!BA382+Model!BB382+Model!BC382</f>
        <v>0</v>
      </c>
      <c r="T51" s="83" t="n">
        <f aca="false">Model!BD382+Model!BE382+Model!BF382</f>
        <v>0</v>
      </c>
      <c r="U51" s="83" t="n">
        <f aca="false">Model!BG382+Model!BH382+Model!BI382</f>
        <v>0</v>
      </c>
      <c r="V51" s="83" t="n">
        <f aca="false">Model!BJ382+Model!BK382+Model!BL382</f>
        <v>0</v>
      </c>
      <c r="W51" s="83" t="n">
        <f aca="false">Model!BM382+Model!BN382+Model!BO382</f>
        <v>0</v>
      </c>
      <c r="X51" s="83" t="n">
        <f aca="false">Model!BP382+Model!BQ382+Model!BR382</f>
        <v>0</v>
      </c>
      <c r="Y51" s="83" t="n">
        <f aca="false">Model!BS382+Model!BT382+Model!BU382</f>
        <v>0</v>
      </c>
      <c r="Z51" s="83" t="n">
        <f aca="false">Model!BV382+Model!BW382+Model!BX382</f>
        <v>0</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310</v>
      </c>
      <c r="B52" s="84" t="n">
        <f aca="false">Model!D383</f>
        <v>0</v>
      </c>
      <c r="C52" s="84" t="n">
        <f aca="false">Model!G383</f>
        <v>0</v>
      </c>
      <c r="D52" s="84" t="n">
        <f aca="false">Model!J383</f>
        <v>1625067.18212404</v>
      </c>
      <c r="E52" s="84" t="n">
        <f aca="false">Model!M383</f>
        <v>2194441.66598602</v>
      </c>
      <c r="F52" s="84" t="n">
        <f aca="false">Model!P383</f>
        <v>973918.630544363</v>
      </c>
      <c r="G52" s="84" t="n">
        <f aca="false">Model!S383</f>
        <v>773103.707458058</v>
      </c>
      <c r="H52" s="84" t="n">
        <f aca="false">Model!V383</f>
        <v>664854.881795547</v>
      </c>
      <c r="I52" s="84" t="n">
        <f aca="false">Model!Y383</f>
        <v>1358951.76040807</v>
      </c>
      <c r="J52" s="84" t="n">
        <f aca="false">Model!AB383</f>
        <v>1235491.71678537</v>
      </c>
      <c r="K52" s="84" t="n">
        <f aca="false">Model!AE383</f>
        <v>2961178.03455029</v>
      </c>
      <c r="L52" s="84" t="n">
        <f aca="false">Model!AH383</f>
        <v>3812075.75848965</v>
      </c>
      <c r="M52" s="84" t="n">
        <f aca="false">Model!AK383</f>
        <v>4950385.49529664</v>
      </c>
      <c r="N52" s="84" t="n">
        <f aca="false">Model!AN383</f>
        <v>2881190.98092144</v>
      </c>
      <c r="O52" s="84" t="n">
        <f aca="false">Model!AQ383</f>
        <v>4466599.91739179</v>
      </c>
      <c r="P52" s="84" t="n">
        <f aca="false">Model!AT383</f>
        <v>3604575.46901942</v>
      </c>
      <c r="Q52" s="84" t="n">
        <f aca="false">Model!AW383</f>
        <v>3282526.62228924</v>
      </c>
      <c r="R52" s="84" t="n">
        <f aca="false">Model!AZ383</f>
        <v>1928665.69235381</v>
      </c>
      <c r="S52" s="84" t="n">
        <f aca="false">Model!BC383</f>
        <v>540669.224290162</v>
      </c>
      <c r="T52" s="84" t="n">
        <f aca="false">Model!BF383</f>
        <v>-847327.243773485</v>
      </c>
      <c r="U52" s="84" t="n">
        <f aca="false">Model!BI383</f>
        <v>-1742014.99343528</v>
      </c>
      <c r="V52" s="84" t="n">
        <f aca="false">Model!BL383</f>
        <v>-3579341.43797429</v>
      </c>
      <c r="W52" s="84" t="n">
        <f aca="false">Model!BO383</f>
        <v>-5451486.13140408</v>
      </c>
      <c r="X52" s="84" t="n">
        <f aca="false">Model!BR383</f>
        <v>-7270380.47483387</v>
      </c>
      <c r="Y52" s="84" t="n">
        <f aca="false">Model!BU383</f>
        <v>-9074763.16826366</v>
      </c>
      <c r="Z52" s="84" t="n">
        <f aca="false">Model!BX383</f>
        <v>-10879145.8616935</v>
      </c>
      <c r="AA52" s="84" t="n">
        <f aca="false">Model!CA383</f>
        <v>-12719043.1689918</v>
      </c>
      <c r="AB52" s="84" t="n">
        <f aca="false">Model!CD383</f>
        <v>-14550203.4762902</v>
      </c>
      <c r="AC52" s="84" t="n">
        <f aca="false">Model!CG383</f>
        <v>-16381363.7835886</v>
      </c>
      <c r="AD52" s="84" t="n">
        <f aca="false">Model!CJ383</f>
        <v>-18205916.0642805</v>
      </c>
      <c r="AE52" s="84" t="n">
        <f aca="false">Model!CM383</f>
        <v>-19676217.2777249</v>
      </c>
      <c r="AF52" s="84" t="n">
        <f aca="false">Model!CP383</f>
        <v>-21146518.4911692</v>
      </c>
      <c r="AG52" s="84" t="n">
        <f aca="false">Model!CS383</f>
        <v>-22616819.7046136</v>
      </c>
      <c r="AH52" s="84" t="n">
        <f aca="false">Model!CV383</f>
        <v>-23948329.6409375</v>
      </c>
      <c r="AI52" s="84" t="n">
        <f aca="false">Model!CY383</f>
        <v>-25111995.0049243</v>
      </c>
      <c r="AJ52" s="84" t="n">
        <f aca="false">Model!DB383</f>
        <v>-26258213.5199747</v>
      </c>
      <c r="AK52" s="84" t="n">
        <f aca="false">Model!DE383</f>
        <v>-27404432.0350252</v>
      </c>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348</v>
      </c>
    </row>
    <row r="2" customFormat="false" ht="15" hidden="false" customHeight="true" outlineLevel="0" collapsed="false">
      <c r="A2" s="72" t="s">
        <v>349</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350</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351</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352</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353</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354</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355</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0</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356</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357</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358</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359</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360</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361</v>
      </c>
      <c r="C113" s="108"/>
      <c r="D113" s="108"/>
      <c r="E113" s="108"/>
      <c r="F113" s="108"/>
      <c r="G113" s="108"/>
      <c r="H113" s="108" t="n">
        <v>53641.68</v>
      </c>
      <c r="I113" s="108" t="n">
        <v>-934.88</v>
      </c>
      <c r="J113" s="108" t="n">
        <v>-934.88</v>
      </c>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0</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362</v>
      </c>
    </row>
    <row r="2" customFormat="false" ht="15" hidden="false" customHeight="true" outlineLevel="0" collapsed="false">
      <c r="A2" s="72" t="s">
        <v>363</v>
      </c>
    </row>
    <row r="3" customFormat="false" ht="15" hidden="false" customHeight="true" outlineLevel="0" collapsed="false">
      <c r="A3" s="109"/>
      <c r="AP3" s="94" t="s">
        <v>364</v>
      </c>
    </row>
    <row r="4" customFormat="false" ht="19.5" hidden="false" customHeight="true" outlineLevel="0" collapsed="false">
      <c r="A4" s="94" t="s">
        <v>365</v>
      </c>
    </row>
    <row r="5" customFormat="false" ht="15" hidden="false" customHeight="true" outlineLevel="0" collapsed="false">
      <c r="A5" s="72" t="s">
        <v>366</v>
      </c>
    </row>
    <row r="6" customFormat="false" ht="15" hidden="false" customHeight="true" outlineLevel="0" collapsed="false">
      <c r="A6" s="110"/>
      <c r="B6" s="110" t="s">
        <v>367</v>
      </c>
      <c r="C6" s="110" t="s">
        <v>368</v>
      </c>
      <c r="D6" s="110" t="s">
        <v>369</v>
      </c>
      <c r="E6" s="110" t="s">
        <v>370</v>
      </c>
      <c r="F6" s="110" t="s">
        <v>371</v>
      </c>
      <c r="G6" s="110" t="s">
        <v>372</v>
      </c>
      <c r="AP6" s="111" t="s">
        <v>373</v>
      </c>
    </row>
    <row r="7" customFormat="false" ht="15" hidden="false" customHeight="true" outlineLevel="0" collapsed="false">
      <c r="A7" s="112" t="s">
        <v>374</v>
      </c>
    </row>
    <row r="8" customFormat="false" ht="15" hidden="false" customHeight="true" outlineLevel="0" collapsed="false">
      <c r="A8" s="109" t="s">
        <v>375</v>
      </c>
      <c r="B8" s="113" t="n">
        <f aca="false">SUM(Budget!$C$81:$N$81)</f>
        <v>647381.91</v>
      </c>
      <c r="C8" s="113" t="n">
        <f aca="false">SUM(Model!$B$261:$M$261)</f>
        <v>615805.64</v>
      </c>
      <c r="D8" s="113" t="n">
        <f aca="false">C8-B8</f>
        <v>-31576.27</v>
      </c>
      <c r="E8" s="113" t="n">
        <f aca="false">AM105</f>
        <v>440167.48</v>
      </c>
      <c r="F8" s="113" t="n">
        <f aca="false">AL105</f>
        <v>762430.64</v>
      </c>
      <c r="G8" s="113" t="n">
        <f aca="false">F8-E8</f>
        <v>322263.16</v>
      </c>
      <c r="AP8" s="114" t="s">
        <v>376</v>
      </c>
    </row>
    <row r="9" customFormat="false" ht="15" hidden="false" customHeight="true" outlineLevel="0" collapsed="false">
      <c r="A9" s="109" t="s">
        <v>377</v>
      </c>
      <c r="B9" s="113" t="n">
        <f aca="false">SUM(Budget!$C$112:$N$112)</f>
        <v>-1657836.78</v>
      </c>
      <c r="C9" s="113" t="n">
        <f aca="false">SUM(Model!$B$292:$M$292)</f>
        <v>-2407825.26</v>
      </c>
      <c r="D9" s="113" t="n">
        <f aca="false">C9-B9</f>
        <v>-749988.48</v>
      </c>
      <c r="E9" s="113" t="n">
        <f aca="false">AM136</f>
        <v>-1106262.18</v>
      </c>
      <c r="F9" s="113" t="n">
        <f aca="false">AL136</f>
        <v>-1672913.98</v>
      </c>
      <c r="G9" s="113" t="n">
        <f aca="false">F9-E9</f>
        <v>-566651.8</v>
      </c>
      <c r="AP9" s="114" t="s">
        <v>378</v>
      </c>
    </row>
    <row r="10" customFormat="false" ht="15" hidden="false" customHeight="true" outlineLevel="0" collapsed="false">
      <c r="A10" s="115" t="s">
        <v>138</v>
      </c>
      <c r="B10" s="116" t="n">
        <f aca="false">SUM(Budget!$C$114:$N$114)</f>
        <v>-1010454.87</v>
      </c>
      <c r="C10" s="116" t="n">
        <f aca="false">SUM(Model!$B$293:$M$293)</f>
        <v>-1792019.62</v>
      </c>
      <c r="D10" s="116" t="n">
        <f aca="false">C10-B10</f>
        <v>-781564.75</v>
      </c>
      <c r="E10" s="116" t="n">
        <f aca="false">AM138</f>
        <v>-666094.7</v>
      </c>
      <c r="F10" s="116" t="n">
        <f aca="false">AL138</f>
        <v>-858711.42</v>
      </c>
      <c r="G10" s="116" t="n">
        <f aca="false">F10-E10</f>
        <v>-192616.72</v>
      </c>
      <c r="AP10" s="114" t="s">
        <v>379</v>
      </c>
    </row>
    <row r="11" customFormat="false" ht="15" hidden="false" customHeight="true" outlineLevel="0" collapsed="false">
      <c r="A11" s="112" t="s">
        <v>380</v>
      </c>
    </row>
    <row r="12" customFormat="false" ht="15" hidden="false" customHeight="true" outlineLevel="0" collapsed="false">
      <c r="A12" s="109" t="s">
        <v>381</v>
      </c>
      <c r="B12" s="113" t="n">
        <f aca="false">SUM(Budget!$C$8:$N$11)</f>
        <v>5822291.95</v>
      </c>
      <c r="C12" s="113" t="n">
        <f aca="false">SUM(Model!$B$10:$M$11)</f>
        <v>6566786.27224828</v>
      </c>
      <c r="D12" s="113" t="n">
        <f aca="false">C12-B12</f>
        <v>744494.322248277</v>
      </c>
      <c r="E12" s="113" t="n">
        <f aca="false">SUM(AM32:AM35)</f>
        <v>3570603.48</v>
      </c>
      <c r="F12" s="113" t="n">
        <f aca="false">SUM(AL32:AL35)</f>
        <v>3694895.05</v>
      </c>
      <c r="G12" s="113" t="n">
        <f aca="false">F12-E12</f>
        <v>124291.57</v>
      </c>
      <c r="AP12" s="114" t="s">
        <v>382</v>
      </c>
    </row>
    <row r="13" customFormat="false" ht="15" hidden="false" customHeight="true" outlineLevel="0" collapsed="false">
      <c r="A13" s="109" t="s">
        <v>383</v>
      </c>
      <c r="B13" s="113" t="n">
        <f aca="false">SUM(Budget!$C$12:$N$12)+SUM(Budget!$C$14:$N$14)</f>
        <v>0</v>
      </c>
      <c r="C13" s="113" t="n">
        <f aca="false">SUM(Model!$B$57:$M$57)+SUM(Model!$B$104:$M$104)+SUM(Model!$B$197:$M$198)</f>
        <v>815272.825603775</v>
      </c>
      <c r="D13" s="113" t="n">
        <f aca="false">C13-B13</f>
        <v>815272.825603775</v>
      </c>
      <c r="E13" s="113" t="n">
        <f aca="false">AM36+AM38</f>
        <v>0</v>
      </c>
      <c r="F13" s="113" t="n">
        <f aca="false">AL36+AL38</f>
        <v>948676.539999999</v>
      </c>
      <c r="G13" s="113" t="n">
        <f aca="false">F13-E13</f>
        <v>948676.539999999</v>
      </c>
      <c r="AP13" s="114" t="s">
        <v>384</v>
      </c>
    </row>
    <row r="14" customFormat="false" ht="15" hidden="false" customHeight="true" outlineLevel="0" collapsed="false">
      <c r="A14" s="109" t="s">
        <v>385</v>
      </c>
      <c r="B14" s="113" t="n">
        <f aca="false">SUM(Budget!$C$15:$N$16)</f>
        <v>0</v>
      </c>
      <c r="C14" s="113" t="n">
        <f aca="false">SUM(Model!$B$196:$M$196)</f>
        <v>-1069700.04530973</v>
      </c>
      <c r="D14" s="113" t="n">
        <f aca="false">C14-B14</f>
        <v>-1069700.04530973</v>
      </c>
      <c r="E14" s="113" t="n">
        <f aca="false">AM39+AM40</f>
        <v>0</v>
      </c>
      <c r="F14" s="113" t="n">
        <f aca="false">AL39+AL40</f>
        <v>0</v>
      </c>
      <c r="G14" s="113" t="n">
        <f aca="false">F14-E14</f>
        <v>0</v>
      </c>
      <c r="AP14" s="114" t="s">
        <v>386</v>
      </c>
    </row>
    <row r="15" customFormat="false" ht="15" hidden="false" customHeight="true" outlineLevel="0" collapsed="false">
      <c r="A15" s="115" t="s">
        <v>61</v>
      </c>
      <c r="B15" s="116" t="n">
        <f aca="false">SUM(Budget!$C$17:$N$17)</f>
        <v>5822291.95</v>
      </c>
      <c r="C15" s="116" t="n">
        <f aca="false">SUM(Model!$B$199:$M$199)</f>
        <v>6312359.05254232</v>
      </c>
      <c r="D15" s="116" t="n">
        <f aca="false">C15-B15</f>
        <v>490067.102542321</v>
      </c>
      <c r="E15" s="116" t="n">
        <f aca="false">AM41</f>
        <v>3570603.48</v>
      </c>
      <c r="F15" s="116" t="n">
        <f aca="false">AL41</f>
        <v>4643571.59</v>
      </c>
      <c r="G15" s="116" t="n">
        <f aca="false">F15-E15</f>
        <v>1072968.11</v>
      </c>
      <c r="AP15" s="114" t="s">
        <v>387</v>
      </c>
    </row>
    <row r="16" customFormat="false" ht="15" hidden="false" customHeight="true" outlineLevel="0" collapsed="false">
      <c r="A16" s="109" t="s">
        <v>388</v>
      </c>
      <c r="B16" s="113" t="n">
        <f aca="false">SUM(Budget!$C$55:$N$55)</f>
        <v>-3863881.5</v>
      </c>
      <c r="C16" s="113" t="n">
        <f aca="false">SUM(Model!$B$236:$M$236)</f>
        <v>-4066669.58866667</v>
      </c>
      <c r="D16" s="113" t="n">
        <f aca="false">C16-B16</f>
        <v>-202788.088666666</v>
      </c>
      <c r="E16" s="113" t="n">
        <f aca="false">AM79</f>
        <v>-2574621.7</v>
      </c>
      <c r="F16" s="113" t="n">
        <f aca="false">AL79</f>
        <v>-2414322.82</v>
      </c>
      <c r="G16" s="113" t="n">
        <f aca="false">F16-E16</f>
        <v>160298.88</v>
      </c>
      <c r="AP16" s="114" t="s">
        <v>389</v>
      </c>
    </row>
    <row r="17" customFormat="false" ht="15" hidden="false" customHeight="true" outlineLevel="0" collapsed="false">
      <c r="A17" s="115" t="s">
        <v>98</v>
      </c>
      <c r="B17" s="116" t="n">
        <f aca="false">SUM(Budget!$C$57:$N$57)</f>
        <v>1958410.45</v>
      </c>
      <c r="C17" s="116" t="n">
        <f aca="false">SUM(Model!$B$237:$M$237)</f>
        <v>2245689.46387566</v>
      </c>
      <c r="D17" s="116" t="n">
        <f aca="false">C17-B17</f>
        <v>287279.013875655</v>
      </c>
      <c r="E17" s="116" t="n">
        <f aca="false">AM81</f>
        <v>995981.78</v>
      </c>
      <c r="F17" s="116" t="n">
        <f aca="false">AL81</f>
        <v>2229248.77</v>
      </c>
      <c r="G17" s="116" t="n">
        <f aca="false">F17-E17</f>
        <v>1233266.99</v>
      </c>
      <c r="AP17" s="114" t="s">
        <v>390</v>
      </c>
    </row>
    <row r="18" customFormat="false" ht="15" hidden="false" customHeight="true" outlineLevel="0" collapsed="false">
      <c r="A18" s="115" t="s">
        <v>391</v>
      </c>
      <c r="B18" s="117" t="n">
        <f aca="false">B10+B17</f>
        <v>947955.58</v>
      </c>
      <c r="C18" s="117" t="n">
        <f aca="false">SUM(Model!$B$308:$M$308)</f>
        <v>454949.595408988</v>
      </c>
      <c r="D18" s="117" t="n">
        <f aca="false">C18-B18</f>
        <v>-493005.984591012</v>
      </c>
      <c r="E18" s="117" t="n">
        <f aca="false">E10+E17</f>
        <v>329887.08</v>
      </c>
      <c r="F18" s="117" t="n">
        <f aca="false">AL141</f>
        <v>1370537.35</v>
      </c>
      <c r="G18" s="117" t="n">
        <f aca="false">F18-E18</f>
        <v>1040650.27</v>
      </c>
      <c r="AP18" s="114" t="s">
        <v>392</v>
      </c>
    </row>
    <row r="19" customFormat="false" ht="15" hidden="false" customHeight="true" outlineLevel="0" collapsed="false">
      <c r="A19" s="109" t="s">
        <v>393</v>
      </c>
      <c r="C19" s="113" t="n">
        <f aca="false">AL141</f>
        <v>1370537.35</v>
      </c>
    </row>
    <row r="20" customFormat="false" ht="15" hidden="false" customHeight="true" outlineLevel="0" collapsed="false">
      <c r="A20" s="109" t="s">
        <v>394</v>
      </c>
      <c r="C20" s="113" t="n">
        <f aca="false">SUM(Model!$B$259:$M$259)</f>
        <v>-299000</v>
      </c>
    </row>
    <row r="21" customFormat="false" ht="15" hidden="false" customHeight="true" outlineLevel="0" collapsed="false">
      <c r="A21" s="109" t="s">
        <v>395</v>
      </c>
      <c r="C21" s="113" t="n">
        <f aca="false">C18-C19-C20</f>
        <v>-616587.754591014</v>
      </c>
    </row>
    <row r="22" customFormat="false" ht="15" hidden="false" customHeight="true" outlineLevel="0" collapsed="false">
      <c r="A22" s="72" t="s">
        <v>396</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397</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398</v>
      </c>
      <c r="AM28" s="110"/>
      <c r="AN28" s="110"/>
    </row>
    <row r="29" customFormat="false" ht="15" hidden="false" customHeight="true" outlineLevel="0" collapsed="false">
      <c r="A29" s="110" t="s">
        <v>399</v>
      </c>
      <c r="B29" s="110" t="s">
        <v>400</v>
      </c>
      <c r="C29" s="110" t="s">
        <v>401</v>
      </c>
      <c r="D29" s="110" t="s">
        <v>369</v>
      </c>
      <c r="E29" s="110" t="s">
        <v>400</v>
      </c>
      <c r="F29" s="110" t="s">
        <v>401</v>
      </c>
      <c r="G29" s="110" t="s">
        <v>369</v>
      </c>
      <c r="H29" s="110" t="s">
        <v>400</v>
      </c>
      <c r="I29" s="110" t="s">
        <v>401</v>
      </c>
      <c r="J29" s="110" t="s">
        <v>369</v>
      </c>
      <c r="K29" s="110" t="s">
        <v>400</v>
      </c>
      <c r="L29" s="110" t="s">
        <v>401</v>
      </c>
      <c r="M29" s="110" t="s">
        <v>369</v>
      </c>
      <c r="N29" s="110" t="s">
        <v>400</v>
      </c>
      <c r="O29" s="110" t="s">
        <v>401</v>
      </c>
      <c r="P29" s="110" t="s">
        <v>369</v>
      </c>
      <c r="Q29" s="110" t="s">
        <v>400</v>
      </c>
      <c r="R29" s="110" t="s">
        <v>401</v>
      </c>
      <c r="S29" s="110" t="s">
        <v>369</v>
      </c>
      <c r="T29" s="110" t="s">
        <v>400</v>
      </c>
      <c r="U29" s="110" t="s">
        <v>401</v>
      </c>
      <c r="V29" s="110" t="s">
        <v>369</v>
      </c>
      <c r="W29" s="110" t="s">
        <v>400</v>
      </c>
      <c r="X29" s="110" t="s">
        <v>401</v>
      </c>
      <c r="Y29" s="110" t="s">
        <v>369</v>
      </c>
      <c r="Z29" s="110" t="s">
        <v>400</v>
      </c>
      <c r="AA29" s="110" t="s">
        <v>401</v>
      </c>
      <c r="AB29" s="110" t="s">
        <v>369</v>
      </c>
      <c r="AC29" s="110" t="s">
        <v>400</v>
      </c>
      <c r="AD29" s="110" t="s">
        <v>401</v>
      </c>
      <c r="AE29" s="110" t="s">
        <v>369</v>
      </c>
      <c r="AF29" s="110" t="s">
        <v>400</v>
      </c>
      <c r="AG29" s="110" t="s">
        <v>401</v>
      </c>
      <c r="AH29" s="110" t="s">
        <v>369</v>
      </c>
      <c r="AI29" s="110" t="s">
        <v>400</v>
      </c>
      <c r="AJ29" s="110" t="s">
        <v>401</v>
      </c>
      <c r="AK29" s="110" t="s">
        <v>369</v>
      </c>
      <c r="AL29" s="110" t="s">
        <v>400</v>
      </c>
      <c r="AM29" s="110" t="s">
        <v>401</v>
      </c>
      <c r="AN29" s="110" t="s">
        <v>369</v>
      </c>
      <c r="AP29" s="111" t="s">
        <v>402</v>
      </c>
    </row>
    <row r="31" customFormat="false" ht="15" hidden="false" customHeight="true" outlineLevel="0" collapsed="false">
      <c r="A31" s="112" t="s">
        <v>403</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str">
        <f aca="false">IF(OR(9&gt;$B$27,ISBLANK(Actuals!K8)),"",Actuals!K8)</f>
        <v/>
      </c>
      <c r="AA32" s="113" t="n">
        <f aca="false">Budget!K8</f>
        <v>293206.86</v>
      </c>
      <c r="AB32" s="113" t="str">
        <f aca="false">IF(Z32="","",Z32-AA32)</f>
        <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2144890.99</v>
      </c>
      <c r="AM32" s="116" t="n">
        <f aca="false">SUM(Budget!$C8:INDEX(Budget!$C8:$N8,$B$27))</f>
        <v>1931573.96</v>
      </c>
      <c r="AN32" s="116" t="n">
        <f aca="false">AL32-AM32</f>
        <v>213317.03</v>
      </c>
      <c r="AP32" s="114" t="s">
        <v>404</v>
      </c>
    </row>
    <row r="33" customFormat="false" ht="15" hidden="false" customHeight="true" outlineLevel="0" collapsed="false">
      <c r="A33" s="109" t="s">
        <v>350</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str">
        <f aca="false">IF(OR(9&gt;$B$27,ISBLANK(Actuals!K9)),"",Actuals!K9)</f>
        <v/>
      </c>
      <c r="AA33" s="113" t="n">
        <f aca="false">Budget!K9</f>
        <v>0</v>
      </c>
      <c r="AB33" s="113" t="str">
        <f aca="false">IF(Z33="","",Z33-AA33)</f>
        <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str">
        <f aca="false">IF(OR(9&gt;$B$27,ISBLANK(Actuals!K10)),"",Actuals!K10)</f>
        <v/>
      </c>
      <c r="AA34" s="113" t="n">
        <f aca="false">Budget!K10</f>
        <v>279616.59</v>
      </c>
      <c r="AB34" s="113" t="str">
        <f aca="false">IF(Z34="","",Z34-AA34)</f>
        <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1550004.06</v>
      </c>
      <c r="AM34" s="116" t="n">
        <f aca="false">SUM(Budget!$C10:INDEX(Budget!$C10:$N10,$B$27))</f>
        <v>1639029.52</v>
      </c>
      <c r="AN34" s="116" t="n">
        <f aca="false">AL34-AM34</f>
        <v>-89025.46</v>
      </c>
      <c r="AP34" s="114" t="s">
        <v>405</v>
      </c>
    </row>
    <row r="35" customFormat="false" ht="15" hidden="false" customHeight="true" outlineLevel="0" collapsed="false">
      <c r="A35" s="109" t="s">
        <v>351</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str">
        <f aca="false">IF(OR(9&gt;$B$27,ISBLANK(Actuals!K11)),"",Actuals!K11)</f>
        <v/>
      </c>
      <c r="AA35" s="113" t="n">
        <f aca="false">Budget!K11</f>
        <v>0</v>
      </c>
      <c r="AB35" s="113" t="str">
        <f aca="false">IF(Z35="","",Z35-AA35)</f>
        <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str">
        <f aca="false">IF(OR(9&gt;$B$27,ISBLANK(Actuals!K12)),"",Actuals!K12)</f>
        <v/>
      </c>
      <c r="AA36" s="113" t="n">
        <f aca="false">Budget!K12</f>
        <v>5299239.86</v>
      </c>
      <c r="AB36" s="113" t="str">
        <f aca="false">IF(Z36="","",Z36-AA36)</f>
        <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30904644.63</v>
      </c>
      <c r="AM36" s="116" t="n">
        <f aca="false">SUM(Budget!$C12:INDEX(Budget!$C12:$N12,$B$27))</f>
        <v>31530634.64</v>
      </c>
      <c r="AN36" s="116" t="n">
        <f aca="false">AL36-AM36</f>
        <v>-625990.010000002</v>
      </c>
      <c r="AP36" s="114" t="s">
        <v>406</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str">
        <f aca="false">IF(OR(9&gt;$B$27,ISBLANK(Actuals!K13)),"",Actuals!K13)</f>
        <v/>
      </c>
      <c r="AA37" s="116" t="n">
        <f aca="false">Budget!K13</f>
        <v>5872063.31</v>
      </c>
      <c r="AB37" s="116" t="str">
        <f aca="false">IF(Z37="","",Z37-AA37)</f>
        <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34599539.68</v>
      </c>
      <c r="AM37" s="116" t="n">
        <f aca="false">SUM(Budget!$C13:INDEX(Budget!$C13:$N13,$B$27))</f>
        <v>35101238.12</v>
      </c>
      <c r="AN37" s="116" t="n">
        <f aca="false">AL37-AM37</f>
        <v>-501698.439999998</v>
      </c>
      <c r="AP37" s="114" t="s">
        <v>407</v>
      </c>
    </row>
    <row r="38" customFormat="false" ht="15" hidden="false" customHeight="true" outlineLevel="0" collapsed="false">
      <c r="A38" s="109" t="s">
        <v>352</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str">
        <f aca="false">IF(OR(9&gt;$B$27,ISBLANK(Actuals!K14)),"",Actuals!K14)</f>
        <v/>
      </c>
      <c r="AA38" s="113" t="n">
        <f aca="false">Budget!K14</f>
        <v>-5299239.86</v>
      </c>
      <c r="AB38" s="113" t="str">
        <f aca="false">IF(Z38="","",Z38-AA38)</f>
        <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-29955968.09</v>
      </c>
      <c r="AM38" s="116" t="n">
        <f aca="false">SUM(Budget!$C14:INDEX(Budget!$C14:$N14,$B$27))</f>
        <v>-31530634.64</v>
      </c>
      <c r="AN38" s="116" t="n">
        <f aca="false">AL38-AM38</f>
        <v>1574666.55</v>
      </c>
      <c r="AP38" s="114" t="s">
        <v>408</v>
      </c>
    </row>
    <row r="39" customFormat="false" ht="15" hidden="false" customHeight="true" outlineLevel="0" collapsed="false">
      <c r="A39" s="109" t="s">
        <v>409</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str">
        <f aca="false">IF(OR(9&gt;$B$27,ISBLANK(Actuals!K15)),"",Actuals!K15)</f>
        <v/>
      </c>
      <c r="AA39" s="113" t="n">
        <f aca="false">Budget!K15</f>
        <v>0</v>
      </c>
      <c r="AB39" s="113" t="str">
        <f aca="false">IF(Z39="","",Z39-AA39)</f>
        <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410</v>
      </c>
    </row>
    <row r="40" customFormat="false" ht="15" hidden="false" customHeight="true" outlineLevel="0" collapsed="false">
      <c r="A40" s="109" t="s">
        <v>411</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str">
        <f aca="false">IF(OR(9&gt;$B$27,ISBLANK(Actuals!K16)),"",Actuals!K16)</f>
        <v/>
      </c>
      <c r="AA40" s="113" t="n">
        <f aca="false">Budget!K16</f>
        <v>0</v>
      </c>
      <c r="AB40" s="113" t="str">
        <f aca="false">IF(Z40="","",Z40-AA40)</f>
        <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412</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str">
        <f aca="false">IF(OR(9&gt;$B$27,ISBLANK(Actuals!K17)),"",Actuals!K17)</f>
        <v/>
      </c>
      <c r="AA41" s="116" t="n">
        <f aca="false">Budget!K17</f>
        <v>572823.45</v>
      </c>
      <c r="AB41" s="116" t="str">
        <f aca="false">IF(Z41="","",Z41-AA41)</f>
        <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4643571.59</v>
      </c>
      <c r="AM41" s="116" t="n">
        <f aca="false">SUM(Budget!$C17:INDEX(Budget!$C17:$N17,$B$27))</f>
        <v>3570603.48</v>
      </c>
      <c r="AN41" s="116" t="n">
        <f aca="false">AL41-AM41</f>
        <v>1072968.11</v>
      </c>
      <c r="AP41" s="114" t="s">
        <v>413</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str">
        <f aca="false">IF(OR(9&gt;$B$27,ISBLANK(Actuals!K18)),"",Actuals!K18)</f>
        <v/>
      </c>
      <c r="AA42" s="113" t="n">
        <f aca="false">Budget!K18</f>
        <v>0.1</v>
      </c>
      <c r="AB42" s="113" t="str">
        <f aca="false">IF(Z42="","",Z42-AA42)</f>
        <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1.02902959781376</v>
      </c>
      <c r="AM42" s="116" t="n">
        <f aca="false">SUM(Budget!$C18:INDEX(Budget!$C18:$N18,$B$27))</f>
        <v>0.82</v>
      </c>
      <c r="AN42" s="116" t="n">
        <f aca="false">AL42-AM42</f>
        <v>0.20902959781376</v>
      </c>
    </row>
    <row r="45" customFormat="false" ht="15" hidden="fals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str">
        <f aca="false">IF(OR(9&gt;$B$27,ISBLANK(Actuals!K21)),"",Actuals!K21)</f>
        <v/>
      </c>
      <c r="AA45" s="113" t="n">
        <f aca="false">Budget!K21</f>
        <v>-176250.01</v>
      </c>
      <c r="AB45" s="113" t="str">
        <f aca="false">IF(Z45="","",Z45-AA45)</f>
        <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-1589842.61</v>
      </c>
      <c r="AM45" s="116" t="n">
        <f aca="false">SUM(Budget!$C21:INDEX(Budget!$C21:$N21,$B$27))</f>
        <v>-1410000.08</v>
      </c>
      <c r="AN45" s="116" t="n">
        <f aca="false">AL45-AM45</f>
        <v>-179842.53</v>
      </c>
      <c r="AP45" s="114" t="s">
        <v>414</v>
      </c>
    </row>
    <row r="46" customFormat="false" ht="15" hidden="fals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str">
        <f aca="false">IF(OR(9&gt;$B$27,ISBLANK(Actuals!K22)),"",Actuals!K22)</f>
        <v/>
      </c>
      <c r="AA46" s="113" t="n">
        <f aca="false">Budget!K22</f>
        <v>-26437.5</v>
      </c>
      <c r="AB46" s="113" t="str">
        <f aca="false">IF(Z46="","",Z46-AA46)</f>
        <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-121169.78</v>
      </c>
      <c r="AM46" s="116" t="n">
        <f aca="false">SUM(Budget!$C22:INDEX(Budget!$C22:$N22,$B$27))</f>
        <v>-211500</v>
      </c>
      <c r="AN46" s="116" t="n">
        <f aca="false">AL46-AM46</f>
        <v>90330.22</v>
      </c>
      <c r="AP46" s="114" t="s">
        <v>415</v>
      </c>
    </row>
    <row r="47" customFormat="false" ht="15" hidden="fals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str">
        <f aca="false">IF(OR(9&gt;$B$27,ISBLANK(Actuals!K23)),"",Actuals!K23)</f>
        <v/>
      </c>
      <c r="AA47" s="113" t="n">
        <f aca="false">Budget!K23</f>
        <v>-58683.33</v>
      </c>
      <c r="AB47" s="113" t="str">
        <f aca="false">IF(Z47="","",Z47-AA47)</f>
        <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-469466.64</v>
      </c>
      <c r="AN47" s="116" t="n">
        <f aca="false">AL47-AM47</f>
        <v>469466.64</v>
      </c>
      <c r="AP47" s="114" t="s">
        <v>416</v>
      </c>
    </row>
    <row r="48" customFormat="false" ht="15" hidden="fals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str">
        <f aca="false">IF(OR(9&gt;$B$27,ISBLANK(Actuals!K24)),"",Actuals!K24)</f>
        <v/>
      </c>
      <c r="AA48" s="113" t="n">
        <f aca="false">Budget!K24</f>
        <v>-25071.7</v>
      </c>
      <c r="AB48" s="113" t="str">
        <f aca="false">IF(Z48="","",Z48-AA48)</f>
        <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-51941.66</v>
      </c>
      <c r="AM48" s="116" t="n">
        <f aca="false">SUM(Budget!$C24:INDEX(Budget!$C24:$N24,$B$27))</f>
        <v>-200573.6</v>
      </c>
      <c r="AN48" s="116" t="n">
        <f aca="false">AL48-AM48</f>
        <v>148631.94</v>
      </c>
      <c r="AP48" s="114" t="s">
        <v>417</v>
      </c>
    </row>
    <row r="49" customFormat="false" ht="15" hidden="fals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str">
        <f aca="false">IF(OR(9&gt;$B$27,ISBLANK(Actuals!K25)),"",Actuals!K25)</f>
        <v/>
      </c>
      <c r="AA49" s="113" t="n">
        <f aca="false">Budget!K25</f>
        <v>-1731.41</v>
      </c>
      <c r="AB49" s="113" t="str">
        <f aca="false">IF(Z49="","",Z49-AA49)</f>
        <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-4697.68</v>
      </c>
      <c r="AM49" s="116" t="n">
        <f aca="false">SUM(Budget!$C25:INDEX(Budget!$C25:$N25,$B$27))</f>
        <v>-13851.28</v>
      </c>
      <c r="AN49" s="116" t="n">
        <f aca="false">AL49-AM49</f>
        <v>9153.6</v>
      </c>
    </row>
    <row r="50" customFormat="false" ht="15" hidden="fals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str">
        <f aca="false">IF(OR(9&gt;$B$27,ISBLANK(Actuals!K26)),"",Actuals!K26)</f>
        <v/>
      </c>
      <c r="AA50" s="113" t="n">
        <f aca="false">Budget!K26</f>
        <v>-1008</v>
      </c>
      <c r="AB50" s="113" t="str">
        <f aca="false">IF(Z50="","",Z50-AA50)</f>
        <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-8064</v>
      </c>
      <c r="AN50" s="116" t="n">
        <f aca="false">AL50-AM50</f>
        <v>7669</v>
      </c>
    </row>
    <row r="51" customFormat="false" ht="15" hidden="fals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str">
        <f aca="false">IF(OR(9&gt;$B$27,ISBLANK(Actuals!K27)),"",Actuals!K27)</f>
        <v/>
      </c>
      <c r="AA51" s="113" t="n">
        <f aca="false">Budget!K27</f>
        <v>0</v>
      </c>
      <c r="AB51" s="113" t="str">
        <f aca="false">IF(Z51="","",Z51-AA51)</f>
        <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-249668.9</v>
      </c>
      <c r="AM51" s="116" t="n">
        <f aca="false">SUM(Budget!$C27:INDEX(Budget!$C27:$N27,$B$27))</f>
        <v>0</v>
      </c>
      <c r="AN51" s="116" t="n">
        <f aca="false">AL51-AM51</f>
        <v>-249668.9</v>
      </c>
      <c r="AP51" s="114" t="s">
        <v>418</v>
      </c>
    </row>
    <row r="52" customFormat="false" ht="15" hidden="fals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str">
        <f aca="false">IF(OR(9&gt;$B$27,ISBLANK(Actuals!K28)),"",Actuals!K28)</f>
        <v/>
      </c>
      <c r="AA52" s="113" t="n">
        <f aca="false">Budget!K28</f>
        <v>0</v>
      </c>
      <c r="AB52" s="113" t="str">
        <f aca="false">IF(Z52="","",Z52-AA52)</f>
        <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419</v>
      </c>
    </row>
    <row r="53" customFormat="false" ht="15" hidden="fals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str">
        <f aca="false">IF(OR(9&gt;$B$27,ISBLANK(Actuals!K29)),"",Actuals!K29)</f>
        <v/>
      </c>
      <c r="AA53" s="113" t="n">
        <f aca="false">Budget!K29</f>
        <v>-10200</v>
      </c>
      <c r="AB53" s="113" t="str">
        <f aca="false">IF(Z53="","",Z53-AA53)</f>
        <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-113215</v>
      </c>
      <c r="AM53" s="116" t="n">
        <f aca="false">SUM(Budget!$C29:INDEX(Budget!$C29:$N29,$B$27))</f>
        <v>-80400</v>
      </c>
      <c r="AN53" s="116" t="n">
        <f aca="false">AL53-AM53</f>
        <v>-32815</v>
      </c>
      <c r="AP53" s="114" t="s">
        <v>420</v>
      </c>
    </row>
    <row r="54" customFormat="false" ht="15" hidden="fals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str">
        <f aca="false">IF(OR(9&gt;$B$27,ISBLANK(Actuals!K30)),"",Actuals!K30)</f>
        <v/>
      </c>
      <c r="AA54" s="113" t="n">
        <f aca="false">Budget!K30</f>
        <v>-2856</v>
      </c>
      <c r="AB54" s="113" t="str">
        <f aca="false">IF(Z54="","",Z54-AA54)</f>
        <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-43960.49</v>
      </c>
      <c r="AM54" s="116" t="n">
        <f aca="false">SUM(Budget!$C30:INDEX(Budget!$C30:$N30,$B$27))</f>
        <v>-22512</v>
      </c>
      <c r="AN54" s="116" t="n">
        <f aca="false">AL54-AM54</f>
        <v>-21448.49</v>
      </c>
      <c r="AP54" s="114" t="s">
        <v>421</v>
      </c>
    </row>
    <row r="55" customFormat="false" ht="15" hidden="fals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str">
        <f aca="false">IF(OR(9&gt;$B$27,ISBLANK(Actuals!K31)),"",Actuals!K31)</f>
        <v/>
      </c>
      <c r="AA55" s="113" t="n">
        <f aca="false">Budget!K31</f>
        <v>0</v>
      </c>
      <c r="AB55" s="113" t="str">
        <f aca="false">IF(Z55="","",Z55-AA55)</f>
        <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-5044.33</v>
      </c>
      <c r="AM55" s="116" t="n">
        <f aca="false">SUM(Budget!$C31:INDEX(Budget!$C31:$N31,$B$27))</f>
        <v>0</v>
      </c>
      <c r="AN55" s="116" t="n">
        <f aca="false">AL55-AM55</f>
        <v>-5044.33</v>
      </c>
    </row>
    <row r="56" customFormat="false" ht="15" hidden="fals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str">
        <f aca="false">IF(OR(9&gt;$B$27,ISBLANK(Actuals!K32)),"",Actuals!K32)</f>
        <v/>
      </c>
      <c r="AA56" s="113" t="n">
        <f aca="false">Budget!K32</f>
        <v>-3366</v>
      </c>
      <c r="AB56" s="113" t="str">
        <f aca="false">IF(Z56="","",Z56-AA56)</f>
        <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-26532</v>
      </c>
      <c r="AN56" s="116" t="n">
        <f aca="false">AL56-AM56</f>
        <v>26364</v>
      </c>
      <c r="AP56" s="114" t="s">
        <v>422</v>
      </c>
    </row>
    <row r="57" customFormat="false" ht="15" hidden="fals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str">
        <f aca="false">IF(OR(9&gt;$B$27,ISBLANK(Actuals!K33)),"",Actuals!K33)</f>
        <v/>
      </c>
      <c r="AA57" s="113" t="n">
        <f aca="false">Budget!K33</f>
        <v>0</v>
      </c>
      <c r="AB57" s="113" t="str">
        <f aca="false">IF(Z57="","",Z57-AA57)</f>
        <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-49598.64</v>
      </c>
      <c r="AM57" s="116" t="n">
        <f aca="false">SUM(Budget!$C33:INDEX(Budget!$C33:$N33,$B$27))</f>
        <v>0</v>
      </c>
      <c r="AN57" s="116" t="n">
        <f aca="false">AL57-AM57</f>
        <v>-49598.64</v>
      </c>
      <c r="AP57" s="114" t="s">
        <v>423</v>
      </c>
    </row>
    <row r="58" customFormat="false" ht="15" hidden="fals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str">
        <f aca="false">IF(OR(9&gt;$B$27,ISBLANK(Actuals!K34)),"",Actuals!K34)</f>
        <v/>
      </c>
      <c r="AA58" s="113" t="n">
        <f aca="false">Budget!K34</f>
        <v>-306</v>
      </c>
      <c r="AB58" s="113" t="str">
        <f aca="false">IF(Z58="","",Z58-AA58)</f>
        <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-4703.2</v>
      </c>
      <c r="AM58" s="116" t="n">
        <f aca="false">SUM(Budget!$C34:INDEX(Budget!$C34:$N34,$B$27))</f>
        <v>-2412</v>
      </c>
      <c r="AN58" s="116" t="n">
        <f aca="false">AL58-AM58</f>
        <v>-2291.2</v>
      </c>
    </row>
    <row r="59" customFormat="false" ht="15" hidden="fals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str">
        <f aca="false">IF(OR(9&gt;$B$27,ISBLANK(Actuals!K35)),"",Actuals!K35)</f>
        <v/>
      </c>
      <c r="AA59" s="113" t="n">
        <f aca="false">Budget!K35</f>
        <v>-1530</v>
      </c>
      <c r="AB59" s="113" t="str">
        <f aca="false">IF(Z59="","",Z59-AA59)</f>
        <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-12060</v>
      </c>
      <c r="AN59" s="116" t="n">
        <f aca="false">AL59-AM59</f>
        <v>4584.1</v>
      </c>
    </row>
    <row r="60" customFormat="false" ht="15" hidden="fals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str">
        <f aca="false">IF(OR(9&gt;$B$27,ISBLANK(Actuals!K36)),"",Actuals!K36)</f>
        <v/>
      </c>
      <c r="AA60" s="113" t="n">
        <f aca="false">Budget!K36</f>
        <v>-1020</v>
      </c>
      <c r="AB60" s="113" t="str">
        <f aca="false">IF(Z60="","",Z60-AA60)</f>
        <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-8040</v>
      </c>
      <c r="AN60" s="116" t="n">
        <f aca="false">AL60-AM60</f>
        <v>2667.5</v>
      </c>
    </row>
    <row r="61" customFormat="false" ht="15" hidden="fals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str">
        <f aca="false">IF(OR(9&gt;$B$27,ISBLANK(Actuals!K37)),"",Actuals!K37)</f>
        <v/>
      </c>
      <c r="AA61" s="113" t="n">
        <f aca="false">Budget!K37</f>
        <v>-1020</v>
      </c>
      <c r="AB61" s="113" t="str">
        <f aca="false">IF(Z61="","",Z61-AA61)</f>
        <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-59876</v>
      </c>
      <c r="AM61" s="116" t="n">
        <f aca="false">SUM(Budget!$C37:INDEX(Budget!$C37:$N37,$B$27))</f>
        <v>-8040</v>
      </c>
      <c r="AN61" s="116" t="n">
        <f aca="false">AL61-AM61</f>
        <v>-51836</v>
      </c>
      <c r="AP61" s="114" t="s">
        <v>424</v>
      </c>
    </row>
    <row r="62" customFormat="false" ht="15" hidden="fals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str">
        <f aca="false">IF(OR(9&gt;$B$27,ISBLANK(Actuals!K38)),"",Actuals!K38)</f>
        <v/>
      </c>
      <c r="AA62" s="113" t="n">
        <f aca="false">Budget!K38</f>
        <v>0</v>
      </c>
      <c r="AB62" s="113" t="str">
        <f aca="false">IF(Z62="","",Z62-AA62)</f>
        <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-750.4</v>
      </c>
      <c r="AM62" s="116" t="n">
        <f aca="false">SUM(Budget!$C38:INDEX(Budget!$C38:$N38,$B$27))</f>
        <v>0</v>
      </c>
      <c r="AN62" s="116" t="n">
        <f aca="false">AL62-AM62</f>
        <v>-750.4</v>
      </c>
    </row>
    <row r="63" customFormat="false" ht="15" hidden="fals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str">
        <f aca="false">IF(OR(9&gt;$B$27,ISBLANK(Actuals!K39)),"",Actuals!K39)</f>
        <v/>
      </c>
      <c r="AA63" s="113" t="n">
        <f aca="false">Budget!K39</f>
        <v>-1700</v>
      </c>
      <c r="AB63" s="113" t="str">
        <f aca="false">IF(Z63="","",Z63-AA63)</f>
        <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-19660.37</v>
      </c>
      <c r="AM63" s="116" t="n">
        <f aca="false">SUM(Budget!$C39:INDEX(Budget!$C39:$N39,$B$27))</f>
        <v>-13400.02</v>
      </c>
      <c r="AN63" s="116" t="n">
        <f aca="false">AL63-AM63</f>
        <v>-6260.35</v>
      </c>
    </row>
    <row r="64" customFormat="false" ht="15" hidden="fals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str">
        <f aca="false">IF(OR(9&gt;$B$27,ISBLANK(Actuals!K40)),"",Actuals!K40)</f>
        <v/>
      </c>
      <c r="AA64" s="113" t="n">
        <f aca="false">Budget!K40</f>
        <v>-1020</v>
      </c>
      <c r="AB64" s="113" t="str">
        <f aca="false">IF(Z64="","",Z64-AA64)</f>
        <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-18859.3</v>
      </c>
      <c r="AM64" s="116" t="n">
        <f aca="false">SUM(Budget!$C40:INDEX(Budget!$C40:$N40,$B$27))</f>
        <v>-8040</v>
      </c>
      <c r="AN64" s="116" t="n">
        <f aca="false">AL64-AM64</f>
        <v>-10819.3</v>
      </c>
      <c r="AP64" s="114" t="s">
        <v>425</v>
      </c>
    </row>
    <row r="65" customFormat="false" ht="15" hidden="fals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str">
        <f aca="false">IF(OR(9&gt;$B$27,ISBLANK(Actuals!K41)),"",Actuals!K41)</f>
        <v/>
      </c>
      <c r="AA65" s="113" t="n">
        <f aca="false">Budget!K41</f>
        <v>0</v>
      </c>
      <c r="AB65" s="113" t="str">
        <f aca="false">IF(Z65="","",Z65-AA65)</f>
        <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426</v>
      </c>
    </row>
    <row r="66" customFormat="false" ht="15" hidden="fals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str">
        <f aca="false">IF(OR(9&gt;$B$27,ISBLANK(Actuals!K42)),"",Actuals!K42)</f>
        <v/>
      </c>
      <c r="AA66" s="113" t="n">
        <f aca="false">Budget!K42</f>
        <v>0</v>
      </c>
      <c r="AB66" s="113" t="str">
        <f aca="false">IF(Z66="","",Z66-AA66)</f>
        <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-495</v>
      </c>
      <c r="AM66" s="116" t="n">
        <f aca="false">SUM(Budget!$C42:INDEX(Budget!$C42:$N42,$B$27))</f>
        <v>0</v>
      </c>
      <c r="AN66" s="116" t="n">
        <f aca="false">AL66-AM66</f>
        <v>-495</v>
      </c>
    </row>
    <row r="67" customFormat="false" ht="15" hidden="fals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str">
        <f aca="false">IF(OR(9&gt;$B$27,ISBLANK(Actuals!K43)),"",Actuals!K43)</f>
        <v/>
      </c>
      <c r="AA67" s="113" t="n">
        <f aca="false">Budget!K43</f>
        <v>0</v>
      </c>
      <c r="AB67" s="113" t="str">
        <f aca="false">IF(Z67="","",Z67-AA67)</f>
        <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fals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str">
        <f aca="false">IF(OR(9&gt;$B$27,ISBLANK(Actuals!K44)),"",Actuals!K44)</f>
        <v/>
      </c>
      <c r="AA68" s="113" t="n">
        <f aca="false">Budget!K44</f>
        <v>0</v>
      </c>
      <c r="AB68" s="113" t="str">
        <f aca="false">IF(Z68="","",Z68-AA68)</f>
        <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-5100</v>
      </c>
      <c r="AM68" s="116" t="n">
        <f aca="false">SUM(Budget!$C44:INDEX(Budget!$C44:$N44,$B$27))</f>
        <v>0</v>
      </c>
      <c r="AN68" s="116" t="n">
        <f aca="false">AL68-AM68</f>
        <v>-5100</v>
      </c>
    </row>
    <row r="69" customFormat="false" ht="15" hidden="fals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str">
        <f aca="false">IF(OR(9&gt;$B$27,ISBLANK(Actuals!K45)),"",Actuals!K45)</f>
        <v/>
      </c>
      <c r="AA69" s="113" t="n">
        <f aca="false">Budget!K45</f>
        <v>-4250</v>
      </c>
      <c r="AB69" s="113" t="str">
        <f aca="false">IF(Z69="","",Z69-AA69)</f>
        <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-142176.05</v>
      </c>
      <c r="AM69" s="116" t="n">
        <f aca="false">SUM(Budget!$C45:INDEX(Budget!$C45:$N45,$B$27))</f>
        <v>-33500.02</v>
      </c>
      <c r="AN69" s="116" t="n">
        <f aca="false">AL69-AM69</f>
        <v>-108676.03</v>
      </c>
      <c r="AP69" s="114" t="s">
        <v>427</v>
      </c>
    </row>
    <row r="70" customFormat="false" ht="15" hidden="fals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str">
        <f aca="false">IF(OR(9&gt;$B$27,ISBLANK(Actuals!K46)),"",Actuals!K46)</f>
        <v/>
      </c>
      <c r="AA70" s="113" t="n">
        <f aca="false">Budget!K46</f>
        <v>-1020</v>
      </c>
      <c r="AB70" s="113" t="str">
        <f aca="false">IF(Z70="","",Z70-AA70)</f>
        <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-12749.75</v>
      </c>
      <c r="AM70" s="116" t="n">
        <f aca="false">SUM(Budget!$C46:INDEX(Budget!$C46:$N46,$B$27))</f>
        <v>-8040</v>
      </c>
      <c r="AN70" s="116" t="n">
        <f aca="false">AL70-AM70</f>
        <v>-4709.75</v>
      </c>
    </row>
    <row r="71" customFormat="false" ht="15" hidden="fals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str">
        <f aca="false">IF(OR(9&gt;$B$27,ISBLANK(Actuals!K47)),"",Actuals!K47)</f>
        <v/>
      </c>
      <c r="AA71" s="113" t="n">
        <f aca="false">Budget!K47</f>
        <v>0</v>
      </c>
      <c r="AB71" s="113" t="str">
        <f aca="false">IF(Z71="","",Z71-AA71)</f>
        <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-1280</v>
      </c>
      <c r="AM71" s="116" t="n">
        <f aca="false">SUM(Budget!$C47:INDEX(Budget!$C47:$N47,$B$27))</f>
        <v>0</v>
      </c>
      <c r="AN71" s="116" t="n">
        <f aca="false">AL71-AM71</f>
        <v>-1280</v>
      </c>
    </row>
    <row r="72" customFormat="false" ht="15" hidden="fals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str">
        <f aca="false">IF(OR(9&gt;$B$27,ISBLANK(Actuals!K48)),"",Actuals!K48)</f>
        <v/>
      </c>
      <c r="AA72" s="113" t="n">
        <f aca="false">Budget!K48</f>
        <v>-4250</v>
      </c>
      <c r="AB72" s="113" t="str">
        <f aca="false">IF(Z72="","",Z72-AA72)</f>
        <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-33500.02</v>
      </c>
      <c r="AN72" s="116" t="n">
        <f aca="false">AL72-AM72</f>
        <v>-68638.49</v>
      </c>
      <c r="AP72" s="114" t="s">
        <v>428</v>
      </c>
    </row>
    <row r="73" customFormat="false" ht="15" hidden="fals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str">
        <f aca="false">IF(OR(9&gt;$B$27,ISBLANK(Actuals!K49)),"",Actuals!K49)</f>
        <v/>
      </c>
      <c r="AA73" s="113" t="n">
        <f aca="false">Budget!K49</f>
        <v>0</v>
      </c>
      <c r="AB73" s="113" t="str">
        <f aca="false">IF(Z73="","",Z73-AA73)</f>
        <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-10464.33</v>
      </c>
      <c r="AM73" s="116" t="n">
        <f aca="false">SUM(Budget!$C49:INDEX(Budget!$C49:$N49,$B$27))</f>
        <v>0</v>
      </c>
      <c r="AN73" s="116" t="n">
        <f aca="false">AL73-AM73</f>
        <v>-10464.33</v>
      </c>
      <c r="AP73" s="114" t="s">
        <v>429</v>
      </c>
    </row>
    <row r="74" customFormat="false" ht="15" hidden="fals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str">
        <f aca="false">IF(OR(9&gt;$B$27,ISBLANK(Actuals!K50)),"",Actuals!K50)</f>
        <v/>
      </c>
      <c r="AA74" s="113" t="n">
        <f aca="false">Budget!K50</f>
        <v>-170</v>
      </c>
      <c r="AB74" s="113" t="str">
        <f aca="false">IF(Z74="","",Z74-AA74)</f>
        <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-135</v>
      </c>
      <c r="AM74" s="116" t="n">
        <f aca="false">SUM(Budget!$C50:INDEX(Budget!$C50:$N50,$B$27))</f>
        <v>-1340.02</v>
      </c>
      <c r="AN74" s="116" t="n">
        <f aca="false">AL74-AM74</f>
        <v>1205.02</v>
      </c>
    </row>
    <row r="75" customFormat="false" ht="15" hidden="fals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str">
        <f aca="false">IF(OR(9&gt;$B$27,ISBLANK(Actuals!K51)),"",Actuals!K51)</f>
        <v/>
      </c>
      <c r="AA75" s="113" t="n">
        <f aca="false">Budget!K51</f>
        <v>0</v>
      </c>
      <c r="AB75" s="113" t="str">
        <f aca="false">IF(Z75="","",Z75-AA75)</f>
        <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fals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fals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str">
        <f aca="false">IF(OR(9&gt;$B$27,ISBLANK(Actuals!K53)),"",Actuals!K53)</f>
        <v/>
      </c>
      <c r="AA77" s="113" t="n">
        <f aca="false">Budget!K53</f>
        <v>-425</v>
      </c>
      <c r="AB77" s="113" t="str">
        <f aca="false">IF(Z77="","",Z77-AA77)</f>
        <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-3350.02</v>
      </c>
      <c r="AN77" s="116" t="n">
        <f aca="false">AL77-AM77</f>
        <v>-7755.33</v>
      </c>
      <c r="AP77" s="114" t="s">
        <v>430</v>
      </c>
    </row>
    <row r="78" customFormat="false" ht="15" hidden="false" customHeight="true" outlineLevel="1" collapsed="false">
      <c r="A78" s="109" t="s">
        <v>355</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str">
        <f aca="false">IF(OR(9&gt;$B$27,ISBLANK(Actuals!K54)),"",Actuals!K54)</f>
        <v/>
      </c>
      <c r="AA78" s="113" t="n">
        <f aca="false">Budget!K54</f>
        <v>0</v>
      </c>
      <c r="AB78" s="113" t="str">
        <f aca="false">IF(Z78="","",Z78-AA78)</f>
        <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-3832.5</v>
      </c>
      <c r="AM78" s="116" t="n">
        <f aca="false">SUM(Budget!$C54:INDEX(Budget!$C54:$N54,$B$27))</f>
        <v>0</v>
      </c>
      <c r="AN78" s="116" t="n">
        <f aca="false">AL78-AM78</f>
        <v>-3832.5</v>
      </c>
    </row>
    <row r="79" customFormat="false" ht="15" hidden="false" customHeight="true" outlineLevel="0" collapsed="fals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str">
        <f aca="false">IF(OR(9&gt;$B$27,ISBLANK(Actuals!K55)),"",Actuals!K55)</f>
        <v/>
      </c>
      <c r="AA79" s="116" t="n">
        <f aca="false">Budget!K55</f>
        <v>-322314.95</v>
      </c>
      <c r="AB79" s="116" t="str">
        <f aca="false">IF(Z79="","",Z79-AA79)</f>
        <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-2414322.82</v>
      </c>
      <c r="AM79" s="116" t="n">
        <f aca="false">SUM(Budget!$C55:INDEX(Budget!$C55:$N55,$B$27))</f>
        <v>-2574621.7</v>
      </c>
      <c r="AN79" s="116" t="n">
        <f aca="false">AL79-AM79</f>
        <v>160298.88</v>
      </c>
      <c r="AP79" s="114" t="s">
        <v>431</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str">
        <f aca="false">IF(OR(9&gt;$B$27,ISBLANK(Actuals!K57)),"",Actuals!K57)</f>
        <v/>
      </c>
      <c r="AA81" s="117" t="n">
        <f aca="false">Budget!K57</f>
        <v>250508.5</v>
      </c>
      <c r="AB81" s="117" t="str">
        <f aca="false">IF(Z81="","",Z81-AA81)</f>
        <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2229248.77</v>
      </c>
      <c r="AM81" s="117" t="n">
        <f aca="false">SUM(Budget!$C57:INDEX(Budget!$C57:$N57,$B$27))</f>
        <v>995981.78</v>
      </c>
      <c r="AN81" s="117" t="n">
        <f aca="false">AL81-AM81</f>
        <v>1233266.99</v>
      </c>
      <c r="AP81" s="114" t="s">
        <v>432</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str">
        <f aca="false">IF(OR(9&gt;$B$27,ISBLANK(Actuals!K58)),"",Actuals!K58)</f>
        <v/>
      </c>
      <c r="AA82" s="113" t="n">
        <f aca="false">Budget!K58</f>
        <v>0.04</v>
      </c>
      <c r="AB82" s="113" t="str">
        <f aca="false">IF(Z82="","",Z82-AA82)</f>
        <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0.351890500117112</v>
      </c>
      <c r="AM82" s="116" t="n">
        <f aca="false">SUM(Budget!$C58:INDEX(Budget!$C58:$N58,$B$27))</f>
        <v>0.19</v>
      </c>
      <c r="AN82" s="116" t="n">
        <f aca="false">AL82-AM82</f>
        <v>0.161890500117112</v>
      </c>
    </row>
    <row r="86" customFormat="false" ht="15" hidden="false" customHeight="true" outlineLevel="0" collapsed="false">
      <c r="A86" s="112" t="s">
        <v>433</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str">
        <f aca="false">IF(OR(9&gt;$B$27,ISBLANK(Actuals!K63)),"",Actuals!K63)</f>
        <v/>
      </c>
      <c r="AA87" s="113" t="n">
        <f aca="false">Budget!K63</f>
        <v>0</v>
      </c>
      <c r="AB87" s="113" t="str">
        <f aca="false">IF(Z87="","",Z87-AA87)</f>
        <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434</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str">
        <f aca="false">IF(OR(9&gt;$B$27,ISBLANK(Actuals!K64)),"",Actuals!K64)</f>
        <v/>
      </c>
      <c r="AA88" s="113" t="n">
        <f aca="false">Budget!K64</f>
        <v>833.33</v>
      </c>
      <c r="AB88" s="113" t="str">
        <f aca="false">IF(Z88="","",Z88-AA88)</f>
        <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6666.64</v>
      </c>
      <c r="AM88" s="116" t="n">
        <f aca="false">SUM(Budget!$C64:INDEX(Budget!$C64:$N64,$B$27))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str">
        <f aca="false">IF(OR(9&gt;$B$27,ISBLANK(Actuals!K65)),"",Actuals!K65)</f>
        <v/>
      </c>
      <c r="AA89" s="113" t="n">
        <f aca="false">Budget!K65</f>
        <v>36538.46</v>
      </c>
      <c r="AB89" s="113" t="str">
        <f aca="false">IF(Z89="","",Z89-AA89)</f>
        <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191250</v>
      </c>
      <c r="AM89" s="116" t="n">
        <f aca="false">SUM(Budget!$C65:INDEX(Budget!$C65:$N65,$B$27))</f>
        <v>292307.68</v>
      </c>
      <c r="AN89" s="116" t="n">
        <f aca="false">AL89-AM89</f>
        <v>-101057.68</v>
      </c>
      <c r="AP89" s="114" t="s">
        <v>435</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str">
        <f aca="false">IF(OR(9&gt;$B$27,ISBLANK(Actuals!K69)),"",Actuals!K69)</f>
        <v/>
      </c>
      <c r="AA93" s="113" t="n">
        <f aca="false">Budget!K69</f>
        <v>10227.27</v>
      </c>
      <c r="AB93" s="113" t="str">
        <f aca="false">IF(Z93="","",Z93-AA93)</f>
        <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75000</v>
      </c>
      <c r="AM93" s="116" t="n">
        <f aca="false">SUM(Budget!$C69:INDEX(Budget!$C69:$N69,$B$27))</f>
        <v>81818.16</v>
      </c>
      <c r="AN93" s="116" t="n">
        <f aca="false">AL93-AM93</f>
        <v>-6818.16</v>
      </c>
      <c r="AP93" s="114" t="s">
        <v>436</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str">
        <f aca="false">IF(OR(9&gt;$B$27,ISBLANK(Actuals!K70)),"",Actuals!K70)</f>
        <v/>
      </c>
      <c r="AA94" s="113" t="n">
        <f aca="false">Budget!K70</f>
        <v>11875</v>
      </c>
      <c r="AB94" s="113" t="str">
        <f aca="false">IF(Z94="","",Z94-AA94)</f>
        <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63000</v>
      </c>
      <c r="AM94" s="116" t="n">
        <f aca="false">SUM(Budget!$C70:INDEX(Budget!$C70:$N70,$B$27))</f>
        <v>59375</v>
      </c>
      <c r="AN94" s="116" t="n">
        <f aca="false">AL94-AM94</f>
        <v>3625</v>
      </c>
      <c r="AP94" s="114" t="s">
        <v>437</v>
      </c>
    </row>
    <row r="95" customFormat="false" ht="15" hidden="true" customHeight="true" outlineLevel="1" collapsed="false">
      <c r="A95" s="109" t="s">
        <v>356</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357</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358</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359</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438</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360</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str">
        <f aca="false">IF(OR(9&gt;$B$27,ISBLANK(Actuals!K81)),"",Actuals!K81)</f>
        <v/>
      </c>
      <c r="AA105" s="116" t="n">
        <f aca="false">Budget!K81</f>
        <v>59474.06</v>
      </c>
      <c r="AB105" s="116" t="str">
        <f aca="false">IF(Z105="","",Z105-AA105)</f>
        <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762430.64</v>
      </c>
      <c r="AM105" s="116" t="n">
        <f aca="false">SUM(Budget!$C81:INDEX(Budget!$C81:$N81,$B$27))</f>
        <v>440167.48</v>
      </c>
      <c r="AN105" s="116" t="n">
        <f aca="false">AL105-AM105</f>
        <v>322263.16</v>
      </c>
      <c r="AP105" s="114" t="s">
        <v>439</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str">
        <f aca="false">IF(OR(9&gt;$B$27,ISBLANK(Actuals!K83)),"",Actuals!K83)</f>
        <v/>
      </c>
      <c r="AA107" s="113" t="n">
        <f aca="false">Budget!K83</f>
        <v>-89059.65</v>
      </c>
      <c r="AB107" s="113" t="str">
        <f aca="false">IF(Z107="","",Z107-AA107)</f>
        <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-433587.76</v>
      </c>
      <c r="AM107" s="116" t="n">
        <f aca="false">SUM(Budget!$C83:INDEX(Budget!$C83:$N83,$B$27))</f>
        <v>-719519.22</v>
      </c>
      <c r="AN107" s="116" t="n">
        <f aca="false">AL107-AM107</f>
        <v>285931.46</v>
      </c>
      <c r="AP107" s="114" t="s">
        <v>440</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str">
        <f aca="false">IF(OR(9&gt;$B$27,ISBLANK(Actuals!K84)),"",Actuals!K84)</f>
        <v/>
      </c>
      <c r="AA108" s="113" t="n">
        <f aca="false">Budget!K84</f>
        <v>-8125</v>
      </c>
      <c r="AB108" s="113" t="str">
        <f aca="false">IF(Z108="","",Z108-AA108)</f>
        <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-34457.6</v>
      </c>
      <c r="AM108" s="116" t="n">
        <f aca="false">SUM(Budget!$C84:INDEX(Budget!$C84:$N84,$B$27))</f>
        <v>-65000</v>
      </c>
      <c r="AN108" s="116" t="n">
        <f aca="false">AL108-AM108</f>
        <v>30542.4</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str">
        <f aca="false">IF(OR(9&gt;$B$27,ISBLANK(Actuals!K85)),"",Actuals!K85)</f>
        <v/>
      </c>
      <c r="AA109" s="113" t="n">
        <f aca="false">Budget!K85</f>
        <v>-6554.17</v>
      </c>
      <c r="AB109" s="113" t="str">
        <f aca="false">IF(Z109="","",Z109-AA109)</f>
        <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-97102.23</v>
      </c>
      <c r="AM109" s="116" t="n">
        <f aca="false">SUM(Budget!$C85:INDEX(Budget!$C85:$N85,$B$27))</f>
        <v>-52433.36</v>
      </c>
      <c r="AN109" s="116" t="n">
        <f aca="false">AL109-AM109</f>
        <v>-44668.87</v>
      </c>
      <c r="AP109" s="114" t="s">
        <v>441</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str">
        <f aca="false">IF(OR(9&gt;$B$27,ISBLANK(Actuals!K86)),"",Actuals!K86)</f>
        <v/>
      </c>
      <c r="AA110" s="113" t="n">
        <f aca="false">Budget!K86</f>
        <v>-487.5</v>
      </c>
      <c r="AB110" s="113" t="str">
        <f aca="false">IF(Z110="","",Z110-AA110)</f>
        <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-3806.08</v>
      </c>
      <c r="AM110" s="116" t="n">
        <f aca="false">SUM(Budget!$C86:INDEX(Budget!$C86:$N86,$B$27))</f>
        <v>-3900</v>
      </c>
      <c r="AN110" s="116" t="n">
        <f aca="false">AL110-AM110</f>
        <v>93.9200000000001</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str">
        <f aca="false">IF(OR(9&gt;$B$27,ISBLANK(Actuals!K87)),"",Actuals!K87)</f>
        <v/>
      </c>
      <c r="AA111" s="113" t="n">
        <f aca="false">Budget!K87</f>
        <v>-270.83</v>
      </c>
      <c r="AB111" s="113" t="str">
        <f aca="false">IF(Z111="","",Z111-AA111)</f>
        <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-17600.96</v>
      </c>
      <c r="AM111" s="116" t="n">
        <f aca="false">SUM(Budget!$C87:INDEX(Budget!$C87:$N87,$B$27))</f>
        <v>-2166.64</v>
      </c>
      <c r="AN111" s="116" t="n">
        <f aca="false">AL111-AM111</f>
        <v>-15434.32</v>
      </c>
      <c r="AP111" s="114" t="s">
        <v>442</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str">
        <f aca="false">IF(OR(9&gt;$B$27,ISBLANK(Actuals!K88)),"",Actuals!K88)</f>
        <v/>
      </c>
      <c r="AA112" s="113" t="n">
        <f aca="false">Budget!K88</f>
        <v>-8160</v>
      </c>
      <c r="AB112" s="113" t="str">
        <f aca="false">IF(Z112="","",Z112-AA112)</f>
        <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-65387.08</v>
      </c>
      <c r="AM112" s="116" t="n">
        <f aca="false">SUM(Budget!$C88:INDEX(Budget!$C88:$N88,$B$27))</f>
        <v>-64320</v>
      </c>
      <c r="AN112" s="116" t="n">
        <f aca="false">AL112-AM112</f>
        <v>-1067.08</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str">
        <f aca="false">IF(OR(9&gt;$B$27,ISBLANK(Actuals!K89)),"",Actuals!K89)</f>
        <v/>
      </c>
      <c r="AA113" s="113" t="n">
        <f aca="false">Budget!K89</f>
        <v>-187</v>
      </c>
      <c r="AB113" s="113" t="str">
        <f aca="false">IF(Z113="","",Z113-AA113)</f>
        <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-2757.68</v>
      </c>
      <c r="AM113" s="116" t="n">
        <f aca="false">SUM(Budget!$C89:INDEX(Budget!$C89:$N89,$B$27))</f>
        <v>-1473.98</v>
      </c>
      <c r="AN113" s="116" t="n">
        <f aca="false">AL113-AM113</f>
        <v>-1283.7</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str">
        <f aca="false">IF(OR(9&gt;$B$27,ISBLANK(Actuals!K90)),"",Actuals!K90)</f>
        <v/>
      </c>
      <c r="AA114" s="113" t="n">
        <f aca="false">Budget!K90</f>
        <v>-3060</v>
      </c>
      <c r="AB114" s="113" t="str">
        <f aca="false">IF(Z114="","",Z114-AA114)</f>
        <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-21601.24</v>
      </c>
      <c r="AM114" s="116" t="n">
        <f aca="false">SUM(Budget!$C90:INDEX(Budget!$C90:$N90,$B$27))</f>
        <v>-24120</v>
      </c>
      <c r="AN114" s="116" t="n">
        <f aca="false">AL114-AM114</f>
        <v>2518.76</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str">
        <f aca="false">IF(OR(9&gt;$B$27,ISBLANK(Actuals!K91)),"",Actuals!K91)</f>
        <v/>
      </c>
      <c r="AA115" s="113" t="n">
        <f aca="false">Budget!K91</f>
        <v>0</v>
      </c>
      <c r="AB115" s="113" t="str">
        <f aca="false">IF(Z115="","",Z115-AA115)</f>
        <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str">
        <f aca="false">IF(OR(9&gt;$B$27,ISBLANK(Actuals!K92)),"",Actuals!K92)</f>
        <v/>
      </c>
      <c r="AA116" s="113" t="n">
        <f aca="false">Budget!K92</f>
        <v>0</v>
      </c>
      <c r="AB116" s="113" t="str">
        <f aca="false">IF(Z116="","",Z116-AA116)</f>
        <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-1715</v>
      </c>
      <c r="AM116" s="116" t="n">
        <f aca="false">SUM(Budget!$C92:INDEX(Budget!$C92:$N92,$B$27))</f>
        <v>0</v>
      </c>
      <c r="AN116" s="116" t="n">
        <f aca="false">AL116-AM116</f>
        <v>-1715</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str">
        <f aca="false">IF(OR(9&gt;$B$27,ISBLANK(Actuals!K93)),"",Actuals!K93)</f>
        <v/>
      </c>
      <c r="AA117" s="113" t="n">
        <f aca="false">Budget!K93</f>
        <v>-3060</v>
      </c>
      <c r="AB117" s="113" t="str">
        <f aca="false">IF(Z117="","",Z117-AA117)</f>
        <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-11230.51</v>
      </c>
      <c r="AM117" s="116" t="n">
        <f aca="false">SUM(Budget!$C93:INDEX(Budget!$C93:$N93,$B$27))</f>
        <v>-24120</v>
      </c>
      <c r="AN117" s="116" t="n">
        <f aca="false">AL117-AM117</f>
        <v>12889.49</v>
      </c>
      <c r="AP117" s="114" t="s">
        <v>443</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str">
        <f aca="false">IF(OR(9&gt;$B$27,ISBLANK(Actuals!K94)),"",Actuals!K94)</f>
        <v/>
      </c>
      <c r="AA118" s="113" t="n">
        <f aca="false">Budget!K94</f>
        <v>-850</v>
      </c>
      <c r="AB118" s="113" t="str">
        <f aca="false">IF(Z118="","",Z118-AA118)</f>
        <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-2693.27</v>
      </c>
      <c r="AM118" s="116" t="n">
        <f aca="false">SUM(Budget!$C94:INDEX(Budget!$C94:$N94,$B$27))</f>
        <v>-6699.98</v>
      </c>
      <c r="AN118" s="116" t="n">
        <f aca="false">AL118-AM118</f>
        <v>4006.71</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str">
        <f aca="false">IF(OR(9&gt;$B$27,ISBLANK(Actuals!K95)),"",Actuals!K95)</f>
        <v/>
      </c>
      <c r="AA119" s="113" t="n">
        <f aca="false">Budget!K95</f>
        <v>0</v>
      </c>
      <c r="AB119" s="113" t="str">
        <f aca="false">IF(Z119="","",Z119-AA119)</f>
        <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-1162.56</v>
      </c>
      <c r="AM119" s="116" t="n">
        <f aca="false">SUM(Budget!$C95:INDEX(Budget!$C95:$N95,$B$27))</f>
        <v>0</v>
      </c>
      <c r="AN119" s="116" t="n">
        <f aca="false">AL119-AM119</f>
        <v>-1162.56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str">
        <f aca="false">IF(OR(9&gt;$B$27,ISBLANK(Actuals!K96)),"",Actuals!K96)</f>
        <v/>
      </c>
      <c r="AA120" s="113" t="n">
        <f aca="false">Budget!K96</f>
        <v>-3060</v>
      </c>
      <c r="AB120" s="113" t="str">
        <f aca="false">IF(Z120="","",Z120-AA120)</f>
        <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-7679.88</v>
      </c>
      <c r="AM120" s="116" t="n">
        <f aca="false">SUM(Budget!$C96:INDEX(Budget!$C96:$N96,$B$27))</f>
        <v>-24120</v>
      </c>
      <c r="AN120" s="116" t="n">
        <f aca="false">AL120-AM120</f>
        <v>16440.12</v>
      </c>
      <c r="AP120" s="114" t="s">
        <v>444</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str">
        <f aca="false">IF(OR(9&gt;$B$27,ISBLANK(Actuals!K97)),"",Actuals!K97)</f>
        <v/>
      </c>
      <c r="AA121" s="113" t="n">
        <f aca="false">Budget!K97</f>
        <v>-510</v>
      </c>
      <c r="AB121" s="113" t="str">
        <f aca="false">IF(Z121="","",Z121-AA121)</f>
        <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-4020</v>
      </c>
      <c r="AN121" s="116" t="n">
        <f aca="false">AL121-AM121</f>
        <v>-39847</v>
      </c>
      <c r="AP121" s="114" t="s">
        <v>445</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str">
        <f aca="false">IF(OR(9&gt;$B$27,ISBLANK(Actuals!K98)),"",Actuals!K98)</f>
        <v/>
      </c>
      <c r="AA122" s="113" t="n">
        <f aca="false">Budget!K98</f>
        <v>-5610</v>
      </c>
      <c r="AB122" s="113" t="str">
        <f aca="false">IF(Z122="","",Z122-AA122)</f>
        <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-22427.18</v>
      </c>
      <c r="AM122" s="116" t="n">
        <f aca="false">SUM(Budget!$C98:INDEX(Budget!$C98:$N98,$B$27))</f>
        <v>-44220</v>
      </c>
      <c r="AN122" s="116" t="n">
        <f aca="false">AL122-AM122</f>
        <v>21792.82</v>
      </c>
      <c r="AP122" s="114" t="s">
        <v>446</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str">
        <f aca="false">IF(OR(9&gt;$B$27,ISBLANK(Actuals!K99)),"",Actuals!K99)</f>
        <v/>
      </c>
      <c r="AA123" s="113" t="n">
        <f aca="false">Budget!K99</f>
        <v>-2125</v>
      </c>
      <c r="AB123" s="113" t="str">
        <f aca="false">IF(Z123="","",Z123-AA123)</f>
        <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-267718.5</v>
      </c>
      <c r="AM123" s="116" t="n">
        <f aca="false">SUM(Budget!$C99:INDEX(Budget!$C99:$N99,$B$27))</f>
        <v>-16749.98</v>
      </c>
      <c r="AN123" s="116" t="n">
        <f aca="false">AL123-AM123</f>
        <v>-250968.52</v>
      </c>
      <c r="AP123" s="114" t="s">
        <v>447</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str">
        <f aca="false">IF(OR(9&gt;$B$27,ISBLANK(Actuals!K100)),"",Actuals!K100)</f>
        <v/>
      </c>
      <c r="AA124" s="113" t="n">
        <f aca="false">Budget!K100</f>
        <v>-510</v>
      </c>
      <c r="AB124" s="113" t="str">
        <f aca="false">IF(Z124="","",Z124-AA124)</f>
        <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-16222.09</v>
      </c>
      <c r="AM124" s="116" t="n">
        <f aca="false">SUM(Budget!$C100:INDEX(Budget!$C100:$N100,$B$27))</f>
        <v>-4020</v>
      </c>
      <c r="AN124" s="116" t="n">
        <f aca="false">AL124-AM124</f>
        <v>-12202.09</v>
      </c>
      <c r="AP124" s="114" t="s">
        <v>448</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str">
        <f aca="false">IF(OR(9&gt;$B$27,ISBLANK(Actuals!K101)),"",Actuals!K101)</f>
        <v/>
      </c>
      <c r="AA125" s="113" t="n">
        <f aca="false">Budget!K101</f>
        <v>-2040</v>
      </c>
      <c r="AB125" s="113" t="str">
        <f aca="false">IF(Z125="","",Z125-AA125)</f>
        <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-24332.68</v>
      </c>
      <c r="AM125" s="116" t="n">
        <f aca="false">SUM(Budget!$C101:INDEX(Budget!$C101:$N101,$B$27))</f>
        <v>-16080</v>
      </c>
      <c r="AN125" s="116" t="n">
        <f aca="false">AL125-AM125</f>
        <v>-8252.68</v>
      </c>
      <c r="AP125" s="114" t="s">
        <v>449</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str">
        <f aca="false">IF(OR(9&gt;$B$27,ISBLANK(Actuals!K102)),"",Actuals!K102)</f>
        <v/>
      </c>
      <c r="AA126" s="113" t="n">
        <f aca="false">Budget!K102</f>
        <v>-1572.5</v>
      </c>
      <c r="AB126" s="113" t="str">
        <f aca="false">IF(Z126="","",Z126-AA126)</f>
        <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-15242.48</v>
      </c>
      <c r="AM126" s="116" t="n">
        <f aca="false">SUM(Budget!$C102:INDEX(Budget!$C102:$N102,$B$27))</f>
        <v>-12395.02</v>
      </c>
      <c r="AN126" s="116" t="n">
        <f aca="false">AL126-AM126</f>
        <v>-2847.46</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str">
        <f aca="false">IF(OR(9&gt;$B$27,ISBLANK(Actuals!K103)),"",Actuals!K103)</f>
        <v/>
      </c>
      <c r="AA127" s="113" t="n">
        <f aca="false">Budget!K103</f>
        <v>-2142</v>
      </c>
      <c r="AB127" s="113" t="str">
        <f aca="false">IF(Z127="","",Z127-AA127)</f>
        <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-16800</v>
      </c>
      <c r="AM127" s="116" t="n">
        <f aca="false">SUM(Budget!$C103:INDEX(Budget!$C103:$N103,$B$27))</f>
        <v>-16884</v>
      </c>
      <c r="AN127" s="116" t="n">
        <f aca="false">AL127-AM127</f>
        <v>84</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str">
        <f aca="false">IF(OR(9&gt;$B$27,ISBLANK(Actuals!K104)),"",Actuals!K104)</f>
        <v/>
      </c>
      <c r="AA128" s="113" t="n">
        <f aca="false">Budget!K104</f>
        <v>0</v>
      </c>
      <c r="AB128" s="113" t="str">
        <f aca="false">IF(Z128="","",Z128-AA128)</f>
        <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-533333.28</v>
      </c>
      <c r="AM128" s="116" t="n">
        <f aca="false">SUM(Budget!$C104:INDEX(Budget!$C104:$N104,$B$27))</f>
        <v>0</v>
      </c>
      <c r="AN128" s="116" t="n">
        <f aca="false">AL128-AM128</f>
        <v>-533333.28</v>
      </c>
      <c r="AP128" s="114" t="s">
        <v>450</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str">
        <f aca="false">IF(OR(9&gt;$B$27,ISBLANK(Actuals!K105)),"",Actuals!K105)</f>
        <v/>
      </c>
      <c r="AA129" s="113" t="n">
        <f aca="false">Budget!K105</f>
        <v>0</v>
      </c>
      <c r="AB129" s="113" t="str">
        <f aca="false">IF(Z129="","",Z129-AA129)</f>
        <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-26782.56</v>
      </c>
      <c r="AM129" s="116" t="n">
        <f aca="false">SUM(Budget!$C105:INDEX(Budget!$C105:$N105,$B$27))</f>
        <v>0</v>
      </c>
      <c r="AN129" s="116" t="n">
        <f aca="false">AL129-AM129</f>
        <v>-26782.56</v>
      </c>
      <c r="AP129" s="114" t="s">
        <v>451</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str">
        <f aca="false">IF(OR(9&gt;$B$27,ISBLANK(Actuals!K106)),"",Actuals!K106)</f>
        <v/>
      </c>
      <c r="AA130" s="113" t="n">
        <f aca="false">Budget!K106</f>
        <v>-510</v>
      </c>
      <c r="AB130" s="113" t="str">
        <f aca="false">IF(Z130="","",Z130-AA130)</f>
        <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-4536.36</v>
      </c>
      <c r="AM130" s="116" t="n">
        <f aca="false">SUM(Budget!$C106:INDEX(Budget!$C106:$N106,$B$27))</f>
        <v>-4020</v>
      </c>
      <c r="AN130" s="116" t="n">
        <f aca="false">AL130-AM130</f>
        <v>-516.360000000001</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str">
        <f aca="false">IF(OR(9&gt;$B$27,ISBLANK(Actuals!K112)),"",Actuals!K112)</f>
        <v/>
      </c>
      <c r="AA136" s="116" t="n">
        <f aca="false">Budget!K112</f>
        <v>-137893.65</v>
      </c>
      <c r="AB136" s="116" t="str">
        <f aca="false">IF(Z136="","",Z136-AA136)</f>
        <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-1672913.98</v>
      </c>
      <c r="AM136" s="116" t="n">
        <f aca="false">SUM(Budget!$C112:INDEX(Budget!$C112:$N112,$B$27))</f>
        <v>-1106262.18</v>
      </c>
      <c r="AN136" s="116" t="n">
        <f aca="false">AL136-AM136</f>
        <v>-566651.8</v>
      </c>
      <c r="AP136" s="114" t="s">
        <v>452</v>
      </c>
    </row>
    <row r="137" customFormat="false" ht="15" hidden="false" customHeight="true" outlineLevel="0" collapsed="false">
      <c r="A137" s="109" t="s">
        <v>361</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str">
        <f aca="false">IF(OR(9&gt;$B$27,ISBLANK(Actuals!K113)),"",Actuals!K113)</f>
        <v/>
      </c>
      <c r="AA137" s="113" t="n">
        <f aca="false">Budget!K113</f>
        <v>0</v>
      </c>
      <c r="AB137" s="113" t="str">
        <f aca="false">IF(Z137="","",Z137-AA137)</f>
        <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51771.92</v>
      </c>
      <c r="AM137" s="116" t="n">
        <f aca="false">SUM(Budget!$C113:INDEX(Budget!$C113:$N113,$B$27))</f>
        <v>0</v>
      </c>
      <c r="AN137" s="116" t="n">
        <f aca="false">AL137-AM137</f>
        <v>51771.92</v>
      </c>
      <c r="AP137" s="114" t="s">
        <v>453</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str">
        <f aca="false">IF(OR(9&gt;$B$27,ISBLANK(Actuals!K114)),"",Actuals!K114)</f>
        <v/>
      </c>
      <c r="AA138" s="117" t="n">
        <f aca="false">Budget!K114</f>
        <v>-78419.59</v>
      </c>
      <c r="AB138" s="117" t="str">
        <f aca="false">IF(Z138="","",Z138-AA138)</f>
        <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-858711.42</v>
      </c>
      <c r="AM138" s="117" t="n">
        <f aca="false">SUM(Budget!$C114:INDEX(Budget!$C114:$N114,$B$27))</f>
        <v>-666094.7</v>
      </c>
      <c r="AN138" s="117" t="n">
        <f aca="false">AL138-AM138</f>
        <v>-192616.72</v>
      </c>
      <c r="AP138" s="114" t="s">
        <v>454</v>
      </c>
    </row>
    <row r="140" customFormat="false" ht="15" hidden="false" customHeight="true" outlineLevel="0" collapsed="false">
      <c r="A140" s="112" t="s">
        <v>455</v>
      </c>
    </row>
    <row r="141" customFormat="false" ht="15" hidden="false" customHeight="true" outlineLevel="0" collapsed="false">
      <c r="A141" s="109" t="s">
        <v>456</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str">
        <f aca="false">IF(Z81="","",Z81+Z138)</f>
        <v/>
      </c>
      <c r="AA141" s="116" t="n">
        <f aca="false">AA81+AA138</f>
        <v>172088.91</v>
      </c>
      <c r="AB141" s="116" t="str">
        <f aca="false">IF(Z141="","",Z141-AA141)</f>
        <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1370537.35</v>
      </c>
      <c r="AM141" s="116" t="n">
        <f aca="false">AM81+AM138</f>
        <v>329887.08</v>
      </c>
      <c r="AN141" s="116" t="n">
        <f aca="false">AL141-AM141</f>
        <v>1040650.27</v>
      </c>
      <c r="AP141" s="114" t="s">
        <v>457</v>
      </c>
    </row>
    <row r="142" customFormat="false" ht="15" hidden="false" customHeight="true" outlineLevel="0" collapsed="false">
      <c r="A142" s="121" t="s">
        <v>458</v>
      </c>
      <c r="B142" s="113" t="n">
        <f aca="false">IF(B141="","",Model!B308-B141)</f>
        <v>0</v>
      </c>
      <c r="C142" s="113" t="s">
        <v>459</v>
      </c>
      <c r="D142" s="113" t="n">
        <f aca="false">IF(B142="","",B142-C142)</f>
        <v>0</v>
      </c>
      <c r="E142" s="113" t="n">
        <f aca="false">IF(E141="","",Model!C308-E141)</f>
        <v>0</v>
      </c>
      <c r="F142" s="113" t="s">
        <v>459</v>
      </c>
      <c r="G142" s="113" t="n">
        <f aca="false">IF(E142="","",E142-F142)</f>
        <v>0</v>
      </c>
      <c r="H142" s="113" t="n">
        <f aca="false">IF(H141="","",Model!D308-H141)</f>
        <v>-2.3283064365387E-010</v>
      </c>
      <c r="I142" s="113" t="s">
        <v>459</v>
      </c>
      <c r="J142" s="113" t="n">
        <f aca="false">IF(H142="","",H142-I142)</f>
        <v>-2.3283064365387E-010</v>
      </c>
      <c r="K142" s="113" t="n">
        <f aca="false">IF(K141="","",Model!E308-K141)</f>
        <v>0</v>
      </c>
      <c r="L142" s="113" t="s">
        <v>459</v>
      </c>
      <c r="M142" s="113" t="n">
        <f aca="false">IF(K142="","",K142-L142)</f>
        <v>0</v>
      </c>
      <c r="N142" s="113" t="n">
        <f aca="false">IF(N141="","",Model!F308-N141)</f>
        <v>0</v>
      </c>
      <c r="O142" s="113" t="s">
        <v>459</v>
      </c>
      <c r="P142" s="113" t="n">
        <f aca="false">IF(N142="","",N142-O142)</f>
        <v>0</v>
      </c>
      <c r="Q142" s="113" t="n">
        <f aca="false">IF(Q141="","",Model!G308-Q141)</f>
        <v>-299000.000000001</v>
      </c>
      <c r="R142" s="113" t="s">
        <v>459</v>
      </c>
      <c r="S142" s="113" t="n">
        <f aca="false">IF(Q142="","",Q142-R142)</f>
        <v>-299000.000000001</v>
      </c>
      <c r="T142" s="113" t="n">
        <f aca="false">IF(T141="","",Model!H308-T141)</f>
        <v>0</v>
      </c>
      <c r="U142" s="113" t="s">
        <v>459</v>
      </c>
      <c r="V142" s="113" t="n">
        <f aca="false">IF(T142="","",T142-U142)</f>
        <v>0</v>
      </c>
      <c r="W142" s="113" t="n">
        <f aca="false">IF(W141="","",Model!I308-W141)</f>
        <v>-692876.895125</v>
      </c>
      <c r="X142" s="113" t="s">
        <v>459</v>
      </c>
      <c r="Y142" s="113" t="n">
        <f aca="false">IF(W142="","",W142-X142)</f>
        <v>-692876.895125</v>
      </c>
      <c r="Z142" s="113" t="str">
        <f aca="false">IF(Z141="","",Model!J308-Z141)</f>
        <v/>
      </c>
      <c r="AA142" s="113" t="s">
        <v>459</v>
      </c>
      <c r="AB142" s="113" t="str">
        <f aca="false">IF(Z142="","",Z142-AA142)</f>
        <v/>
      </c>
      <c r="AC142" s="113" t="str">
        <f aca="false">IF(AC141="","",Model!K308-AC141)</f>
        <v/>
      </c>
      <c r="AD142" s="113" t="s">
        <v>459</v>
      </c>
      <c r="AE142" s="113" t="str">
        <f aca="false">IF(AC142="","",AC142-AD142)</f>
        <v/>
      </c>
      <c r="AF142" s="113" t="str">
        <f aca="false">IF(AF141="","",Model!L308-AF141)</f>
        <v/>
      </c>
      <c r="AG142" s="113" t="s">
        <v>459</v>
      </c>
      <c r="AH142" s="113" t="str">
        <f aca="false">IF(AF142="","",AF142-AG142)</f>
        <v/>
      </c>
      <c r="AI142" s="113" t="str">
        <f aca="false">IF(AI141="","",Model!M308-AI141)</f>
        <v/>
      </c>
      <c r="AJ142" s="113" t="s">
        <v>459</v>
      </c>
      <c r="AK142" s="113" t="str">
        <f aca="false">IF(AI142="","",AI142-AJ142)</f>
        <v/>
      </c>
      <c r="AL142" s="116" t="n">
        <f aca="false">SUM(Model!$B308:INDEX(Model!$B308:$M308,$B$27))-AL141</f>
        <v>-991876.895125001</v>
      </c>
      <c r="AM142" s="116" t="s">
        <v>459</v>
      </c>
      <c r="AN142" s="116" t="n">
        <f aca="false">AL142-AM142</f>
        <v>-991876.895125001</v>
      </c>
      <c r="AP142" s="114" t="s">
        <v>460</v>
      </c>
    </row>
    <row r="143" customFormat="false" ht="15" hidden="false" customHeight="true" outlineLevel="0" collapsed="false">
      <c r="A143" s="115" t="s">
        <v>461</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204071.03</v>
      </c>
      <c r="R143" s="117" t="n">
        <f aca="false">R141</f>
        <v>139414.41</v>
      </c>
      <c r="S143" s="117" t="n">
        <f aca="false">IF(Q143="","",Q143-R143)</f>
        <v>64656.6199999999</v>
      </c>
      <c r="T143" s="117" t="n">
        <f aca="false">IF(T141="","",T141+T142)</f>
        <v>1326754.58</v>
      </c>
      <c r="U143" s="117" t="n">
        <f aca="false">U141</f>
        <v>153517.41</v>
      </c>
      <c r="V143" s="117" t="n">
        <f aca="false">IF(T143="","",T143-U143)</f>
        <v>1173237.17</v>
      </c>
      <c r="W143" s="117" t="n">
        <f aca="false">IF(W141="","",W141+W142)</f>
        <v>-521091.365125</v>
      </c>
      <c r="X143" s="117" t="n">
        <f aca="false">X141</f>
        <v>164629.55</v>
      </c>
      <c r="Y143" s="117" t="n">
        <f aca="false">IF(W143="","",W143-X143)</f>
        <v>-685720.915125</v>
      </c>
      <c r="Z143" s="117" t="str">
        <f aca="false">IF(Z141="","",Z141+Z142)</f>
        <v/>
      </c>
      <c r="AA143" s="117" t="n">
        <f aca="false">AA141</f>
        <v>172088.91</v>
      </c>
      <c r="AB143" s="117" t="str">
        <f aca="false">IF(Z143="","",Z143-AA143)</f>
        <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378660.454875001</v>
      </c>
      <c r="AM143" s="117" t="n">
        <f aca="false">AM141</f>
        <v>329887.08</v>
      </c>
      <c r="AN143" s="117" t="n">
        <f aca="false">AL143-AM143</f>
        <v>48773.3748750011</v>
      </c>
      <c r="AP143" s="114" t="s">
        <v>462</v>
      </c>
    </row>
    <row r="146" customFormat="false" ht="13.5" hidden="false" customHeight="true" outlineLevel="0" collapsed="false">
      <c r="A146" s="94" t="s">
        <v>463</v>
      </c>
    </row>
    <row r="147" customFormat="false" ht="13.5" hidden="false" customHeight="true" outlineLevel="0" collapsed="false">
      <c r="A147" s="72" t="s">
        <v>464</v>
      </c>
    </row>
    <row r="148" customFormat="false" ht="30" hidden="false" customHeight="true" outlineLevel="0" collapsed="false">
      <c r="A148" s="122" t="s">
        <v>465</v>
      </c>
      <c r="B148" s="122" t="s">
        <v>466</v>
      </c>
      <c r="C148" s="122" t="s">
        <v>467</v>
      </c>
      <c r="D148" s="122" t="s">
        <v>369</v>
      </c>
      <c r="E148" s="122" t="s">
        <v>468</v>
      </c>
      <c r="F148" s="122" t="s">
        <v>469</v>
      </c>
      <c r="G148" s="122" t="s">
        <v>369</v>
      </c>
      <c r="H148" s="122" t="s">
        <v>470</v>
      </c>
      <c r="I148" s="122" t="s">
        <v>471</v>
      </c>
      <c r="J148" s="122" t="s">
        <v>472</v>
      </c>
      <c r="K148" s="122" t="s">
        <v>473</v>
      </c>
    </row>
    <row r="149" customFormat="false" ht="13.5" hidden="false" customHeight="true" outlineLevel="0" collapsed="false">
      <c r="A149" s="123" t="s">
        <v>8</v>
      </c>
      <c r="B149" s="124" t="n">
        <v>10202485.71</v>
      </c>
      <c r="C149" s="124" t="n">
        <v>10484895.18</v>
      </c>
      <c r="D149" s="124" t="n">
        <v>282409.47</v>
      </c>
      <c r="E149" s="124" t="n">
        <v>851108.25</v>
      </c>
      <c r="F149" s="124" t="n">
        <v>1076026.82</v>
      </c>
      <c r="G149" s="124" t="n">
        <v>224918.57</v>
      </c>
      <c r="H149" s="124" t="n">
        <v>133746.63</v>
      </c>
      <c r="I149" s="124" t="n">
        <v>0</v>
      </c>
      <c r="J149" s="124" t="n">
        <v>358665.2</v>
      </c>
      <c r="K149" s="123" t="s">
        <v>474</v>
      </c>
    </row>
    <row r="150" customFormat="false" ht="13.5" hidden="false" customHeight="true" outlineLevel="0" collapsed="false">
      <c r="A150" s="123" t="s">
        <v>7</v>
      </c>
      <c r="B150" s="124" t="n">
        <v>5560095.96</v>
      </c>
      <c r="C150" s="124" t="n">
        <v>5883944.68</v>
      </c>
      <c r="D150" s="124" t="n">
        <v>323848.72</v>
      </c>
      <c r="E150" s="124" t="n">
        <v>518518.93</v>
      </c>
      <c r="F150" s="124" t="n">
        <v>588072.32</v>
      </c>
      <c r="G150" s="124" t="n">
        <v>69553.39</v>
      </c>
      <c r="H150" s="124" t="n">
        <v>144087.14</v>
      </c>
      <c r="I150" s="124" t="n">
        <v>0</v>
      </c>
      <c r="J150" s="124" t="n">
        <v>213640.53</v>
      </c>
      <c r="K150" s="123" t="s">
        <v>475</v>
      </c>
    </row>
    <row r="151" customFormat="false" ht="13.5" hidden="false" customHeight="true" outlineLevel="0" collapsed="false">
      <c r="A151" s="123" t="s">
        <v>9</v>
      </c>
      <c r="B151" s="124" t="n">
        <v>5039486.56</v>
      </c>
      <c r="C151" s="124" t="n">
        <v>5267125.52</v>
      </c>
      <c r="D151" s="124" t="n">
        <v>227638.96</v>
      </c>
      <c r="E151" s="124" t="n">
        <v>639530.17</v>
      </c>
      <c r="F151" s="124" t="n">
        <v>732825.48</v>
      </c>
      <c r="G151" s="124" t="n">
        <v>93295.31</v>
      </c>
      <c r="H151" s="124" t="n">
        <v>-38601.79</v>
      </c>
      <c r="I151" s="124" t="n">
        <v>0</v>
      </c>
      <c r="J151" s="124" t="n">
        <v>54693.52</v>
      </c>
      <c r="K151" s="123" t="s">
        <v>476</v>
      </c>
    </row>
    <row r="152" customFormat="false" ht="13.5" hidden="false" customHeight="true" outlineLevel="0" collapsed="false">
      <c r="A152" s="123" t="s">
        <v>10</v>
      </c>
      <c r="B152" s="124" t="n">
        <v>5654636.53</v>
      </c>
      <c r="C152" s="124" t="n">
        <v>5729254.83</v>
      </c>
      <c r="D152" s="124" t="n">
        <v>74618.3</v>
      </c>
      <c r="E152" s="124" t="n">
        <v>714488.28</v>
      </c>
      <c r="F152" s="124" t="n">
        <v>790788.17</v>
      </c>
      <c r="G152" s="124" t="n">
        <v>76299.89</v>
      </c>
      <c r="H152" s="124" t="n">
        <v>-8118.8</v>
      </c>
      <c r="I152" s="124" t="n">
        <v>0</v>
      </c>
      <c r="J152" s="124" t="n">
        <v>68181.09</v>
      </c>
      <c r="K152" s="123" t="s">
        <v>477</v>
      </c>
    </row>
    <row r="153" customFormat="false" ht="13.5" hidden="false" customHeight="true" outlineLevel="0" collapsed="false">
      <c r="A153" s="123" t="s">
        <v>11</v>
      </c>
      <c r="B153" s="124" t="n">
        <v>1590577.8</v>
      </c>
      <c r="C153" s="124" t="n">
        <v>1903149.77</v>
      </c>
      <c r="D153" s="124" t="n">
        <v>312571.97</v>
      </c>
      <c r="E153" s="124" t="n">
        <v>247755.68</v>
      </c>
      <c r="F153" s="124" t="n">
        <v>219370.23</v>
      </c>
      <c r="G153" s="124" t="n">
        <v>-28385.45</v>
      </c>
      <c r="H153" s="124" t="n">
        <v>3380.96</v>
      </c>
      <c r="I153" s="124" t="n">
        <v>0</v>
      </c>
      <c r="J153" s="124" t="n">
        <v>-25004.49</v>
      </c>
      <c r="K153" s="123" t="s">
        <v>478</v>
      </c>
    </row>
    <row r="154" customFormat="false" ht="13.5" hidden="false" customHeight="true" outlineLevel="0" collapsed="false">
      <c r="A154" s="123" t="s">
        <v>12</v>
      </c>
      <c r="B154" s="124" t="n">
        <v>3483352.06</v>
      </c>
      <c r="C154" s="124" t="n">
        <v>185826.43</v>
      </c>
      <c r="D154" s="124" t="n">
        <v>-3297525.63</v>
      </c>
      <c r="E154" s="124" t="n">
        <v>599202.16</v>
      </c>
      <c r="F154" s="124" t="n">
        <v>244795.57</v>
      </c>
      <c r="G154" s="124" t="n">
        <v>-354406.59</v>
      </c>
      <c r="H154" s="124" t="n">
        <v>-10860.72</v>
      </c>
      <c r="I154" s="124" t="n">
        <v>525378</v>
      </c>
      <c r="J154" s="124" t="n">
        <v>160110.69</v>
      </c>
      <c r="K154" s="123" t="s">
        <v>479</v>
      </c>
    </row>
    <row r="155" customFormat="false" ht="13.5" hidden="false" customHeight="true" outlineLevel="0" collapsed="false">
      <c r="A155" s="123" t="s">
        <v>14</v>
      </c>
      <c r="B155" s="124" t="n">
        <v>0</v>
      </c>
      <c r="C155" s="124" t="n">
        <v>207431.97</v>
      </c>
      <c r="D155" s="124" t="n">
        <v>207431.97</v>
      </c>
      <c r="E155" s="124" t="n">
        <v>0</v>
      </c>
      <c r="F155" s="124" t="n">
        <v>43014.03</v>
      </c>
      <c r="G155" s="124" t="n">
        <v>43014.03</v>
      </c>
      <c r="H155" s="124" t="n">
        <v>-106987.63</v>
      </c>
      <c r="I155" s="124" t="n">
        <v>211877</v>
      </c>
      <c r="J155" s="124" t="n">
        <v>147903.4</v>
      </c>
      <c r="K155" s="123" t="s">
        <v>480</v>
      </c>
    </row>
    <row r="156" customFormat="false" ht="13.5" hidden="false" customHeight="true" outlineLevel="0" collapsed="false">
      <c r="A156" s="123" t="s">
        <v>13</v>
      </c>
      <c r="B156" s="124" t="n">
        <v>0</v>
      </c>
      <c r="C156" s="124" t="n">
        <v>0</v>
      </c>
      <c r="D156" s="124" t="n">
        <v>0</v>
      </c>
      <c r="E156" s="124" t="n">
        <v>0</v>
      </c>
      <c r="F156" s="124" t="n">
        <v>-0.25</v>
      </c>
      <c r="G156" s="124" t="n">
        <v>-0.25</v>
      </c>
      <c r="H156" s="124" t="n">
        <v>-50</v>
      </c>
      <c r="I156" s="124" t="n">
        <v>96992.25</v>
      </c>
      <c r="J156" s="124" t="n">
        <v>96942</v>
      </c>
      <c r="K156" s="123" t="s">
        <v>481</v>
      </c>
    </row>
    <row r="157" customFormat="false" ht="13.5" hidden="false" customHeight="true" outlineLevel="0" collapsed="false">
      <c r="A157" s="123" t="s">
        <v>482</v>
      </c>
      <c r="B157" s="124" t="n">
        <v>0</v>
      </c>
      <c r="C157" s="124" t="n">
        <v>0</v>
      </c>
      <c r="D157" s="124" t="n">
        <v>0</v>
      </c>
      <c r="E157" s="124" t="n">
        <v>0</v>
      </c>
      <c r="F157" s="124" t="n">
        <v>0</v>
      </c>
      <c r="G157" s="124" t="n">
        <v>0</v>
      </c>
      <c r="H157" s="124" t="n">
        <v>-200</v>
      </c>
      <c r="I157" s="124" t="n">
        <v>-1966.5</v>
      </c>
      <c r="J157" s="124" t="n">
        <v>-2166.5</v>
      </c>
      <c r="K157" s="123" t="s">
        <v>483</v>
      </c>
    </row>
    <row r="158" customFormat="false" ht="13.5" hidden="false" customHeight="true" outlineLevel="0" collapsed="false">
      <c r="A158" s="94" t="s">
        <v>484</v>
      </c>
      <c r="B158" s="125" t="n">
        <v>31530634.63</v>
      </c>
      <c r="C158" s="125" t="n">
        <v>29661628.38</v>
      </c>
      <c r="D158" s="125" t="n">
        <v>-1869006.25</v>
      </c>
      <c r="E158" s="125" t="n">
        <v>3570603.47</v>
      </c>
      <c r="F158" s="125" t="n">
        <v>3694892.37</v>
      </c>
      <c r="G158" s="125" t="n">
        <v>124288.9</v>
      </c>
      <c r="H158" s="125" t="n">
        <v>116395.79</v>
      </c>
      <c r="I158" s="125" t="n">
        <v>832280.75</v>
      </c>
      <c r="J158" s="125" t="n">
        <v>1072965.44</v>
      </c>
      <c r="K158" s="72" t="s">
        <v>485</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486</v>
      </c>
    </row>
    <row r="2" customFormat="false" ht="15" hidden="false" customHeight="true" outlineLevel="0" collapsed="false">
      <c r="A2" s="72" t="s">
        <v>487</v>
      </c>
    </row>
    <row r="3" customFormat="false" ht="15" hidden="false" customHeight="true" outlineLevel="0" collapsed="false">
      <c r="A3" s="109"/>
    </row>
    <row r="4" customFormat="false" ht="19.5" hidden="false" customHeight="true" outlineLevel="0" collapsed="false">
      <c r="A4" s="94" t="s">
        <v>488</v>
      </c>
    </row>
    <row r="5" customFormat="false" ht="15" hidden="false" customHeight="true" outlineLevel="0" collapsed="false">
      <c r="A5" s="72" t="s">
        <v>489</v>
      </c>
    </row>
    <row r="6" customFormat="false" ht="15" hidden="false" customHeight="true" outlineLevel="0" collapsed="false">
      <c r="A6" s="110"/>
      <c r="B6" s="110" t="s">
        <v>490</v>
      </c>
      <c r="C6" s="110" t="s">
        <v>368</v>
      </c>
      <c r="D6" s="110" t="s">
        <v>369</v>
      </c>
      <c r="E6" s="110" t="s">
        <v>491</v>
      </c>
      <c r="F6" s="110" t="s">
        <v>371</v>
      </c>
      <c r="G6" s="110" t="s">
        <v>372</v>
      </c>
    </row>
    <row r="7" customFormat="false" ht="15" hidden="false" customHeight="true" outlineLevel="0" collapsed="false">
      <c r="A7" s="112" t="s">
        <v>374</v>
      </c>
    </row>
    <row r="8" customFormat="false" ht="15" hidden="false" customHeight="true" outlineLevel="0" collapsed="false">
      <c r="A8" s="109" t="s">
        <v>375</v>
      </c>
      <c r="B8" s="113" t="n">
        <f aca="false">SUM('Reforecast Q1 2026'!$C$81:$N$81)</f>
        <v>472791.64</v>
      </c>
      <c r="C8" s="113" t="n">
        <f aca="false">SUM(Model!$B$261:$M$261)</f>
        <v>615805.64</v>
      </c>
      <c r="D8" s="113" t="n">
        <f aca="false">C8-B8</f>
        <v>143014</v>
      </c>
      <c r="E8" s="113" t="n">
        <f aca="false">AM105</f>
        <v>320416.64</v>
      </c>
      <c r="F8" s="113" t="n">
        <f aca="false">AL105</f>
        <v>762430.64</v>
      </c>
      <c r="G8" s="113" t="n">
        <f aca="false">F8-E8</f>
        <v>442014</v>
      </c>
    </row>
    <row r="9" customFormat="false" ht="15" hidden="false" customHeight="true" outlineLevel="0" collapsed="false">
      <c r="A9" s="109" t="s">
        <v>377</v>
      </c>
      <c r="B9" s="113" t="n">
        <f aca="false">SUM('Reforecast Q1 2026'!$C$112:$N$112)</f>
        <v>-1331271.005</v>
      </c>
      <c r="C9" s="113" t="n">
        <f aca="false">SUM(Model!$B$292:$M$292)</f>
        <v>-2407825.26</v>
      </c>
      <c r="D9" s="113" t="n">
        <f aca="false">C9-B9</f>
        <v>-1076554.255</v>
      </c>
      <c r="E9" s="113" t="n">
        <f aca="false">AM136</f>
        <v>-1018910.63833333</v>
      </c>
      <c r="F9" s="113" t="n">
        <f aca="false">AL136</f>
        <v>-1672913.98</v>
      </c>
      <c r="G9" s="113" t="n">
        <f aca="false">F9-E9</f>
        <v>-654003.341666667</v>
      </c>
    </row>
    <row r="10" customFormat="false" ht="15" hidden="false" customHeight="true" outlineLevel="0" collapsed="false">
      <c r="A10" s="115" t="s">
        <v>138</v>
      </c>
      <c r="B10" s="116" t="n">
        <f aca="false">SUM('Reforecast Q1 2026'!$C$114:$N$114)</f>
        <v>-858479.364999999</v>
      </c>
      <c r="C10" s="116" t="n">
        <f aca="false">SUM(Model!$B$293:$M$293)</f>
        <v>-1792019.62</v>
      </c>
      <c r="D10" s="116" t="n">
        <f aca="false">C10-B10</f>
        <v>-933540.255000001</v>
      </c>
      <c r="E10" s="116" t="n">
        <f aca="false">AM138</f>
        <v>-698493.998333333</v>
      </c>
      <c r="F10" s="116" t="n">
        <f aca="false">AL138</f>
        <v>-858711.42</v>
      </c>
      <c r="G10" s="116" t="n">
        <f aca="false">F10-E10</f>
        <v>-160217.421666667</v>
      </c>
    </row>
    <row r="11" customFormat="false" ht="15" hidden="false" customHeight="true" outlineLevel="0" collapsed="false">
      <c r="A11" s="112" t="s">
        <v>380</v>
      </c>
    </row>
    <row r="12" customFormat="false" ht="15" hidden="false" customHeight="true" outlineLevel="0" collapsed="false">
      <c r="A12" s="109" t="s">
        <v>381</v>
      </c>
      <c r="B12" s="113" t="n">
        <f aca="false">SUM('Reforecast Q1 2026'!$C$8:$N$11)</f>
        <v>6567424.1605258</v>
      </c>
      <c r="C12" s="113" t="n">
        <f aca="false">SUM(Model!$B$10:$M$11)</f>
        <v>6566786.27224828</v>
      </c>
      <c r="D12" s="113" t="n">
        <f aca="false">C12-B12</f>
        <v>-637.888277521357</v>
      </c>
      <c r="E12" s="113" t="n">
        <f aca="false">SUM(AM32:AM35)</f>
        <v>3465673.26807196</v>
      </c>
      <c r="F12" s="113" t="n">
        <f aca="false">SUM(AL32:AL35)</f>
        <v>3694895.05</v>
      </c>
      <c r="G12" s="113" t="n">
        <f aca="false">F12-E12</f>
        <v>229221.781928045</v>
      </c>
    </row>
    <row r="13" customFormat="false" ht="15" hidden="false" customHeight="true" outlineLevel="0" collapsed="false">
      <c r="A13" s="109" t="s">
        <v>383</v>
      </c>
      <c r="B13" s="113" t="n">
        <f aca="false">SUM('Reforecast Q1 2026'!$C$12:$N$12)+SUM('Reforecast Q1 2026'!$C$14:$N$14)</f>
        <v>-29723.3403436914</v>
      </c>
      <c r="C13" s="113" t="n">
        <f aca="false">SUM(Model!$B$57:$M$57)+SUM(Model!$B$104:$M$104)+SUM(Model!$B$197:$M$198)</f>
        <v>815272.825603775</v>
      </c>
      <c r="D13" s="113" t="n">
        <f aca="false">C13-B13</f>
        <v>844996.165947466</v>
      </c>
      <c r="E13" s="113" t="n">
        <f aca="false">AM36+AM38</f>
        <v>-29723.3409287184</v>
      </c>
      <c r="F13" s="113" t="n">
        <f aca="false">AL36+AL38</f>
        <v>948676.539999999</v>
      </c>
      <c r="G13" s="113" t="n">
        <f aca="false">F13-E13</f>
        <v>978399.880928718</v>
      </c>
    </row>
    <row r="14" customFormat="false" ht="15" hidden="false" customHeight="true" outlineLevel="0" collapsed="false">
      <c r="A14" s="109" t="s">
        <v>385</v>
      </c>
      <c r="B14" s="113" t="n">
        <f aca="false">SUM('Reforecast Q1 2026'!$C$15:$N$16)</f>
        <v>710172.5608</v>
      </c>
      <c r="C14" s="113" t="n">
        <f aca="false">SUM(Model!$B$196:$M$196)</f>
        <v>-1069700.04530973</v>
      </c>
      <c r="D14" s="113" t="n">
        <f aca="false">C14-B14</f>
        <v>-1779872.60610973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6312359.05254232</v>
      </c>
      <c r="D15" s="116" t="n">
        <f aca="false">C15-B15</f>
        <v>-935514.328439788</v>
      </c>
      <c r="E15" s="116" t="n">
        <f aca="false">AM41</f>
        <v>3760543.63194324</v>
      </c>
      <c r="F15" s="116" t="n">
        <f aca="false">AL41</f>
        <v>4643571.59</v>
      </c>
      <c r="G15" s="116" t="n">
        <f aca="false">F15-E15</f>
        <v>883027.958056767</v>
      </c>
    </row>
    <row r="16" customFormat="false" ht="15" hidden="false" customHeight="true" outlineLevel="0" collapsed="false">
      <c r="A16" s="109" t="s">
        <v>388</v>
      </c>
      <c r="B16" s="113" t="n">
        <f aca="false">SUM('Reforecast Q1 2026'!$C$55:$N$55)</f>
        <v>-5233737.90833333</v>
      </c>
      <c r="C16" s="113" t="n">
        <f aca="false">SUM(Model!$B$236:$M$236)</f>
        <v>-4066669.58866667</v>
      </c>
      <c r="D16" s="113" t="n">
        <f aca="false">C16-B16</f>
        <v>1167068.31966666</v>
      </c>
      <c r="E16" s="113" t="n">
        <f aca="false">AM79</f>
        <v>-3158500.84166667</v>
      </c>
      <c r="F16" s="113" t="n">
        <f aca="false">AL79</f>
        <v>-2414322.82</v>
      </c>
      <c r="G16" s="113" t="n">
        <f aca="false">F16-E16</f>
        <v>744178.021666665</v>
      </c>
    </row>
    <row r="17" customFormat="false" ht="15" hidden="false" customHeight="true" outlineLevel="0" collapsed="false">
      <c r="A17" s="115" t="s">
        <v>98</v>
      </c>
      <c r="B17" s="116" t="n">
        <f aca="false">SUM('Reforecast Q1 2026'!$C$57:$N$57)</f>
        <v>2014135.48299245</v>
      </c>
      <c r="C17" s="116" t="n">
        <f aca="false">SUM(Model!$B$237:$M$237)</f>
        <v>2245689.46387566</v>
      </c>
      <c r="D17" s="116" t="n">
        <f aca="false">C17-B17</f>
        <v>231553.980883209</v>
      </c>
      <c r="E17" s="116" t="n">
        <f aca="false">AM81</f>
        <v>602042.801205283</v>
      </c>
      <c r="F17" s="116" t="n">
        <f aca="false">AL81</f>
        <v>2229248.77</v>
      </c>
      <c r="G17" s="116" t="n">
        <f aca="false">F17-E17</f>
        <v>1627205.96879472</v>
      </c>
    </row>
    <row r="18" customFormat="false" ht="15" hidden="false" customHeight="true" outlineLevel="0" collapsed="false">
      <c r="A18" s="115" t="s">
        <v>391</v>
      </c>
      <c r="B18" s="117" t="n">
        <f aca="false">B10+B17</f>
        <v>1155656.11799245</v>
      </c>
      <c r="C18" s="117" t="n">
        <f aca="false">SUM(Model!$B$308:$M$308)</f>
        <v>454949.595408988</v>
      </c>
      <c r="D18" s="117" t="n">
        <f aca="false">C18-B18</f>
        <v>-700706.522583459</v>
      </c>
      <c r="E18" s="117" t="n">
        <f aca="false">E10+E17</f>
        <v>-96451.1971280497</v>
      </c>
      <c r="F18" s="117" t="n">
        <f aca="false">AL141</f>
        <v>1370537.35</v>
      </c>
      <c r="G18" s="117" t="n">
        <f aca="false">F18-E18</f>
        <v>1466988.54712805</v>
      </c>
    </row>
    <row r="19" customFormat="false" ht="15" hidden="false" customHeight="true" outlineLevel="0" collapsed="false">
      <c r="A19" s="109" t="s">
        <v>393</v>
      </c>
      <c r="C19" s="113" t="n">
        <f aca="false">AL141</f>
        <v>1370537.35</v>
      </c>
    </row>
    <row r="20" customFormat="false" ht="15" hidden="false" customHeight="true" outlineLevel="0" collapsed="false">
      <c r="A20" s="109" t="s">
        <v>394</v>
      </c>
      <c r="C20" s="113" t="n">
        <f aca="false">SUM(Model!$B$259:$M$259)</f>
        <v>-299000</v>
      </c>
    </row>
    <row r="21" customFormat="false" ht="15" hidden="false" customHeight="true" outlineLevel="0" collapsed="false">
      <c r="A21" s="109" t="s">
        <v>395</v>
      </c>
      <c r="C21" s="113" t="n">
        <f aca="false">C18-C19-C20</f>
        <v>-616587.754591014</v>
      </c>
    </row>
    <row r="22" customFormat="false" ht="15" hidden="false" customHeight="true" outlineLevel="0" collapsed="false">
      <c r="A22" s="72" t="s">
        <v>396</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397</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398</v>
      </c>
      <c r="AM28" s="110"/>
      <c r="AN28" s="110"/>
    </row>
    <row r="29" customFormat="false" ht="15" hidden="false" customHeight="true" outlineLevel="0" collapsed="false">
      <c r="A29" s="110" t="s">
        <v>399</v>
      </c>
      <c r="B29" s="110" t="s">
        <v>400</v>
      </c>
      <c r="C29" s="110" t="s">
        <v>492</v>
      </c>
      <c r="D29" s="110" t="s">
        <v>369</v>
      </c>
      <c r="E29" s="110" t="s">
        <v>400</v>
      </c>
      <c r="F29" s="110" t="s">
        <v>492</v>
      </c>
      <c r="G29" s="110" t="s">
        <v>369</v>
      </c>
      <c r="H29" s="110" t="s">
        <v>400</v>
      </c>
      <c r="I29" s="110" t="s">
        <v>492</v>
      </c>
      <c r="J29" s="110" t="s">
        <v>369</v>
      </c>
      <c r="K29" s="110" t="s">
        <v>400</v>
      </c>
      <c r="L29" s="110" t="s">
        <v>492</v>
      </c>
      <c r="M29" s="110" t="s">
        <v>369</v>
      </c>
      <c r="N29" s="110" t="s">
        <v>400</v>
      </c>
      <c r="O29" s="110" t="s">
        <v>492</v>
      </c>
      <c r="P29" s="110" t="s">
        <v>369</v>
      </c>
      <c r="Q29" s="110" t="s">
        <v>400</v>
      </c>
      <c r="R29" s="110" t="s">
        <v>492</v>
      </c>
      <c r="S29" s="110" t="s">
        <v>369</v>
      </c>
      <c r="T29" s="110" t="s">
        <v>400</v>
      </c>
      <c r="U29" s="110" t="s">
        <v>492</v>
      </c>
      <c r="V29" s="110" t="s">
        <v>369</v>
      </c>
      <c r="W29" s="110" t="s">
        <v>400</v>
      </c>
      <c r="X29" s="110" t="s">
        <v>492</v>
      </c>
      <c r="Y29" s="110" t="s">
        <v>369</v>
      </c>
      <c r="Z29" s="110" t="s">
        <v>400</v>
      </c>
      <c r="AA29" s="110" t="s">
        <v>492</v>
      </c>
      <c r="AB29" s="110" t="s">
        <v>369</v>
      </c>
      <c r="AC29" s="110" t="s">
        <v>400</v>
      </c>
      <c r="AD29" s="110" t="s">
        <v>492</v>
      </c>
      <c r="AE29" s="110" t="s">
        <v>369</v>
      </c>
      <c r="AF29" s="110" t="s">
        <v>400</v>
      </c>
      <c r="AG29" s="110" t="s">
        <v>492</v>
      </c>
      <c r="AH29" s="110" t="s">
        <v>369</v>
      </c>
      <c r="AI29" s="110" t="s">
        <v>400</v>
      </c>
      <c r="AJ29" s="110" t="s">
        <v>492</v>
      </c>
      <c r="AK29" s="110" t="s">
        <v>369</v>
      </c>
      <c r="AL29" s="110" t="s">
        <v>400</v>
      </c>
      <c r="AM29" s="110" t="s">
        <v>492</v>
      </c>
      <c r="AN29" s="110" t="s">
        <v>369</v>
      </c>
    </row>
    <row r="31" customFormat="false" ht="15" hidden="false" customHeight="true" outlineLevel="0" collapsed="false">
      <c r="A31" s="112" t="s">
        <v>403</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str">
        <f aca="false">IF(OR(9&gt;$B$27,ISBLANK(Actuals!K8)),"",Actuals!K8)</f>
        <v/>
      </c>
      <c r="AA32" s="113" t="n">
        <f aca="false">'Reforecast Q1 2026'!K8</f>
        <v>361542.001995889</v>
      </c>
      <c r="AB32" s="113" t="str">
        <f aca="false">IF(Z32="","",Z32-AA32)</f>
        <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2144890.99</v>
      </c>
      <c r="AM32" s="116" t="n">
        <f aca="false">SUM('Reforecast Q1 2026'!$C8:INDEX('Reforecast Q1 2026'!$C8:$N8,$B$27))</f>
        <v>2001420.34386425</v>
      </c>
      <c r="AN32" s="116" t="n">
        <f aca="false">AL32-AM32</f>
        <v>143470.646135755</v>
      </c>
    </row>
    <row r="33" customFormat="false" ht="15" hidden="false" customHeight="true" outlineLevel="0" collapsed="false">
      <c r="A33" s="109" t="s">
        <v>350</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str">
        <f aca="false">IF(OR(9&gt;$B$27,ISBLANK(Actuals!K9)),"",Actuals!K9)</f>
        <v/>
      </c>
      <c r="AA33" s="113" t="n">
        <f aca="false">'Reforecast Q1 2026'!K9</f>
        <v>0</v>
      </c>
      <c r="AB33" s="113" t="str">
        <f aca="false">IF(Z33="","",Z33-AA33)</f>
        <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str">
        <f aca="false">IF(OR(9&gt;$B$27,ISBLANK(Actuals!K10)),"",Actuals!K10)</f>
        <v/>
      </c>
      <c r="AA34" s="113" t="n">
        <f aca="false">'Reforecast Q1 2026'!K10</f>
        <v>271155.187658694</v>
      </c>
      <c r="AB34" s="113" t="str">
        <f aca="false">IF(Z34="","",Z34-AA34)</f>
        <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1550004.06</v>
      </c>
      <c r="AM34" s="116" t="n">
        <f aca="false">SUM('Reforecast Q1 2026'!$C10:INDEX('Reforecast Q1 2026'!$C10:$N10,$B$27))</f>
        <v>1464252.92420771</v>
      </c>
      <c r="AN34" s="116" t="n">
        <f aca="false">AL34-AM34</f>
        <v>85751.1357922903</v>
      </c>
    </row>
    <row r="35" customFormat="false" ht="15" hidden="false" customHeight="true" outlineLevel="0" collapsed="false">
      <c r="A35" s="109" t="s">
        <v>351</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str">
        <f aca="false">IF(OR(9&gt;$B$27,ISBLANK(Actuals!K11)),"",Actuals!K11)</f>
        <v/>
      </c>
      <c r="AA35" s="113" t="n">
        <f aca="false">'Reforecast Q1 2026'!K11</f>
        <v>0</v>
      </c>
      <c r="AB35" s="113" t="str">
        <f aca="false">IF(Z35="","",Z35-AA35)</f>
        <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str">
        <f aca="false">IF(OR(9&gt;$B$27,ISBLANK(Actuals!K12)),"",Actuals!K12)</f>
        <v/>
      </c>
      <c r="AA36" s="113" t="n">
        <f aca="false">'Reforecast Q1 2026'!K12</f>
        <v>5352854.32</v>
      </c>
      <c r="AB36" s="113" t="str">
        <f aca="false">IF(Z36="","",Z36-AA36)</f>
        <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30904644.63</v>
      </c>
      <c r="AM36" s="116" t="n">
        <f aca="false">SUM('Reforecast Q1 2026'!$C12:INDEX('Reforecast Q1 2026'!$C12:$N12,$B$27))</f>
        <v>29194430.25</v>
      </c>
      <c r="AN36" s="116" t="n">
        <f aca="false">AL36-AM36</f>
        <v>1710214.38</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str">
        <f aca="false">IF(OR(9&gt;$B$27,ISBLANK(Actuals!K13)),"",Actuals!K13)</f>
        <v/>
      </c>
      <c r="AA37" s="116" t="n">
        <f aca="false">'Reforecast Q1 2026'!K13</f>
        <v>5985551.50965458</v>
      </c>
      <c r="AB37" s="116" t="str">
        <f aca="false">IF(Z37="","",Z37-AA37)</f>
        <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34599539.68</v>
      </c>
      <c r="AM37" s="116" t="n">
        <f aca="false">SUM('Reforecast Q1 2026'!$C13:INDEX('Reforecast Q1 2026'!$C13:$N13,$B$27))</f>
        <v>32660103.518072</v>
      </c>
      <c r="AN37" s="116" t="n">
        <f aca="false">AL37-AM37</f>
        <v>1939436.16192804</v>
      </c>
    </row>
    <row r="38" customFormat="false" ht="15" hidden="false" customHeight="true" outlineLevel="0" collapsed="false">
      <c r="A38" s="109" t="s">
        <v>352</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str">
        <f aca="false">IF(OR(9&gt;$B$27,ISBLANK(Actuals!K14)),"",Actuals!K14)</f>
        <v/>
      </c>
      <c r="AA38" s="113" t="n">
        <f aca="false">'Reforecast Q1 2026'!K14</f>
        <v>-5352854.31833945</v>
      </c>
      <c r="AB38" s="113" t="str">
        <f aca="false">IF(Z38="","",Z38-AA38)</f>
        <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-29955968.09</v>
      </c>
      <c r="AM38" s="116" t="n">
        <f aca="false">SUM('Reforecast Q1 2026'!$C14:INDEX('Reforecast Q1 2026'!$C14:$N14,$B$27))</f>
        <v>-29224153.5909287</v>
      </c>
      <c r="AN38" s="116" t="n">
        <f aca="false">AL38-AM38</f>
        <v>-731814.499071281</v>
      </c>
    </row>
    <row r="39" customFormat="false" ht="15" hidden="false" customHeight="true" outlineLevel="0" collapsed="false">
      <c r="A39" s="109" t="s">
        <v>409</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str">
        <f aca="false">IF(OR(9&gt;$B$27,ISBLANK(Actuals!K15)),"",Actuals!K15)</f>
        <v/>
      </c>
      <c r="AA39" s="113" t="n">
        <f aca="false">'Reforecast Q1 2026'!K15</f>
        <v>0</v>
      </c>
      <c r="AB39" s="113" t="str">
        <f aca="false">IF(Z39="","",Z39-AA39)</f>
        <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411</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str">
        <f aca="false">IF(OR(9&gt;$B$27,ISBLANK(Actuals!K16)),"",Actuals!K16)</f>
        <v/>
      </c>
      <c r="AA40" s="113" t="n">
        <f aca="false">'Reforecast Q1 2026'!K16</f>
        <v>0</v>
      </c>
      <c r="AB40" s="113" t="str">
        <f aca="false">IF(Z40="","",Z40-AA40)</f>
        <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str">
        <f aca="false">IF(OR(9&gt;$B$27,ISBLANK(Actuals!K17)),"",Actuals!K17)</f>
        <v/>
      </c>
      <c r="AA41" s="116" t="n">
        <f aca="false">'Reforecast Q1 2026'!K17</f>
        <v>632697.191315133</v>
      </c>
      <c r="AB41" s="116" t="str">
        <f aca="false">IF(Z41="","",Z41-AA41)</f>
        <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4643571.59</v>
      </c>
      <c r="AM41" s="116" t="n">
        <f aca="false">SUM('Reforecast Q1 2026'!$C17:INDEX('Reforecast Q1 2026'!$C17:$N17,$B$27))</f>
        <v>3760543.63194324</v>
      </c>
      <c r="AN41" s="116" t="n">
        <f aca="false">AL41-AM41</f>
        <v>883027.958056767</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str">
        <f aca="false">IF(OR(9&gt;$B$27,ISBLANK(Actuals!K18)),"",Actuals!K18)</f>
        <v/>
      </c>
      <c r="AA42" s="113" t="n">
        <f aca="false">'Reforecast Q1 2026'!K18</f>
        <v>0.105704075939302</v>
      </c>
      <c r="AB42" s="113" t="str">
        <f aca="false">IF(Z42="","",Z42-AA42)</f>
        <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1.02902959781376</v>
      </c>
      <c r="AM42" s="116" t="n">
        <f aca="false">SUM('Reforecast Q1 2026'!$C18:INDEX('Reforecast Q1 2026'!$C18:$N18,$B$27))</f>
        <v>0.934806459284114</v>
      </c>
      <c r="AN42" s="116" t="n">
        <f aca="false">AL42-AM42</f>
        <v>0.0942231385296459</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str">
        <f aca="false">IF(OR(9&gt;$B$27,ISBLANK(Actuals!K21)),"",Actuals!K21)</f>
        <v/>
      </c>
      <c r="AA45" s="113" t="n">
        <f aca="false">'Reforecast Q1 2026'!K21</f>
        <v>-225208.333333333</v>
      </c>
      <c r="AB45" s="113" t="str">
        <f aca="false">IF(Z45="","",Z45-AA45)</f>
        <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-1589842.61</v>
      </c>
      <c r="AM45" s="116" t="n">
        <f aca="false">SUM('Reforecast Q1 2026'!$C21:INDEX('Reforecast Q1 2026'!$C21:$N21,$B$27))</f>
        <v>-1493049.93333333</v>
      </c>
      <c r="AN45" s="116" t="n">
        <f aca="false">AL45-AM45</f>
        <v>-96792.6766666668</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str">
        <f aca="false">IF(OR(9&gt;$B$27,ISBLANK(Actuals!K22)),"",Actuals!K22)</f>
        <v/>
      </c>
      <c r="AA46" s="113" t="n">
        <f aca="false">'Reforecast Q1 2026'!K22</f>
        <v>-19556.25</v>
      </c>
      <c r="AB46" s="113" t="str">
        <f aca="false">IF(Z46="","",Z46-AA46)</f>
        <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-121169.78</v>
      </c>
      <c r="AM46" s="116" t="n">
        <f aca="false">SUM('Reforecast Q1 2026'!$C22:INDEX('Reforecast Q1 2026'!$C22:$N22,$B$27))</f>
        <v>-125336.286666667</v>
      </c>
      <c r="AN46" s="116" t="n">
        <f aca="false">AL46-AM46</f>
        <v>4166.5066666667</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str">
        <f aca="false">IF(OR(9&gt;$B$27,ISBLANK(Actuals!K23)),"",Actuals!K23)</f>
        <v/>
      </c>
      <c r="AA47" s="113" t="n">
        <f aca="false">'Reforecast Q1 2026'!K23</f>
        <v>-103833.333333333</v>
      </c>
      <c r="AB47" s="113" t="str">
        <f aca="false">IF(Z47="","",Z47-AA47)</f>
        <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-519166.666666665</v>
      </c>
      <c r="AN47" s="116" t="n">
        <f aca="false">AL47-AM47</f>
        <v>519166.666666665</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str">
        <f aca="false">IF(OR(9&gt;$B$27,ISBLANK(Actuals!K24)),"",Actuals!K24)</f>
        <v/>
      </c>
      <c r="AA48" s="113" t="n">
        <f aca="false">'Reforecast Q1 2026'!K24</f>
        <v>-13968.75</v>
      </c>
      <c r="AB48" s="113" t="str">
        <f aca="false">IF(Z48="","",Z48-AA48)</f>
        <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-51941.66</v>
      </c>
      <c r="AM48" s="116" t="n">
        <f aca="false">SUM('Reforecast Q1 2026'!$C24:INDEX('Reforecast Q1 2026'!$C24:$N24,$B$27))</f>
        <v>-88045.3233333333</v>
      </c>
      <c r="AN48" s="116" t="n">
        <f aca="false">AL48-AM48</f>
        <v>36103.6633333333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str">
        <f aca="false">IF(OR(9&gt;$B$27,ISBLANK(Actuals!K25)),"",Actuals!K25)</f>
        <v/>
      </c>
      <c r="AA49" s="113" t="n">
        <f aca="false">'Reforecast Q1 2026'!K25</f>
        <v>-5587.5</v>
      </c>
      <c r="AB49" s="113" t="str">
        <f aca="false">IF(Z49="","",Z49-AA49)</f>
        <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-4697.68</v>
      </c>
      <c r="AM49" s="116" t="n">
        <f aca="false">SUM('Reforecast Q1 2026'!$C25:INDEX('Reforecast Q1 2026'!$C25:$N25,$B$27))</f>
        <v>-26550.2833333333</v>
      </c>
      <c r="AN49" s="116" t="n">
        <f aca="false">AL49-AM49</f>
        <v>21852.6033333333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str">
        <f aca="false">IF(OR(9&gt;$B$27,ISBLANK(Actuals!K26)),"",Actuals!K26)</f>
        <v/>
      </c>
      <c r="AA50" s="113" t="n">
        <f aca="false">'Reforecast Q1 2026'!K26</f>
        <v>-1396.875</v>
      </c>
      <c r="AB50" s="113" t="str">
        <f aca="false">IF(Z50="","",Z50-AA50)</f>
        <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-6843.95833333333</v>
      </c>
      <c r="AN50" s="116" t="n">
        <f aca="false">AL50-AM50</f>
        <v>6448.95833333333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str">
        <f aca="false">IF(OR(9&gt;$B$27,ISBLANK(Actuals!K27)),"",Actuals!K27)</f>
        <v/>
      </c>
      <c r="AA51" s="113" t="n">
        <f aca="false">'Reforecast Q1 2026'!K27</f>
        <v>-29166.66</v>
      </c>
      <c r="AB51" s="113" t="str">
        <f aca="false">IF(Z51="","",Z51-AA51)</f>
        <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-249668.9</v>
      </c>
      <c r="AM51" s="116" t="n">
        <f aca="false">SUM('Reforecast Q1 2026'!$C27:INDEX('Reforecast Q1 2026'!$C27:$N27,$B$27))</f>
        <v>-249668.9</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str">
        <f aca="false">IF(OR(9&gt;$B$27,ISBLANK(Actuals!K28)),"",Actuals!K28)</f>
        <v/>
      </c>
      <c r="AA52" s="113" t="n">
        <f aca="false">'Reforecast Q1 2026'!K28</f>
        <v>0</v>
      </c>
      <c r="AB52" s="113" t="str">
        <f aca="false">IF(Z52="","",Z52-AA52)</f>
        <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str">
        <f aca="false">IF(OR(9&gt;$B$27,ISBLANK(Actuals!K29)),"",Actuals!K29)</f>
        <v/>
      </c>
      <c r="AA53" s="113" t="n">
        <f aca="false">'Reforecast Q1 2026'!K29</f>
        <v>-10400</v>
      </c>
      <c r="AB53" s="113" t="str">
        <f aca="false">IF(Z53="","",Z53-AA53)</f>
        <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-113215</v>
      </c>
      <c r="AM53" s="116" t="n">
        <f aca="false">SUM('Reforecast Q1 2026'!$C29:INDEX('Reforecast Q1 2026'!$C29:$N29,$B$27))</f>
        <v>-73200</v>
      </c>
      <c r="AN53" s="116" t="n">
        <f aca="false">AL53-AM53</f>
        <v>-40015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str">
        <f aca="false">IF(OR(9&gt;$B$27,ISBLANK(Actuals!K30)),"",Actuals!K30)</f>
        <v/>
      </c>
      <c r="AA54" s="113" t="n">
        <f aca="false">'Reforecast Q1 2026'!K30</f>
        <v>-4024.64</v>
      </c>
      <c r="AB54" s="113" t="str">
        <f aca="false">IF(Z54="","",Z54-AA54)</f>
        <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-43960.49</v>
      </c>
      <c r="AM54" s="116" t="n">
        <f aca="false">SUM('Reforecast Q1 2026'!$C30:INDEX('Reforecast Q1 2026'!$C30:$N30,$B$27))</f>
        <v>-32197.13</v>
      </c>
      <c r="AN54" s="116" t="n">
        <f aca="false">AL54-AM54</f>
        <v>-11763.36</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str">
        <f aca="false">IF(OR(9&gt;$B$27,ISBLANK(Actuals!K31)),"",Actuals!K31)</f>
        <v/>
      </c>
      <c r="AA55" s="113" t="n">
        <f aca="false">'Reforecast Q1 2026'!K31</f>
        <v>-359.13</v>
      </c>
      <c r="AB55" s="113" t="str">
        <f aca="false">IF(Z55="","",Z55-AA55)</f>
        <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-5044.33</v>
      </c>
      <c r="AM55" s="116" t="n">
        <f aca="false">SUM('Reforecast Q1 2026'!$C31:INDEX('Reforecast Q1 2026'!$C31:$N31,$B$27))</f>
        <v>-2873.03</v>
      </c>
      <c r="AN55" s="116" t="n">
        <f aca="false">AL55-AM55</f>
        <v>-2171.3</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str">
        <f aca="false">IF(OR(9&gt;$B$27,ISBLANK(Actuals!K32)),"",Actuals!K32)</f>
        <v/>
      </c>
      <c r="AA56" s="113" t="n">
        <f aca="false">'Reforecast Q1 2026'!K32</f>
        <v>-26.33</v>
      </c>
      <c r="AB56" s="113" t="str">
        <f aca="false">IF(Z56="","",Z56-AA56)</f>
        <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-210.65</v>
      </c>
      <c r="AN56" s="116" t="n">
        <f aca="false">AL56-AM56</f>
        <v>42.65</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str">
        <f aca="false">IF(OR(9&gt;$B$27,ISBLANK(Actuals!K33)),"",Actuals!K33)</f>
        <v/>
      </c>
      <c r="AA57" s="113" t="n">
        <f aca="false">'Reforecast Q1 2026'!K33</f>
        <v>-5300.8</v>
      </c>
      <c r="AB57" s="113" t="str">
        <f aca="false">IF(Z57="","",Z57-AA57)</f>
        <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-49598.64</v>
      </c>
      <c r="AM57" s="116" t="n">
        <f aca="false">SUM('Reforecast Q1 2026'!$C33:INDEX('Reforecast Q1 2026'!$C33:$N33,$B$27))</f>
        <v>-42406.41</v>
      </c>
      <c r="AN57" s="116" t="n">
        <f aca="false">AL57-AM57</f>
        <v>-7192.23</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str">
        <f aca="false">IF(OR(9&gt;$B$27,ISBLANK(Actuals!K34)),"",Actuals!K34)</f>
        <v/>
      </c>
      <c r="AA58" s="113" t="n">
        <f aca="false">'Reforecast Q1 2026'!K34</f>
        <v>-736.03</v>
      </c>
      <c r="AB58" s="113" t="str">
        <f aca="false">IF(Z58="","",Z58-AA58)</f>
        <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-4703.2</v>
      </c>
      <c r="AM58" s="116" t="n">
        <f aca="false">SUM('Reforecast Q1 2026'!$C34:INDEX('Reforecast Q1 2026'!$C34:$N34,$B$27))</f>
        <v>-5888.25</v>
      </c>
      <c r="AN58" s="116" t="n">
        <f aca="false">AL58-AM58</f>
        <v>1185.05</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str">
        <f aca="false">IF(OR(9&gt;$B$27,ISBLANK(Actuals!K35)),"",Actuals!K35)</f>
        <v/>
      </c>
      <c r="AA59" s="113" t="n">
        <f aca="false">'Reforecast Q1 2026'!K35</f>
        <v>-1134.62</v>
      </c>
      <c r="AB59" s="113" t="str">
        <f aca="false">IF(Z59="","",Z59-AA59)</f>
        <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-9076.96</v>
      </c>
      <c r="AN59" s="116" t="n">
        <f aca="false">AL59-AM59</f>
        <v>1601.06</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str">
        <f aca="false">IF(OR(9&gt;$B$27,ISBLANK(Actuals!K36)),"",Actuals!K36)</f>
        <v/>
      </c>
      <c r="AA60" s="113" t="n">
        <f aca="false">'Reforecast Q1 2026'!K36</f>
        <v>-1270.83</v>
      </c>
      <c r="AB60" s="113" t="str">
        <f aca="false">IF(Z60="","",Z60-AA60)</f>
        <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-10166.65</v>
      </c>
      <c r="AN60" s="116" t="n">
        <f aca="false">AL60-AM60</f>
        <v>4794.15</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str">
        <f aca="false">IF(OR(9&gt;$B$27,ISBLANK(Actuals!K37)),"",Actuals!K37)</f>
        <v/>
      </c>
      <c r="AA61" s="113" t="n">
        <f aca="false">'Reforecast Q1 2026'!K37</f>
        <v>-5916.33</v>
      </c>
      <c r="AB61" s="113" t="str">
        <f aca="false">IF(Z61="","",Z61-AA61)</f>
        <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-59876</v>
      </c>
      <c r="AM61" s="116" t="n">
        <f aca="false">SUM('Reforecast Q1 2026'!$C37:INDEX('Reforecast Q1 2026'!$C37:$N37,$B$27))</f>
        <v>-47330.65</v>
      </c>
      <c r="AN61" s="116" t="n">
        <f aca="false">AL61-AM61</f>
        <v>-12545.35</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str">
        <f aca="false">IF(OR(9&gt;$B$27,ISBLANK(Actuals!K38)),"",Actuals!K38)</f>
        <v/>
      </c>
      <c r="AA62" s="113" t="n">
        <f aca="false">'Reforecast Q1 2026'!K38</f>
        <v>-250.13</v>
      </c>
      <c r="AB62" s="113" t="str">
        <f aca="false">IF(Z62="","",Z62-AA62)</f>
        <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-750.4</v>
      </c>
      <c r="AM62" s="116" t="n">
        <f aca="false">SUM('Reforecast Q1 2026'!$C38:INDEX('Reforecast Q1 2026'!$C38:$N38,$B$27))</f>
        <v>-2001.05</v>
      </c>
      <c r="AN62" s="116" t="n">
        <f aca="false">AL62-AM62</f>
        <v>1250.65</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str">
        <f aca="false">IF(OR(9&gt;$B$27,ISBLANK(Actuals!K39)),"",Actuals!K39)</f>
        <v/>
      </c>
      <c r="AA63" s="113" t="n">
        <f aca="false">'Reforecast Q1 2026'!K39</f>
        <v>-1750.91</v>
      </c>
      <c r="AB63" s="113" t="str">
        <f aca="false">IF(Z63="","",Z63-AA63)</f>
        <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-19660.37</v>
      </c>
      <c r="AM63" s="116" t="n">
        <f aca="false">SUM('Reforecast Q1 2026'!$C39:INDEX('Reforecast Q1 2026'!$C39:$N39,$B$27))</f>
        <v>-14007.27</v>
      </c>
      <c r="AN63" s="116" t="n">
        <f aca="false">AL63-AM63</f>
        <v>-5653.1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str">
        <f aca="false">IF(OR(9&gt;$B$27,ISBLANK(Actuals!K40)),"",Actuals!K40)</f>
        <v/>
      </c>
      <c r="AA64" s="113" t="n">
        <f aca="false">'Reforecast Q1 2026'!K40</f>
        <v>-1988.67</v>
      </c>
      <c r="AB64" s="113" t="str">
        <f aca="false">IF(Z64="","",Z64-AA64)</f>
        <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-18859.3</v>
      </c>
      <c r="AM64" s="116" t="n">
        <f aca="false">SUM('Reforecast Q1 2026'!$C40:INDEX('Reforecast Q1 2026'!$C40:$N40,$B$27))</f>
        <v>-15909.37</v>
      </c>
      <c r="AN64" s="116" t="n">
        <f aca="false">AL64-AM64</f>
        <v>-2949.93</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str">
        <f aca="false">IF(OR(9&gt;$B$27,ISBLANK(Actuals!K41)),"",Actuals!K41)</f>
        <v/>
      </c>
      <c r="AA65" s="113" t="n">
        <f aca="false">'Reforecast Q1 2026'!K41</f>
        <v>0</v>
      </c>
      <c r="AB65" s="113" t="str">
        <f aca="false">IF(Z65="","",Z65-AA65)</f>
        <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str">
        <f aca="false">IF(OR(9&gt;$B$27,ISBLANK(Actuals!K42)),"",Actuals!K42)</f>
        <v/>
      </c>
      <c r="AA66" s="113" t="n">
        <f aca="false">'Reforecast Q1 2026'!K42</f>
        <v>-55</v>
      </c>
      <c r="AB66" s="113" t="str">
        <f aca="false">IF(Z66="","",Z66-AA66)</f>
        <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-495</v>
      </c>
      <c r="AM66" s="116" t="n">
        <f aca="false">SUM('Reforecast Q1 2026'!$C42:INDEX('Reforecast Q1 2026'!$C42:$N42,$B$27))</f>
        <v>-440</v>
      </c>
      <c r="AN66" s="116" t="n">
        <f aca="false">AL66-AM66</f>
        <v>-55</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str">
        <f aca="false">IF(OR(9&gt;$B$27,ISBLANK(Actuals!K43)),"",Actuals!K43)</f>
        <v/>
      </c>
      <c r="AA67" s="113" t="n">
        <f aca="false">'Reforecast Q1 2026'!K43</f>
        <v>0</v>
      </c>
      <c r="AB67" s="113" t="str">
        <f aca="false">IF(Z67="","",Z67-AA67)</f>
        <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str">
        <f aca="false">IF(OR(9&gt;$B$27,ISBLANK(Actuals!K44)),"",Actuals!K44)</f>
        <v/>
      </c>
      <c r="AA68" s="113" t="n">
        <f aca="false">'Reforecast Q1 2026'!K44</f>
        <v>-550</v>
      </c>
      <c r="AB68" s="113" t="str">
        <f aca="false">IF(Z68="","",Z68-AA68)</f>
        <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-5100</v>
      </c>
      <c r="AM68" s="116" t="n">
        <f aca="false">SUM('Reforecast Q1 2026'!$C44:INDEX('Reforecast Q1 2026'!$C44:$N44,$B$27))</f>
        <v>-4400</v>
      </c>
      <c r="AN68" s="116" t="n">
        <f aca="false">AL68-AM68</f>
        <v>-700</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str">
        <f aca="false">IF(OR(9&gt;$B$27,ISBLANK(Actuals!K45)),"",Actuals!K45)</f>
        <v/>
      </c>
      <c r="AA69" s="113" t="n">
        <f aca="false">'Reforecast Q1 2026'!K45</f>
        <v>-17638.14</v>
      </c>
      <c r="AB69" s="113" t="str">
        <f aca="false">IF(Z69="","",Z69-AA69)</f>
        <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-142176.05</v>
      </c>
      <c r="AM69" s="116" t="n">
        <f aca="false">SUM('Reforecast Q1 2026'!$C45:INDEX('Reforecast Q1 2026'!$C45:$N45,$B$27))</f>
        <v>-141105.11</v>
      </c>
      <c r="AN69" s="116" t="n">
        <f aca="false">AL69-AM69</f>
        <v>-1070.94</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str">
        <f aca="false">IF(OR(9&gt;$B$27,ISBLANK(Actuals!K46)),"",Actuals!K46)</f>
        <v/>
      </c>
      <c r="AA70" s="113" t="n">
        <f aca="false">'Reforecast Q1 2026'!K46</f>
        <v>-1422.33</v>
      </c>
      <c r="AB70" s="113" t="str">
        <f aca="false">IF(Z70="","",Z70-AA70)</f>
        <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-12749.75</v>
      </c>
      <c r="AM70" s="116" t="n">
        <f aca="false">SUM('Reforecast Q1 2026'!$C46:INDEX('Reforecast Q1 2026'!$C46:$N46,$B$27))</f>
        <v>-11378.65</v>
      </c>
      <c r="AN70" s="116" t="n">
        <f aca="false">AL70-AM70</f>
        <v>-1371.1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str">
        <f aca="false">IF(OR(9&gt;$B$27,ISBLANK(Actuals!K47)),"",Actuals!K47)</f>
        <v/>
      </c>
      <c r="AA71" s="113" t="n">
        <f aca="false">'Reforecast Q1 2026'!K47</f>
        <v>-160</v>
      </c>
      <c r="AB71" s="113" t="str">
        <f aca="false">IF(Z71="","",Z71-AA71)</f>
        <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-1280</v>
      </c>
      <c r="AM71" s="116" t="n">
        <f aca="false">SUM('Reforecast Q1 2026'!$C47:INDEX('Reforecast Q1 2026'!$C47:$N47,$B$27))</f>
        <v>-1280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str">
        <f aca="false">IF(OR(9&gt;$B$27,ISBLANK(Actuals!K48)),"",Actuals!K48)</f>
        <v/>
      </c>
      <c r="AA72" s="113" t="n">
        <f aca="false">'Reforecast Q1 2026'!K48</f>
        <v>-5000</v>
      </c>
      <c r="AB72" s="113" t="str">
        <f aca="false">IF(Z72="","",Z72-AA72)</f>
        <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-51891.9</v>
      </c>
      <c r="AN72" s="116" t="n">
        <f aca="false">AL72-AM72</f>
        <v>-50246.61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str">
        <f aca="false">IF(OR(9&gt;$B$27,ISBLANK(Actuals!K49)),"",Actuals!K49)</f>
        <v/>
      </c>
      <c r="AA73" s="113" t="n">
        <f aca="false">'Reforecast Q1 2026'!K49</f>
        <v>-417.6</v>
      </c>
      <c r="AB73" s="113" t="str">
        <f aca="false">IF(Z73="","",Z73-AA73)</f>
        <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-10464.33</v>
      </c>
      <c r="AM73" s="116" t="n">
        <f aca="false">SUM('Reforecast Q1 2026'!$C49:INDEX('Reforecast Q1 2026'!$C49:$N49,$B$27))</f>
        <v>-3340.81</v>
      </c>
      <c r="AN73" s="116" t="n">
        <f aca="false">AL73-AM73</f>
        <v>-7123.52</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str">
        <f aca="false">IF(OR(9&gt;$B$27,ISBLANK(Actuals!K50)),"",Actuals!K50)</f>
        <v/>
      </c>
      <c r="AA74" s="113" t="n">
        <f aca="false">'Reforecast Q1 2026'!K50</f>
        <v>-26.67</v>
      </c>
      <c r="AB74" s="113" t="str">
        <f aca="false">IF(Z74="","",Z74-AA74)</f>
        <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-135</v>
      </c>
      <c r="AM74" s="116" t="n">
        <f aca="false">SUM('Reforecast Q1 2026'!$C50:INDEX('Reforecast Q1 2026'!$C50:$N50,$B$27))</f>
        <v>-213.35</v>
      </c>
      <c r="AN74" s="116" t="n">
        <f aca="false">AL74-AM74</f>
        <v>78.35</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str">
        <f aca="false">IF(OR(9&gt;$B$27,ISBLANK(Actuals!K51)),"",Actuals!K51)</f>
        <v/>
      </c>
      <c r="AA75" s="113" t="n">
        <f aca="false">'Reforecast Q1 2026'!K51</f>
        <v>-21</v>
      </c>
      <c r="AB75" s="113" t="str">
        <f aca="false">IF(Z75="","",Z75-AA75)</f>
        <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-168</v>
      </c>
      <c r="AN75" s="116" t="n">
        <f aca="false">AL75-AM75</f>
        <v>105</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str">
        <f aca="false">IF(OR(9&gt;$B$27,ISBLANK(Actuals!K53)),"",Actuals!K53)</f>
        <v/>
      </c>
      <c r="AA77" s="113" t="n">
        <f aca="false">'Reforecast Q1 2026'!K53</f>
        <v>-3701.78</v>
      </c>
      <c r="AB77" s="113" t="str">
        <f aca="false">IF(Z77="","",Z77-AA77)</f>
        <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-29614.25</v>
      </c>
      <c r="AN77" s="116" t="n">
        <f aca="false">AL77-AM77</f>
        <v>18508.9</v>
      </c>
    </row>
    <row r="78" customFormat="false" ht="15" hidden="true" customHeight="true" outlineLevel="1" collapsed="false">
      <c r="A78" s="109" t="s">
        <v>355</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str">
        <f aca="false">IF(OR(9&gt;$B$27,ISBLANK(Actuals!K54)),"",Actuals!K54)</f>
        <v/>
      </c>
      <c r="AA78" s="113" t="n">
        <f aca="false">'Reforecast Q1 2026'!K54</f>
        <v>0</v>
      </c>
      <c r="AB78" s="113" t="str">
        <f aca="false">IF(Z78="","",Z78-AA78)</f>
        <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-3832.5</v>
      </c>
      <c r="AM78" s="116" t="n">
        <f aca="false">SUM('Reforecast Q1 2026'!$C54:INDEX('Reforecast Q1 2026'!$C54:$N54,$B$27))</f>
        <v>0</v>
      </c>
      <c r="AN78" s="116" t="n">
        <f aca="false">AL78-AM78</f>
        <v>-3832.5</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str">
        <f aca="false">IF(OR(9&gt;$B$27,ISBLANK(Actuals!K55)),"",Actuals!K55)</f>
        <v/>
      </c>
      <c r="AA79" s="116" t="n">
        <f aca="false">'Reforecast Q1 2026'!K55</f>
        <v>-460868.641666666</v>
      </c>
      <c r="AB79" s="116" t="str">
        <f aca="false">IF(Z79="","",Z79-AA79)</f>
        <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-2414322.82</v>
      </c>
      <c r="AM79" s="116" t="n">
        <f aca="false">SUM('Reforecast Q1 2026'!$C55:INDEX('Reforecast Q1 2026'!$C55:$N55,$B$27))</f>
        <v>-3158500.84166667</v>
      </c>
      <c r="AN79" s="116" t="n">
        <f aca="false">AL79-AM79</f>
        <v>744178.021666665</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str">
        <f aca="false">IF(OR(9&gt;$B$27,ISBLANK(Actuals!K57)),"",Actuals!K57)</f>
        <v/>
      </c>
      <c r="AA81" s="117" t="n">
        <f aca="false">'Reforecast Q1 2026'!K57</f>
        <v>171828.547987913</v>
      </c>
      <c r="AB81" s="117" t="str">
        <f aca="false">IF(Z81="","",Z81-AA81)</f>
        <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2229248.77</v>
      </c>
      <c r="AM81" s="117" t="n">
        <f aca="false">SUM('Reforecast Q1 2026'!$C57:INDEX('Reforecast Q1 2026'!$C57:$N57,$B$27))</f>
        <v>602042.801205283</v>
      </c>
      <c r="AN81" s="117" t="n">
        <f aca="false">AL81-AM81</f>
        <v>1627205.96879472</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str">
        <f aca="false">IF(OR(9&gt;$B$27,ISBLANK(Actuals!K58)),"",Actuals!K58)</f>
        <v/>
      </c>
      <c r="AA82" s="113" t="n">
        <f aca="false">'Reforecast Q1 2026'!K58</f>
        <v>0.0287072206647552</v>
      </c>
      <c r="AB82" s="113" t="str">
        <f aca="false">IF(Z82="","",Z82-AA82)</f>
        <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0.351890500117112</v>
      </c>
      <c r="AM82" s="116" t="n">
        <f aca="false">SUM('Reforecast Q1 2026'!$C58:INDEX('Reforecast Q1 2026'!$C58:$N58,$B$27))</f>
        <v>0.0870206987004943</v>
      </c>
      <c r="AN82" s="116" t="n">
        <f aca="false">AL82-AM82</f>
        <v>0.264869801416618</v>
      </c>
    </row>
    <row r="86" customFormat="false" ht="15" hidden="false" customHeight="true" outlineLevel="0" collapsed="false">
      <c r="A86" s="112" t="s">
        <v>433</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str">
        <f aca="false">IF(OR(9&gt;$B$27,ISBLANK(Actuals!K63)),"",Actuals!K63)</f>
        <v/>
      </c>
      <c r="AA87" s="113" t="n">
        <f aca="false">'Reforecast Q1 2026'!K63</f>
        <v>0</v>
      </c>
      <c r="AB87" s="113" t="str">
        <f aca="false">IF(Z87="","",Z87-AA87)</f>
        <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str">
        <f aca="false">IF(OR(9&gt;$B$27,ISBLANK(Actuals!K64)),"",Actuals!K64)</f>
        <v/>
      </c>
      <c r="AA88" s="113" t="n">
        <f aca="false">'Reforecast Q1 2026'!K64</f>
        <v>0</v>
      </c>
      <c r="AB88" s="113" t="str">
        <f aca="false">IF(Z88="","",Z88-AA88)</f>
        <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6666.64</v>
      </c>
      <c r="AM88" s="116" t="n">
        <f aca="false">SUM('Reforecast Q1 2026'!$C64:INDEX('Reforecast Q1 2026'!$C64:$N64,$B$27))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str">
        <f aca="false">IF(OR(9&gt;$B$27,ISBLANK(Actuals!K65)),"",Actuals!K65)</f>
        <v/>
      </c>
      <c r="AA89" s="113" t="n">
        <f aca="false">'Reforecast Q1 2026'!K65</f>
        <v>23906.25</v>
      </c>
      <c r="AB89" s="113" t="str">
        <f aca="false">IF(Z89="","",Z89-AA89)</f>
        <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191250</v>
      </c>
      <c r="AM89" s="116" t="n">
        <f aca="false">SUM('Reforecast Q1 2026'!$C65:INDEX('Reforecast Q1 2026'!$C65:$N65,$B$27))</f>
        <v>191250</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str">
        <f aca="false">IF(OR(9&gt;$B$27,ISBLANK(Actuals!K69)),"",Actuals!K69)</f>
        <v/>
      </c>
      <c r="AA93" s="113" t="n">
        <f aca="false">'Reforecast Q1 2026'!K69</f>
        <v>9375</v>
      </c>
      <c r="AB93" s="113" t="str">
        <f aca="false">IF(Z93="","",Z93-AA93)</f>
        <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75000</v>
      </c>
      <c r="AM93" s="116" t="n">
        <f aca="false">SUM('Reforecast Q1 2026'!$C69:INDEX('Reforecast Q1 2026'!$C69:$N69,$B$27))</f>
        <v>75000</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str">
        <f aca="false">IF(OR(9&gt;$B$27,ISBLANK(Actuals!K70)),"",Actuals!K70)</f>
        <v/>
      </c>
      <c r="AA94" s="113" t="n">
        <f aca="false">'Reforecast Q1 2026'!K70</f>
        <v>9500</v>
      </c>
      <c r="AB94" s="113" t="str">
        <f aca="false">IF(Z94="","",Z94-AA94)</f>
        <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63000</v>
      </c>
      <c r="AM94" s="116" t="n">
        <f aca="false">SUM('Reforecast Q1 2026'!$C70:INDEX('Reforecast Q1 2026'!$C70:$N70,$B$27))</f>
        <v>47500</v>
      </c>
      <c r="AN94" s="116" t="n">
        <f aca="false">AL94-AM94</f>
        <v>15500</v>
      </c>
    </row>
    <row r="95" customFormat="false" ht="15" hidden="true" customHeight="true" outlineLevel="1" collapsed="false">
      <c r="A95" s="109" t="s">
        <v>356</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357</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358</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359</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360</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str">
        <f aca="false">IF(OR(9&gt;$B$27,ISBLANK(Actuals!K81)),"",Actuals!K81)</f>
        <v/>
      </c>
      <c r="AA105" s="116" t="n">
        <f aca="false">'Reforecast Q1 2026'!K81</f>
        <v>42781.25</v>
      </c>
      <c r="AB105" s="116" t="str">
        <f aca="false">IF(Z105="","",Z105-AA105)</f>
        <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762430.64</v>
      </c>
      <c r="AM105" s="116" t="n">
        <f aca="false">SUM('Reforecast Q1 2026'!$C81:INDEX('Reforecast Q1 2026'!$C81:$N81,$B$27))</f>
        <v>320416.64</v>
      </c>
      <c r="AN105" s="116" t="n">
        <f aca="false">AL105-AM105</f>
        <v>442014</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str">
        <f aca="false">IF(OR(9&gt;$B$27,ISBLANK(Actuals!K83)),"",Actuals!K83)</f>
        <v/>
      </c>
      <c r="AA107" s="113" t="n">
        <f aca="false">'Reforecast Q1 2026'!K83</f>
        <v>-11458.3333333333</v>
      </c>
      <c r="AB107" s="113" t="str">
        <f aca="false">IF(Z107="","",Z107-AA107)</f>
        <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-433587.76</v>
      </c>
      <c r="AM107" s="116" t="n">
        <f aca="false">SUM('Reforecast Q1 2026'!$C83:INDEX('Reforecast Q1 2026'!$C83:$N83,$B$27))</f>
        <v>-220046.026666667</v>
      </c>
      <c r="AN107" s="116" t="n">
        <f aca="false">AL107-AM107</f>
        <v>-213541.733333334</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str">
        <f aca="false">IF(OR(9&gt;$B$27,ISBLANK(Actuals!K84)),"",Actuals!K84)</f>
        <v/>
      </c>
      <c r="AA108" s="113" t="n">
        <f aca="false">'Reforecast Q1 2026'!K84</f>
        <v>-802.083333333334</v>
      </c>
      <c r="AB108" s="113" t="str">
        <f aca="false">IF(Z108="","",Z108-AA108)</f>
        <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-34457.6</v>
      </c>
      <c r="AM108" s="116" t="n">
        <f aca="false">SUM('Reforecast Q1 2026'!$C84:INDEX('Reforecast Q1 2026'!$C84:$N84,$B$27))</f>
        <v>-17738.1766666667</v>
      </c>
      <c r="AN108" s="116" t="n">
        <f aca="false">AL108-AM108</f>
        <v>-16719.4233333333</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str">
        <f aca="false">IF(OR(9&gt;$B$27,ISBLANK(Actuals!K85)),"",Actuals!K85)</f>
        <v/>
      </c>
      <c r="AA109" s="113" t="n">
        <f aca="false">'Reforecast Q1 2026'!K85</f>
        <v>-572.916666666667</v>
      </c>
      <c r="AB109" s="113" t="str">
        <f aca="false">IF(Z109="","",Z109-AA109)</f>
        <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-97102.23</v>
      </c>
      <c r="AM109" s="116" t="n">
        <f aca="false">SUM('Reforecast Q1 2026'!$C85:INDEX('Reforecast Q1 2026'!$C85:$N85,$B$27))</f>
        <v>-39277.9133333333</v>
      </c>
      <c r="AN109" s="116" t="n">
        <f aca="false">AL109-AM109</f>
        <v>-57824.3166666667</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str">
        <f aca="false">IF(OR(9&gt;$B$27,ISBLANK(Actuals!K86)),"",Actuals!K86)</f>
        <v/>
      </c>
      <c r="AA110" s="113" t="n">
        <f aca="false">'Reforecast Q1 2026'!K86</f>
        <v>-229.166666666667</v>
      </c>
      <c r="AB110" s="113" t="str">
        <f aca="false">IF(Z110="","",Z110-AA110)</f>
        <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-3806.08</v>
      </c>
      <c r="AM110" s="116" t="n">
        <f aca="false">SUM('Reforecast Q1 2026'!$C86:INDEX('Reforecast Q1 2026'!$C86:$N86,$B$27))</f>
        <v>-2573.11333333334</v>
      </c>
      <c r="AN110" s="116" t="n">
        <f aca="false">AL110-AM110</f>
        <v>-1232.96666666666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str">
        <f aca="false">IF(OR(9&gt;$B$27,ISBLANK(Actuals!K87)),"",Actuals!K87)</f>
        <v/>
      </c>
      <c r="AA111" s="113" t="n">
        <f aca="false">'Reforecast Q1 2026'!K87</f>
        <v>-57.2916666666667</v>
      </c>
      <c r="AB111" s="113" t="str">
        <f aca="false">IF(Z111="","",Z111-AA111)</f>
        <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-17600.96</v>
      </c>
      <c r="AM111" s="116" t="n">
        <f aca="false">SUM('Reforecast Q1 2026'!$C87:INDEX('Reforecast Q1 2026'!$C87:$N87,$B$27))</f>
        <v>-6886.81833333333</v>
      </c>
      <c r="AN111" s="116" t="n">
        <f aca="false">AL111-AM111</f>
        <v>-10714.1416666667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str">
        <f aca="false">IF(OR(9&gt;$B$27,ISBLANK(Actuals!K88)),"",Actuals!K88)</f>
        <v/>
      </c>
      <c r="AA112" s="113" t="n">
        <f aca="false">'Reforecast Q1 2026'!K88</f>
        <v>-8500</v>
      </c>
      <c r="AB112" s="113" t="str">
        <f aca="false">IF(Z112="","",Z112-AA112)</f>
        <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-65387.08</v>
      </c>
      <c r="AM112" s="116" t="n">
        <f aca="false">SUM('Reforecast Q1 2026'!$C88:INDEX('Reforecast Q1 2026'!$C88:$N88,$B$27))</f>
        <v>-63942.19</v>
      </c>
      <c r="AN112" s="116" t="n">
        <f aca="false">AL112-AM112</f>
        <v>-1444.89</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str">
        <f aca="false">IF(OR(9&gt;$B$27,ISBLANK(Actuals!K89)),"",Actuals!K89)</f>
        <v/>
      </c>
      <c r="AA113" s="113" t="n">
        <f aca="false">'Reforecast Q1 2026'!K89</f>
        <v>-583.8</v>
      </c>
      <c r="AB113" s="113" t="str">
        <f aca="false">IF(Z113="","",Z113-AA113)</f>
        <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-2757.68</v>
      </c>
      <c r="AM113" s="116" t="n">
        <f aca="false">SUM('Reforecast Q1 2026'!$C89:INDEX('Reforecast Q1 2026'!$C89:$N89,$B$27))</f>
        <v>-4670.41</v>
      </c>
      <c r="AN113" s="116" t="n">
        <f aca="false">AL113-AM113</f>
        <v>1912.73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str">
        <f aca="false">IF(OR(9&gt;$B$27,ISBLANK(Actuals!K90)),"",Actuals!K90)</f>
        <v/>
      </c>
      <c r="AA114" s="113" t="n">
        <f aca="false">'Reforecast Q1 2026'!K90</f>
        <v>-1497.86</v>
      </c>
      <c r="AB114" s="113" t="str">
        <f aca="false">IF(Z114="","",Z114-AA114)</f>
        <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-21601.24</v>
      </c>
      <c r="AM114" s="116" t="n">
        <f aca="false">SUM('Reforecast Q1 2026'!$C90:INDEX('Reforecast Q1 2026'!$C90:$N90,$B$27))</f>
        <v>-11982.88</v>
      </c>
      <c r="AN114" s="116" t="n">
        <f aca="false">AL114-AM114</f>
        <v>-9618.36</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str">
        <f aca="false">IF(OR(9&gt;$B$27,ISBLANK(Actuals!K91)),"",Actuals!K91)</f>
        <v/>
      </c>
      <c r="AA115" s="113" t="n">
        <f aca="false">'Reforecast Q1 2026'!K91</f>
        <v>-290</v>
      </c>
      <c r="AB115" s="113" t="str">
        <f aca="false">IF(Z115="","",Z115-AA115)</f>
        <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-2320</v>
      </c>
      <c r="AN115" s="116" t="n">
        <f aca="false">AL115-AM115</f>
        <v>1450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str">
        <f aca="false">IF(OR(9&gt;$B$27,ISBLANK(Actuals!K92)),"",Actuals!K92)</f>
        <v/>
      </c>
      <c r="AA116" s="113" t="n">
        <f aca="false">'Reforecast Q1 2026'!K92</f>
        <v>-245</v>
      </c>
      <c r="AB116" s="113" t="str">
        <f aca="false">IF(Z116="","",Z116-AA116)</f>
        <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-1715</v>
      </c>
      <c r="AM116" s="116" t="n">
        <f aca="false">SUM('Reforecast Q1 2026'!$C92:INDEX('Reforecast Q1 2026'!$C92:$N92,$B$27))</f>
        <v>-1960</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str">
        <f aca="false">IF(OR(9&gt;$B$27,ISBLANK(Actuals!K93)),"",Actuals!K93)</f>
        <v/>
      </c>
      <c r="AA117" s="113" t="n">
        <f aca="false">'Reforecast Q1 2026'!K93</f>
        <v>-1179.5</v>
      </c>
      <c r="AB117" s="113" t="str">
        <f aca="false">IF(Z117="","",Z117-AA117)</f>
        <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-11230.51</v>
      </c>
      <c r="AM117" s="116" t="n">
        <f aca="false">SUM('Reforecast Q1 2026'!$C93:INDEX('Reforecast Q1 2026'!$C93:$N93,$B$27))</f>
        <v>-9435.99</v>
      </c>
      <c r="AN117" s="116" t="n">
        <f aca="false">AL117-AM117</f>
        <v>-1794.52</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str">
        <f aca="false">IF(OR(9&gt;$B$27,ISBLANK(Actuals!K94)),"",Actuals!K94)</f>
        <v/>
      </c>
      <c r="AA118" s="113" t="n">
        <f aca="false">'Reforecast Q1 2026'!K94</f>
        <v>-366.3</v>
      </c>
      <c r="AB118" s="113" t="str">
        <f aca="false">IF(Z118="","",Z118-AA118)</f>
        <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-2693.27</v>
      </c>
      <c r="AM118" s="116" t="n">
        <f aca="false">SUM('Reforecast Q1 2026'!$C94:INDEX('Reforecast Q1 2026'!$C94:$N94,$B$27))</f>
        <v>-2930.4</v>
      </c>
      <c r="AN118" s="116" t="n">
        <f aca="false">AL118-AM118</f>
        <v>237.13</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str">
        <f aca="false">IF(OR(9&gt;$B$27,ISBLANK(Actuals!K95)),"",Actuals!K95)</f>
        <v/>
      </c>
      <c r="AA119" s="113" t="n">
        <f aca="false">'Reforecast Q1 2026'!K95</f>
        <v>-50.07</v>
      </c>
      <c r="AB119" s="113" t="str">
        <f aca="false">IF(Z119="","",Z119-AA119)</f>
        <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-1162.56</v>
      </c>
      <c r="AM119" s="116" t="n">
        <f aca="false">SUM('Reforecast Q1 2026'!$C95:INDEX('Reforecast Q1 2026'!$C95:$N95,$B$27))</f>
        <v>-400.56</v>
      </c>
      <c r="AN119" s="116" t="n">
        <f aca="false">AL119-AM119</f>
        <v>-762</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str">
        <f aca="false">IF(OR(9&gt;$B$27,ISBLANK(Actuals!K96)),"",Actuals!K96)</f>
        <v/>
      </c>
      <c r="AA120" s="113" t="n">
        <f aca="false">'Reforecast Q1 2026'!K96</f>
        <v>-896.43</v>
      </c>
      <c r="AB120" s="113" t="str">
        <f aca="false">IF(Z120="","",Z120-AA120)</f>
        <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-7679.88</v>
      </c>
      <c r="AM120" s="116" t="n">
        <f aca="false">SUM('Reforecast Q1 2026'!$C96:INDEX('Reforecast Q1 2026'!$C96:$N96,$B$27))</f>
        <v>-7171.45</v>
      </c>
      <c r="AN120" s="116" t="n">
        <f aca="false">AL120-AM120</f>
        <v>-508.43</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str">
        <f aca="false">IF(OR(9&gt;$B$27,ISBLANK(Actuals!K97)),"",Actuals!K97)</f>
        <v/>
      </c>
      <c r="AA121" s="113" t="n">
        <f aca="false">'Reforecast Q1 2026'!K97</f>
        <v>-2000</v>
      </c>
      <c r="AB121" s="113" t="str">
        <f aca="false">IF(Z121="","",Z121-AA121)</f>
        <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-48050.5</v>
      </c>
      <c r="AN121" s="116" t="n">
        <f aca="false">AL121-AM121</f>
        <v>4183.5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str">
        <f aca="false">IF(OR(9&gt;$B$27,ISBLANK(Actuals!K98)),"",Actuals!K98)</f>
        <v/>
      </c>
      <c r="AA122" s="113" t="n">
        <f aca="false">'Reforecast Q1 2026'!K98</f>
        <v>-2675.39</v>
      </c>
      <c r="AB122" s="113" t="str">
        <f aca="false">IF(Z122="","",Z122-AA122)</f>
        <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-22427.18</v>
      </c>
      <c r="AM122" s="116" t="n">
        <f aca="false">SUM('Reforecast Q1 2026'!$C98:INDEX('Reforecast Q1 2026'!$C98:$N98,$B$27))</f>
        <v>-21403.13</v>
      </c>
      <c r="AN122" s="116" t="n">
        <f aca="false">AL122-AM122</f>
        <v>-1024.05</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str">
        <f aca="false">IF(OR(9&gt;$B$27,ISBLANK(Actuals!K99)),"",Actuals!K99)</f>
        <v/>
      </c>
      <c r="AA123" s="113" t="n">
        <f aca="false">'Reforecast Q1 2026'!K99</f>
        <v>-8625</v>
      </c>
      <c r="AB123" s="113" t="str">
        <f aca="false">IF(Z123="","",Z123-AA123)</f>
        <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-267718.5</v>
      </c>
      <c r="AM123" s="116" t="n">
        <f aca="false">SUM('Reforecast Q1 2026'!$C99:INDEX('Reforecast Q1 2026'!$C99:$N99,$B$27))</f>
        <v>-128633.5</v>
      </c>
      <c r="AN123" s="116" t="n">
        <f aca="false">AL123-AM123</f>
        <v>-139085</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str">
        <f aca="false">IF(OR(9&gt;$B$27,ISBLANK(Actuals!K100)),"",Actuals!K100)</f>
        <v/>
      </c>
      <c r="AA124" s="113" t="n">
        <f aca="false">'Reforecast Q1 2026'!K100</f>
        <v>-1586.17</v>
      </c>
      <c r="AB124" s="113" t="str">
        <f aca="false">IF(Z124="","",Z124-AA124)</f>
        <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-16222.09</v>
      </c>
      <c r="AM124" s="116" t="n">
        <f aca="false">SUM('Reforecast Q1 2026'!$C100:INDEX('Reforecast Q1 2026'!$C100:$N100,$B$27))</f>
        <v>-12689.35</v>
      </c>
      <c r="AN124" s="116" t="n">
        <f aca="false">AL124-AM124</f>
        <v>-3532.74</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str">
        <f aca="false">IF(OR(9&gt;$B$27,ISBLANK(Actuals!K101)),"",Actuals!K101)</f>
        <v/>
      </c>
      <c r="AA125" s="113" t="n">
        <f aca="false">'Reforecast Q1 2026'!K101</f>
        <v>-5442.19</v>
      </c>
      <c r="AB125" s="113" t="str">
        <f aca="false">IF(Z125="","",Z125-AA125)</f>
        <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-24332.68</v>
      </c>
      <c r="AM125" s="116" t="n">
        <f aca="false">SUM('Reforecast Q1 2026'!$C101:INDEX('Reforecast Q1 2026'!$C101:$N101,$B$27))</f>
        <v>-43537.53</v>
      </c>
      <c r="AN125" s="116" t="n">
        <f aca="false">AL125-AM125</f>
        <v>19204.85</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str">
        <f aca="false">IF(OR(9&gt;$B$27,ISBLANK(Actuals!K102)),"",Actuals!K102)</f>
        <v/>
      </c>
      <c r="AA126" s="113" t="n">
        <f aca="false">'Reforecast Q1 2026'!K102</f>
        <v>-1905.31</v>
      </c>
      <c r="AB126" s="113" t="str">
        <f aca="false">IF(Z126="","",Z126-AA126)</f>
        <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-15242.48</v>
      </c>
      <c r="AM126" s="116" t="n">
        <f aca="false">SUM('Reforecast Q1 2026'!$C102:INDEX('Reforecast Q1 2026'!$C102:$N102,$B$27))</f>
        <v>-15242.48</v>
      </c>
      <c r="AN126" s="116" t="n">
        <f aca="false">AL126-AM126</f>
        <v>0</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str">
        <f aca="false">IF(OR(9&gt;$B$27,ISBLANK(Actuals!K103)),"",Actuals!K103)</f>
        <v/>
      </c>
      <c r="AA127" s="113" t="n">
        <f aca="false">'Reforecast Q1 2026'!K103</f>
        <v>-2100</v>
      </c>
      <c r="AB127" s="113" t="str">
        <f aca="false">IF(Z127="","",Z127-AA127)</f>
        <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-16800</v>
      </c>
      <c r="AM127" s="116" t="n">
        <f aca="false">SUM('Reforecast Q1 2026'!$C103:INDEX('Reforecast Q1 2026'!$C103:$N103,$B$27))</f>
        <v>-16800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str">
        <f aca="false">IF(OR(9&gt;$B$27,ISBLANK(Actuals!K104)),"",Actuals!K104)</f>
        <v/>
      </c>
      <c r="AA128" s="113" t="n">
        <f aca="false">'Reforecast Q1 2026'!K104</f>
        <v>-25000</v>
      </c>
      <c r="AB128" s="113" t="str">
        <f aca="false">IF(Z128="","",Z128-AA128)</f>
        <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-533333.28</v>
      </c>
      <c r="AM128" s="116" t="n">
        <f aca="false">SUM('Reforecast Q1 2026'!$C104:INDEX('Reforecast Q1 2026'!$C104:$N104,$B$27))</f>
        <v>-324999.98</v>
      </c>
      <c r="AN128" s="116" t="n">
        <f aca="false">AL128-AM128</f>
        <v>-208333.3</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str">
        <f aca="false">IF(OR(9&gt;$B$27,ISBLANK(Actuals!K105)),"",Actuals!K105)</f>
        <v/>
      </c>
      <c r="AA129" s="113" t="n">
        <f aca="false">'Reforecast Q1 2026'!K105</f>
        <v>-1580.65</v>
      </c>
      <c r="AB129" s="113" t="str">
        <f aca="false">IF(Z129="","",Z129-AA129)</f>
        <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-26782.56</v>
      </c>
      <c r="AM129" s="116" t="n">
        <f aca="false">SUM('Reforecast Q1 2026'!$C105:INDEX('Reforecast Q1 2026'!$C105:$N105,$B$27))</f>
        <v>-12645.21</v>
      </c>
      <c r="AN129" s="116" t="n">
        <f aca="false">AL129-AM129</f>
        <v>-14137.35</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str">
        <f aca="false">IF(OR(9&gt;$B$27,ISBLANK(Actuals!K106)),"",Actuals!K106)</f>
        <v/>
      </c>
      <c r="AA130" s="113" t="n">
        <f aca="false">'Reforecast Q1 2026'!K106</f>
        <v>-446.63</v>
      </c>
      <c r="AB130" s="113" t="str">
        <f aca="false">IF(Z130="","",Z130-AA130)</f>
        <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-4536.36</v>
      </c>
      <c r="AM130" s="116" t="n">
        <f aca="false">SUM('Reforecast Q1 2026'!$C106:INDEX('Reforecast Q1 2026'!$C106:$N106,$B$27))</f>
        <v>-3573.03</v>
      </c>
      <c r="AN130" s="116" t="n">
        <f aca="false">AL130-AM130</f>
        <v>-963.33</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str">
        <f aca="false">IF(OR(9&gt;$B$27,ISBLANK(Actuals!K112)),"",Actuals!K112)</f>
        <v/>
      </c>
      <c r="AA136" s="116" t="n">
        <f aca="false">'Reforecast Q1 2026'!K112</f>
        <v>-78090.0916666666</v>
      </c>
      <c r="AB136" s="116" t="str">
        <f aca="false">IF(Z136="","",Z136-AA136)</f>
        <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-1672913.98</v>
      </c>
      <c r="AM136" s="116" t="n">
        <f aca="false">SUM('Reforecast Q1 2026'!$C112:INDEX('Reforecast Q1 2026'!$C112:$N112,$B$27))</f>
        <v>-1018910.63833333</v>
      </c>
      <c r="AN136" s="116" t="n">
        <f aca="false">AL136-AM136</f>
        <v>-654003.341666667</v>
      </c>
    </row>
    <row r="137" customFormat="false" ht="15" hidden="false" customHeight="true" outlineLevel="0" collapsed="false">
      <c r="A137" s="109" t="s">
        <v>361</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str">
        <f aca="false">IF(OR(9&gt;$B$27,ISBLANK(Actuals!K113)),"",Actuals!K113)</f>
        <v/>
      </c>
      <c r="AA137" s="113" t="n">
        <f aca="false">'Reforecast Q1 2026'!K113</f>
        <v>0</v>
      </c>
      <c r="AB137" s="113" t="str">
        <f aca="false">IF(Z137="","",Z137-AA137)</f>
        <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51771.92</v>
      </c>
      <c r="AM137" s="116" t="n">
        <f aca="false">SUM('Reforecast Q1 2026'!$C113:INDEX('Reforecast Q1 2026'!$C113:$N113,$B$27))</f>
        <v>0</v>
      </c>
      <c r="AN137" s="116" t="n">
        <f aca="false">AL137-AM137</f>
        <v>51771.92</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str">
        <f aca="false">IF(OR(9&gt;$B$27,ISBLANK(Actuals!K114)),"",Actuals!K114)</f>
        <v/>
      </c>
      <c r="AA138" s="117" t="n">
        <f aca="false">'Reforecast Q1 2026'!K114</f>
        <v>-35308.8416666666</v>
      </c>
      <c r="AB138" s="117" t="str">
        <f aca="false">IF(Z138="","",Z138-AA138)</f>
        <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-858711.42</v>
      </c>
      <c r="AM138" s="117" t="n">
        <f aca="false">SUM('Reforecast Q1 2026'!$C114:INDEX('Reforecast Q1 2026'!$C114:$N114,$B$27))</f>
        <v>-698493.998333333</v>
      </c>
      <c r="AN138" s="117" t="n">
        <f aca="false">AL138-AM138</f>
        <v>-160217.421666667</v>
      </c>
    </row>
    <row r="140" customFormat="false" ht="15" hidden="false" customHeight="true" outlineLevel="0" collapsed="false">
      <c r="A140" s="112" t="s">
        <v>455</v>
      </c>
    </row>
    <row r="141" customFormat="false" ht="15" hidden="false" customHeight="true" outlineLevel="0" collapsed="false">
      <c r="A141" s="109" t="s">
        <v>456</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str">
        <f aca="false">IF(Z81="","",Z81+Z138)</f>
        <v/>
      </c>
      <c r="AA141" s="116" t="n">
        <f aca="false">AA81+AA138</f>
        <v>136519.706321246</v>
      </c>
      <c r="AB141" s="116" t="str">
        <f aca="false">IF(Z141="","",Z141-AA141)</f>
        <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1370537.35</v>
      </c>
      <c r="AM141" s="116" t="n">
        <f aca="false">AM81+AM138</f>
        <v>-96451.1971280497</v>
      </c>
      <c r="AN141" s="116" t="n">
        <f aca="false">AL141-AM141</f>
        <v>1466988.54712805</v>
      </c>
    </row>
    <row r="142" customFormat="false" ht="15" hidden="false" customHeight="true" outlineLevel="0" collapsed="false">
      <c r="A142" s="121" t="s">
        <v>458</v>
      </c>
      <c r="B142" s="113" t="n">
        <f aca="false">IF(B141="","",Model!B308-B141)</f>
        <v>0</v>
      </c>
      <c r="C142" s="113" t="s">
        <v>459</v>
      </c>
      <c r="D142" s="113" t="n">
        <f aca="false">IF(B142="","",B142-C142)</f>
        <v>0</v>
      </c>
      <c r="E142" s="113" t="n">
        <f aca="false">IF(E141="","",Model!C308-E141)</f>
        <v>0</v>
      </c>
      <c r="F142" s="113" t="s">
        <v>459</v>
      </c>
      <c r="G142" s="113" t="n">
        <f aca="false">IF(E142="","",E142-F142)</f>
        <v>0</v>
      </c>
      <c r="H142" s="113" t="n">
        <f aca="false">IF(H141="","",Model!D308-H141)</f>
        <v>-2.3283064365387E-010</v>
      </c>
      <c r="I142" s="113" t="s">
        <v>459</v>
      </c>
      <c r="J142" s="113" t="n">
        <f aca="false">IF(H142="","",H142-I142)</f>
        <v>-2.3283064365387E-010</v>
      </c>
      <c r="K142" s="113" t="n">
        <f aca="false">IF(K141="","",Model!E308-K141)</f>
        <v>0</v>
      </c>
      <c r="L142" s="113" t="s">
        <v>459</v>
      </c>
      <c r="M142" s="113" t="n">
        <f aca="false">IF(K142="","",K142-L142)</f>
        <v>0</v>
      </c>
      <c r="N142" s="113" t="n">
        <f aca="false">IF(N141="","",Model!F308-N141)</f>
        <v>0</v>
      </c>
      <c r="O142" s="113" t="s">
        <v>459</v>
      </c>
      <c r="P142" s="113" t="n">
        <f aca="false">IF(N142="","",N142-O142)</f>
        <v>0</v>
      </c>
      <c r="Q142" s="113" t="n">
        <f aca="false">IF(Q141="","",Model!G308-Q141)</f>
        <v>-299000.000000001</v>
      </c>
      <c r="R142" s="113" t="s">
        <v>459</v>
      </c>
      <c r="S142" s="113" t="n">
        <f aca="false">IF(Q142="","",Q142-R142)</f>
        <v>-299000.000000001</v>
      </c>
      <c r="T142" s="113" t="n">
        <f aca="false">IF(T141="","",Model!H308-T141)</f>
        <v>0</v>
      </c>
      <c r="U142" s="113" t="s">
        <v>459</v>
      </c>
      <c r="V142" s="113" t="n">
        <f aca="false">IF(T142="","",T142-U142)</f>
        <v>0</v>
      </c>
      <c r="W142" s="113" t="n">
        <f aca="false">IF(W141="","",Model!I308-W141)</f>
        <v>-692876.895125</v>
      </c>
      <c r="X142" s="113" t="s">
        <v>459</v>
      </c>
      <c r="Y142" s="113" t="n">
        <f aca="false">IF(W142="","",W142-X142)</f>
        <v>-692876.895125</v>
      </c>
      <c r="Z142" s="113" t="str">
        <f aca="false">IF(Z141="","",Model!J308-Z141)</f>
        <v/>
      </c>
      <c r="AA142" s="113" t="s">
        <v>459</v>
      </c>
      <c r="AB142" s="113" t="str">
        <f aca="false">IF(Z142="","",Z142-AA142)</f>
        <v/>
      </c>
      <c r="AC142" s="113" t="str">
        <f aca="false">IF(AC141="","",Model!K308-AC141)</f>
        <v/>
      </c>
      <c r="AD142" s="113" t="s">
        <v>459</v>
      </c>
      <c r="AE142" s="113" t="str">
        <f aca="false">IF(AC142="","",AC142-AD142)</f>
        <v/>
      </c>
      <c r="AF142" s="113" t="str">
        <f aca="false">IF(AF141="","",Model!L308-AF141)</f>
        <v/>
      </c>
      <c r="AG142" s="113" t="s">
        <v>459</v>
      </c>
      <c r="AH142" s="113" t="str">
        <f aca="false">IF(AF142="","",AF142-AG142)</f>
        <v/>
      </c>
      <c r="AI142" s="113" t="str">
        <f aca="false">IF(AI141="","",Model!M308-AI141)</f>
        <v/>
      </c>
      <c r="AJ142" s="113" t="s">
        <v>459</v>
      </c>
      <c r="AK142" s="113" t="str">
        <f aca="false">IF(AI142="","",AI142-AJ142)</f>
        <v/>
      </c>
      <c r="AL142" s="116" t="n">
        <f aca="false">SUM(Model!$B308:INDEX(Model!$B308:$M308,$B$27))-AL141</f>
        <v>-991876.895125001</v>
      </c>
      <c r="AM142" s="116" t="s">
        <v>459</v>
      </c>
      <c r="AN142" s="116" t="n">
        <f aca="false">AL142-AM142</f>
        <v>-991876.895125001</v>
      </c>
    </row>
    <row r="143" customFormat="false" ht="15" hidden="false" customHeight="true" outlineLevel="0" collapsed="false">
      <c r="A143" s="115" t="s">
        <v>461</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204071.03</v>
      </c>
      <c r="R143" s="117" t="n">
        <f aca="false">R141</f>
        <v>-59054.9204124062</v>
      </c>
      <c r="S143" s="117" t="n">
        <f aca="false">IF(Q143="","",Q143-R143)</f>
        <v>263125.950412406</v>
      </c>
      <c r="T143" s="117" t="n">
        <f aca="false">IF(T141="","",T141+T142)</f>
        <v>1326754.58</v>
      </c>
      <c r="U143" s="117" t="n">
        <f aca="false">U141</f>
        <v>444413.241121246</v>
      </c>
      <c r="V143" s="117" t="n">
        <f aca="false">IF(T143="","",T143-U143)</f>
        <v>882341.338878754</v>
      </c>
      <c r="W143" s="117" t="n">
        <f aca="false">IF(W141="","",W141+W142)</f>
        <v>-521091.365125</v>
      </c>
      <c r="X143" s="117" t="n">
        <f aca="false">X141</f>
        <v>137353.036321246</v>
      </c>
      <c r="Y143" s="117" t="n">
        <f aca="false">IF(W143="","",W143-X143)</f>
        <v>-658444.401446247</v>
      </c>
      <c r="Z143" s="117" t="str">
        <f aca="false">IF(Z141="","",Z141+Z142)</f>
        <v/>
      </c>
      <c r="AA143" s="117" t="n">
        <f aca="false">AA141</f>
        <v>136519.706321246</v>
      </c>
      <c r="AB143" s="117" t="str">
        <f aca="false">IF(Z143="","",Z143-AA143)</f>
        <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378660.454875001</v>
      </c>
      <c r="AM143" s="117" t="n">
        <f aca="false">AM141</f>
        <v>-96451.1971280497</v>
      </c>
      <c r="AN143" s="117"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493</v>
      </c>
    </row>
    <row r="2" customFormat="false" ht="15" hidden="false" customHeight="true" outlineLevel="0" collapsed="false">
      <c r="A2" s="72" t="s">
        <v>494</v>
      </c>
    </row>
    <row r="3" customFormat="false" ht="15" hidden="false" customHeight="true" outlineLevel="0" collapsed="false">
      <c r="A3" s="1" t="s">
        <v>397</v>
      </c>
      <c r="B3" s="1" t="n">
        <f aca="false">SUMPRODUCT(--(Actuals!$C$21:$N$21&lt;&gt;""))</f>
        <v>8</v>
      </c>
    </row>
    <row r="4" customFormat="false" ht="15" hidden="false" customHeight="true" outlineLevel="0" collapsed="false">
      <c r="B4" s="126" t="s">
        <v>495</v>
      </c>
      <c r="C4" s="126"/>
      <c r="D4" s="126"/>
      <c r="E4" s="126"/>
      <c r="F4" s="126" t="s">
        <v>496</v>
      </c>
      <c r="G4" s="126"/>
      <c r="H4" s="126"/>
      <c r="I4" s="126"/>
      <c r="J4" s="126" t="s">
        <v>497</v>
      </c>
      <c r="K4" s="126"/>
      <c r="L4" s="126"/>
      <c r="M4" s="126"/>
      <c r="N4" s="126" t="s">
        <v>498</v>
      </c>
      <c r="O4" s="126"/>
      <c r="P4" s="126"/>
      <c r="Q4" s="126"/>
      <c r="R4" s="126" t="s">
        <v>499</v>
      </c>
      <c r="S4" s="126"/>
      <c r="T4" s="126"/>
      <c r="U4" s="126"/>
      <c r="V4" s="126" t="s">
        <v>500</v>
      </c>
      <c r="W4" s="126"/>
      <c r="X4" s="126"/>
      <c r="Y4" s="126"/>
      <c r="Z4" s="126" t="s">
        <v>501</v>
      </c>
      <c r="AA4" s="126"/>
      <c r="AB4" s="126"/>
      <c r="AC4" s="126"/>
      <c r="AD4" s="126" t="s">
        <v>502</v>
      </c>
      <c r="AE4" s="126"/>
      <c r="AF4" s="126"/>
      <c r="AG4" s="126"/>
      <c r="AH4" s="126" t="s">
        <v>503</v>
      </c>
      <c r="AI4" s="126"/>
      <c r="AJ4" s="126"/>
      <c r="AK4" s="126"/>
      <c r="AL4" s="126" t="s">
        <v>504</v>
      </c>
      <c r="AM4" s="126"/>
      <c r="AN4" s="126"/>
      <c r="AO4" s="126"/>
      <c r="AP4" s="126" t="s">
        <v>505</v>
      </c>
      <c r="AQ4" s="126"/>
      <c r="AR4" s="126"/>
      <c r="AS4" s="126"/>
      <c r="AT4" s="126" t="s">
        <v>506</v>
      </c>
      <c r="AU4" s="126"/>
      <c r="AV4" s="126"/>
      <c r="AW4" s="126"/>
      <c r="AX4" s="127" t="s">
        <v>507</v>
      </c>
      <c r="AY4" s="127"/>
      <c r="AZ4" s="127"/>
    </row>
    <row r="5" customFormat="false" ht="15" hidden="false" customHeight="true" outlineLevel="0" collapsed="false">
      <c r="A5" s="128" t="s">
        <v>399</v>
      </c>
      <c r="B5" s="128" t="s">
        <v>401</v>
      </c>
      <c r="C5" s="128" t="s">
        <v>400</v>
      </c>
      <c r="D5" s="128" t="s">
        <v>508</v>
      </c>
      <c r="E5" s="128" t="s">
        <v>509</v>
      </c>
      <c r="F5" s="128" t="s">
        <v>401</v>
      </c>
      <c r="G5" s="128" t="s">
        <v>400</v>
      </c>
      <c r="H5" s="128" t="s">
        <v>508</v>
      </c>
      <c r="I5" s="128" t="s">
        <v>509</v>
      </c>
      <c r="J5" s="128" t="s">
        <v>401</v>
      </c>
      <c r="K5" s="128" t="s">
        <v>400</v>
      </c>
      <c r="L5" s="128" t="s">
        <v>508</v>
      </c>
      <c r="M5" s="128" t="s">
        <v>509</v>
      </c>
      <c r="N5" s="128" t="s">
        <v>401</v>
      </c>
      <c r="O5" s="128" t="s">
        <v>400</v>
      </c>
      <c r="P5" s="128" t="s">
        <v>508</v>
      </c>
      <c r="Q5" s="128" t="s">
        <v>509</v>
      </c>
      <c r="R5" s="128" t="s">
        <v>401</v>
      </c>
      <c r="S5" s="128" t="s">
        <v>400</v>
      </c>
      <c r="T5" s="128" t="s">
        <v>508</v>
      </c>
      <c r="U5" s="128" t="s">
        <v>509</v>
      </c>
      <c r="V5" s="128" t="s">
        <v>401</v>
      </c>
      <c r="W5" s="128" t="s">
        <v>400</v>
      </c>
      <c r="X5" s="128" t="s">
        <v>508</v>
      </c>
      <c r="Y5" s="128" t="s">
        <v>509</v>
      </c>
      <c r="Z5" s="128" t="s">
        <v>401</v>
      </c>
      <c r="AA5" s="128" t="s">
        <v>400</v>
      </c>
      <c r="AB5" s="128" t="s">
        <v>508</v>
      </c>
      <c r="AC5" s="128" t="s">
        <v>509</v>
      </c>
      <c r="AD5" s="128" t="s">
        <v>401</v>
      </c>
      <c r="AE5" s="128" t="s">
        <v>400</v>
      </c>
      <c r="AF5" s="128" t="s">
        <v>508</v>
      </c>
      <c r="AG5" s="128" t="s">
        <v>509</v>
      </c>
      <c r="AH5" s="128" t="s">
        <v>401</v>
      </c>
      <c r="AI5" s="128" t="s">
        <v>400</v>
      </c>
      <c r="AJ5" s="128" t="s">
        <v>508</v>
      </c>
      <c r="AK5" s="128" t="s">
        <v>509</v>
      </c>
      <c r="AL5" s="128" t="s">
        <v>401</v>
      </c>
      <c r="AM5" s="128" t="s">
        <v>400</v>
      </c>
      <c r="AN5" s="128" t="s">
        <v>508</v>
      </c>
      <c r="AO5" s="128" t="s">
        <v>509</v>
      </c>
      <c r="AP5" s="128" t="s">
        <v>401</v>
      </c>
      <c r="AQ5" s="128" t="s">
        <v>400</v>
      </c>
      <c r="AR5" s="128" t="s">
        <v>508</v>
      </c>
      <c r="AS5" s="128" t="s">
        <v>509</v>
      </c>
      <c r="AT5" s="128" t="s">
        <v>401</v>
      </c>
      <c r="AU5" s="128" t="s">
        <v>400</v>
      </c>
      <c r="AV5" s="128" t="s">
        <v>508</v>
      </c>
      <c r="AW5" s="128" t="s">
        <v>509</v>
      </c>
      <c r="AX5" s="129" t="s">
        <v>370</v>
      </c>
      <c r="AY5" s="129" t="s">
        <v>371</v>
      </c>
      <c r="AZ5" s="129" t="s">
        <v>510</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str">
        <f aca="false">IF(OR(9&gt;$B$3,ISBLANK(Actuals!K8)),"",Actuals!K8)</f>
        <v/>
      </c>
      <c r="AJ6" s="132" t="str">
        <f aca="false">IF(OR(9&gt;$B$3,ISBLANK(Actuals!K8)),"",Budget!K8-Actuals!K8)</f>
        <v/>
      </c>
      <c r="AK6" s="132" t="str">
        <f aca="false">IFERROR(IF(OR(9&gt;$B$3,ISBLANK(Actuals!K8)),"",(Budget!K8-Actuals!K8)/ABS(Budget!K8)),"")</f>
        <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1931573.96</v>
      </c>
      <c r="AY6" s="133" t="n">
        <f aca="false">SUM(Actuals!C8:N8)</f>
        <v>2144890.99</v>
      </c>
      <c r="AZ6" s="134" t="n">
        <f aca="false">AX6-AY6</f>
        <v>-213317.03</v>
      </c>
    </row>
    <row r="7" customFormat="false" ht="15" hidden="false" customHeight="true" outlineLevel="0" collapsed="false">
      <c r="A7" s="130" t="s">
        <v>350</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str">
        <f aca="false">IF(OR(9&gt;$B$3,ISBLANK(Actuals!K9)),"",Actuals!K9)</f>
        <v/>
      </c>
      <c r="AJ7" s="132" t="str">
        <f aca="false">IF(OR(9&gt;$B$3,ISBLANK(Actuals!K9)),"",Budget!K9-Actuals!K9)</f>
        <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str">
        <f aca="false">IF(OR(9&gt;$B$3,ISBLANK(Actuals!K10)),"",Actuals!K10)</f>
        <v/>
      </c>
      <c r="AJ8" s="132" t="str">
        <f aca="false">IF(OR(9&gt;$B$3,ISBLANK(Actuals!K10)),"",Budget!K10-Actuals!K10)</f>
        <v/>
      </c>
      <c r="AK8" s="132" t="str">
        <f aca="false">IFERROR(IF(OR(9&gt;$B$3,ISBLANK(Actuals!K10)),"",(Budget!K10-Actuals!K10)/ABS(Budget!K10)),"")</f>
        <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1639029.52</v>
      </c>
      <c r="AY8" s="133" t="n">
        <f aca="false">SUM(Actuals!C10:N10)</f>
        <v>1550004.06</v>
      </c>
      <c r="AZ8" s="134" t="n">
        <f aca="false">AX8-AY8</f>
        <v>89025.46</v>
      </c>
    </row>
    <row r="9" customFormat="false" ht="15" hidden="false" customHeight="true" outlineLevel="0" collapsed="false">
      <c r="A9" s="130" t="s">
        <v>351</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str">
        <f aca="false">IF(OR(9&gt;$B$3,ISBLANK(Actuals!K11)),"",Actuals!K11)</f>
        <v/>
      </c>
      <c r="AJ9" s="132" t="str">
        <f aca="false">IF(OR(9&gt;$B$3,ISBLANK(Actuals!K11)),"",Budget!K11-Actuals!K11)</f>
        <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str">
        <f aca="false">IF(OR(9&gt;$B$3,ISBLANK(Actuals!K12)),"",Actuals!K12)</f>
        <v/>
      </c>
      <c r="AJ10" s="132" t="str">
        <f aca="false">IF(OR(9&gt;$B$3,ISBLANK(Actuals!K12)),"",Budget!K12-Actuals!K12)</f>
        <v/>
      </c>
      <c r="AK10" s="132" t="str">
        <f aca="false">IFERROR(IF(OR(9&gt;$B$3,ISBLANK(Actuals!K12)),"",(Budget!K12-Actuals!K12)/ABS(Budget!K12)),"")</f>
        <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31530634.64</v>
      </c>
      <c r="AY10" s="133" t="n">
        <f aca="false">SUM(Actuals!C12:N12)</f>
        <v>30904644.63</v>
      </c>
      <c r="AZ10" s="134" t="n">
        <f aca="false">AX10-AY10</f>
        <v>625990.010000002</v>
      </c>
    </row>
    <row r="11" customFormat="false" ht="15" hidden="false" customHeight="true" outlineLevel="0" collapsed="false">
      <c r="A11" s="130" t="s">
        <v>352</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str">
        <f aca="false">IF(OR(9&gt;$B$3,ISBLANK(Actuals!K14)),"",Actuals!K14)</f>
        <v/>
      </c>
      <c r="AJ11" s="132" t="str">
        <f aca="false">IF(OR(9&gt;$B$3,ISBLANK(Actuals!K14)),"",Budget!K14-Actuals!K14)</f>
        <v/>
      </c>
      <c r="AK11" s="132" t="str">
        <f aca="false">IFERROR(IF(OR(9&gt;$B$3,ISBLANK(Actuals!K14)),"",(Budget!K14-Actuals!K14)/ABS(Budget!K14)),"")</f>
        <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-31530634.64</v>
      </c>
      <c r="AY11" s="133" t="n">
        <f aca="false">SUM(Actuals!C14:N14)</f>
        <v>-29955968.09</v>
      </c>
      <c r="AZ11" s="134" t="n">
        <f aca="false">AX11-AY11</f>
        <v>-1574666.55</v>
      </c>
    </row>
    <row r="12" customFormat="false" ht="15" hidden="false" customHeight="true" outlineLevel="0" collapsed="false">
      <c r="A12" s="130" t="s">
        <v>409</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str">
        <f aca="false">IF(OR(9&gt;$B$3,ISBLANK(Actuals!K15)),"",Actuals!K15)</f>
        <v/>
      </c>
      <c r="AJ12" s="132" t="str">
        <f aca="false">IF(OR(9&gt;$B$3,ISBLANK(Actuals!K15)),"",Budget!K15-Actuals!K15)</f>
        <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411</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str">
        <f aca="false">IF(OR(9&gt;$B$3,ISBLANK(Actuals!K16)),"",Actuals!K16)</f>
        <v/>
      </c>
      <c r="AJ13" s="132" t="str">
        <f aca="false">IF(OR(9&gt;$B$3,ISBLANK(Actuals!K16)),"",Budget!K16-Actuals!K16)</f>
        <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str">
        <f aca="false">IF(OR(9&gt;$B$3,ISBLANK(Actuals!K17)),"",Actuals!K17)</f>
        <v/>
      </c>
      <c r="AJ14" s="132" t="str">
        <f aca="false">IF(OR(9&gt;$B$3,ISBLANK(Actuals!K17)),"",Budget!K17-Actuals!K17)</f>
        <v/>
      </c>
      <c r="AK14" s="132" t="str">
        <f aca="false">IFERROR(IF(OR(9&gt;$B$3,ISBLANK(Actuals!K17)),"",(Budget!K17-Actuals!K17)/ABS(Budget!K17)),"")</f>
        <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4643571.59</v>
      </c>
      <c r="AZ14" s="134" t="n">
        <f aca="false">AX14-AY14</f>
        <v>1178720.36</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str">
        <f aca="false">IF(OR(9&gt;$B$3,ISBLANK(Actuals!K21)),"",Actuals!K21)</f>
        <v/>
      </c>
      <c r="AJ15" s="132" t="str">
        <f aca="false">IF(OR(9&gt;$B$3,ISBLANK(Actuals!K21)),"",Budget!K21-Actuals!K21)</f>
        <v/>
      </c>
      <c r="AK15" s="132" t="str">
        <f aca="false">IFERROR(IF(OR(9&gt;$B$3,ISBLANK(Actuals!K21)),"",(Budget!K21-Actuals!K21)/ABS(Budget!K21)),"")</f>
        <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-1410000.08</v>
      </c>
      <c r="AY15" s="133" t="n">
        <f aca="false">SUM(Actuals!C21:N21)</f>
        <v>-1589842.61</v>
      </c>
      <c r="AZ15" s="134" t="n">
        <f aca="false">AX15-AY15</f>
        <v>179842.53</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str">
        <f aca="false">IF(OR(9&gt;$B$3,ISBLANK(Actuals!K22)),"",Actuals!K22)</f>
        <v/>
      </c>
      <c r="AJ16" s="132" t="str">
        <f aca="false">IF(OR(9&gt;$B$3,ISBLANK(Actuals!K22)),"",Budget!K22-Actuals!K22)</f>
        <v/>
      </c>
      <c r="AK16" s="132" t="str">
        <f aca="false">IFERROR(IF(OR(9&gt;$B$3,ISBLANK(Actuals!K22)),"",(Budget!K22-Actuals!K22)/ABS(Budget!K22)),"")</f>
        <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-211500</v>
      </c>
      <c r="AY16" s="133" t="n">
        <f aca="false">SUM(Actuals!C22:N22)</f>
        <v>-121169.78</v>
      </c>
      <c r="AZ16" s="134" t="n">
        <f aca="false">AX16-AY16</f>
        <v>-90330.22</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str">
        <f aca="false">IF(OR(9&gt;$B$3,ISBLANK(Actuals!K23)),"",Actuals!K23)</f>
        <v/>
      </c>
      <c r="AJ17" s="132" t="str">
        <f aca="false">IF(OR(9&gt;$B$3,ISBLANK(Actuals!K23)),"",Budget!K23-Actuals!K23)</f>
        <v/>
      </c>
      <c r="AK17" s="132" t="str">
        <f aca="false">IFERROR(IF(OR(9&gt;$B$3,ISBLANK(Actuals!K23)),"",(Budget!K23-Actuals!K23)/ABS(Budget!K23)),"")</f>
        <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-293416.65</v>
      </c>
      <c r="AY17" s="133" t="n">
        <f aca="false">SUM(Actuals!C23:N23)</f>
        <v>0</v>
      </c>
      <c r="AZ17" s="134" t="n">
        <f aca="false">AX17-AY17</f>
        <v>-293416.65</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str">
        <f aca="false">IF(OR(9&gt;$B$3,ISBLANK(Actuals!K24)),"",Actuals!K24)</f>
        <v/>
      </c>
      <c r="AJ18" s="132" t="str">
        <f aca="false">IF(OR(9&gt;$B$3,ISBLANK(Actuals!K24)),"",Budget!K24-Actuals!K24)</f>
        <v/>
      </c>
      <c r="AK18" s="132" t="str">
        <f aca="false">IFERROR(IF(OR(9&gt;$B$3,ISBLANK(Actuals!K24)),"",(Budget!K24-Actuals!K24)/ABS(Budget!K24)),"")</f>
        <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-200573.6</v>
      </c>
      <c r="AY18" s="133" t="n">
        <f aca="false">SUM(Actuals!C24:N24)</f>
        <v>-51941.66</v>
      </c>
      <c r="AZ18" s="134" t="n">
        <f aca="false">AX18-AY18</f>
        <v>-148631.94</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str">
        <f aca="false">IF(OR(9&gt;$B$3,ISBLANK(Actuals!K25)),"",Actuals!K25)</f>
        <v/>
      </c>
      <c r="AJ19" s="132" t="str">
        <f aca="false">IF(OR(9&gt;$B$3,ISBLANK(Actuals!K25)),"",Budget!K25-Actuals!K25)</f>
        <v/>
      </c>
      <c r="AK19" s="132" t="str">
        <f aca="false">IFERROR(IF(OR(9&gt;$B$3,ISBLANK(Actuals!K25)),"",(Budget!K25-Actuals!K25)/ABS(Budget!K25)),"")</f>
        <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-13851.28</v>
      </c>
      <c r="AY19" s="133" t="n">
        <f aca="false">SUM(Actuals!C25:N25)</f>
        <v>-4697.68</v>
      </c>
      <c r="AZ19" s="134" t="n">
        <f aca="false">AX19-AY19</f>
        <v>-9153.6</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str">
        <f aca="false">IF(OR(9&gt;$B$3,ISBLANK(Actuals!K26)),"",Actuals!K26)</f>
        <v/>
      </c>
      <c r="AJ20" s="132" t="str">
        <f aca="false">IF(OR(9&gt;$B$3,ISBLANK(Actuals!K26)),"",Budget!K26-Actuals!K26)</f>
        <v/>
      </c>
      <c r="AK20" s="132" t="str">
        <f aca="false">IFERROR(IF(OR(9&gt;$B$3,ISBLANK(Actuals!K26)),"",(Budget!K26-Actuals!K26)/ABS(Budget!K26)),"")</f>
        <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-8064</v>
      </c>
      <c r="AY20" s="133" t="n">
        <f aca="false">SUM(Actuals!C26:N26)</f>
        <v>-395</v>
      </c>
      <c r="AZ20" s="134" t="n">
        <f aca="false">AX20-AY20</f>
        <v>-7669</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str">
        <f aca="false">IF(OR(9&gt;$B$3,ISBLANK(Actuals!K27)),"",Actuals!K27)</f>
        <v/>
      </c>
      <c r="AJ21" s="132" t="str">
        <f aca="false">IF(OR(9&gt;$B$3,ISBLANK(Actuals!K27)),"",Budget!K27-Actuals!K27)</f>
        <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-249668.9</v>
      </c>
      <c r="AZ21" s="134" t="n">
        <f aca="false">AX21-AY21</f>
        <v>249668.9</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str">
        <f aca="false">IF(OR(9&gt;$B$3,ISBLANK(Actuals!K28)),"",Actuals!K28)</f>
        <v/>
      </c>
      <c r="AJ22" s="132" t="str">
        <f aca="false">IF(OR(9&gt;$B$3,ISBLANK(Actuals!K28)),"",Budget!K28-Actuals!K28)</f>
        <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str">
        <f aca="false">IF(OR(9&gt;$B$3,ISBLANK(Actuals!K29)),"",Actuals!K29)</f>
        <v/>
      </c>
      <c r="AJ23" s="132" t="str">
        <f aca="false">IF(OR(9&gt;$B$3,ISBLANK(Actuals!K29)),"",Budget!K29-Actuals!K29)</f>
        <v/>
      </c>
      <c r="AK23" s="132" t="str">
        <f aca="false">IFERROR(IF(OR(9&gt;$B$3,ISBLANK(Actuals!K29)),"",(Budget!K29-Actuals!K29)/ABS(Budget!K29)),"")</f>
        <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-80400</v>
      </c>
      <c r="AY23" s="133" t="n">
        <f aca="false">SUM(Actuals!C29:N29)</f>
        <v>-113215</v>
      </c>
      <c r="AZ23" s="134" t="n">
        <f aca="false">AX23-AY23</f>
        <v>32815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str">
        <f aca="false">IF(OR(9&gt;$B$3,ISBLANK(Actuals!K30)),"",Actuals!K30)</f>
        <v/>
      </c>
      <c r="AJ24" s="132" t="str">
        <f aca="false">IF(OR(9&gt;$B$3,ISBLANK(Actuals!K30)),"",Budget!K30-Actuals!K30)</f>
        <v/>
      </c>
      <c r="AK24" s="132" t="str">
        <f aca="false">IFERROR(IF(OR(9&gt;$B$3,ISBLANK(Actuals!K30)),"",(Budget!K30-Actuals!K30)/ABS(Budget!K30)),"")</f>
        <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-22512</v>
      </c>
      <c r="AY24" s="133" t="n">
        <f aca="false">SUM(Actuals!C30:N30)</f>
        <v>-43960.49</v>
      </c>
      <c r="AZ24" s="134" t="n">
        <f aca="false">AX24-AY24</f>
        <v>21448.49</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str">
        <f aca="false">IF(OR(9&gt;$B$3,ISBLANK(Actuals!K31)),"",Actuals!K31)</f>
        <v/>
      </c>
      <c r="AJ25" s="132" t="str">
        <f aca="false">IF(OR(9&gt;$B$3,ISBLANK(Actuals!K31)),"",Budget!K31-Actuals!K31)</f>
        <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-5044.33</v>
      </c>
      <c r="AZ25" s="134" t="n">
        <f aca="false">AX25-AY25</f>
        <v>5044.33</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str">
        <f aca="false">IF(OR(9&gt;$B$3,ISBLANK(Actuals!K32)),"",Actuals!K32)</f>
        <v/>
      </c>
      <c r="AJ26" s="132" t="str">
        <f aca="false">IF(OR(9&gt;$B$3,ISBLANK(Actuals!K32)),"",Budget!K32-Actuals!K32)</f>
        <v/>
      </c>
      <c r="AK26" s="132" t="str">
        <f aca="false">IFERROR(IF(OR(9&gt;$B$3,ISBLANK(Actuals!K32)),"",(Budget!K32-Actuals!K32)/ABS(Budget!K32)),"")</f>
        <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-26532</v>
      </c>
      <c r="AY26" s="133" t="n">
        <f aca="false">SUM(Actuals!C32:N32)</f>
        <v>-168</v>
      </c>
      <c r="AZ26" s="134" t="n">
        <f aca="false">AX26-AY26</f>
        <v>-26364</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str">
        <f aca="false">IF(OR(9&gt;$B$3,ISBLANK(Actuals!K33)),"",Actuals!K33)</f>
        <v/>
      </c>
      <c r="AJ27" s="132" t="str">
        <f aca="false">IF(OR(9&gt;$B$3,ISBLANK(Actuals!K33)),"",Budget!K33-Actuals!K33)</f>
        <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-49598.64</v>
      </c>
      <c r="AZ27" s="134" t="n">
        <f aca="false">AX27-AY27</f>
        <v>49598.64</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str">
        <f aca="false">IF(OR(9&gt;$B$3,ISBLANK(Actuals!K34)),"",Actuals!K34)</f>
        <v/>
      </c>
      <c r="AJ28" s="132" t="str">
        <f aca="false">IF(OR(9&gt;$B$3,ISBLANK(Actuals!K34)),"",Budget!K34-Actuals!K34)</f>
        <v/>
      </c>
      <c r="AK28" s="132" t="str">
        <f aca="false">IFERROR(IF(OR(9&gt;$B$3,ISBLANK(Actuals!K34)),"",(Budget!K34-Actuals!K34)/ABS(Budget!K34)),"")</f>
        <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-2412</v>
      </c>
      <c r="AY28" s="133" t="n">
        <f aca="false">SUM(Actuals!C34:N34)</f>
        <v>-4703.2</v>
      </c>
      <c r="AZ28" s="134" t="n">
        <f aca="false">AX28-AY28</f>
        <v>2291.2</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str">
        <f aca="false">IF(OR(9&gt;$B$3,ISBLANK(Actuals!K35)),"",Actuals!K35)</f>
        <v/>
      </c>
      <c r="AJ29" s="132" t="str">
        <f aca="false">IF(OR(9&gt;$B$3,ISBLANK(Actuals!K35)),"",Budget!K35-Actuals!K35)</f>
        <v/>
      </c>
      <c r="AK29" s="132" t="str">
        <f aca="false">IFERROR(IF(OR(9&gt;$B$3,ISBLANK(Actuals!K35)),"",(Budget!K35-Actuals!K35)/ABS(Budget!K35)),"")</f>
        <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-12060</v>
      </c>
      <c r="AY29" s="133" t="n">
        <f aca="false">SUM(Actuals!C35:N35)</f>
        <v>-7475.9</v>
      </c>
      <c r="AZ29" s="134" t="n">
        <f aca="false">AX29-AY29</f>
        <v>-4584.1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str">
        <f aca="false">IF(OR(9&gt;$B$3,ISBLANK(Actuals!K36)),"",Actuals!K36)</f>
        <v/>
      </c>
      <c r="AJ30" s="132" t="str">
        <f aca="false">IF(OR(9&gt;$B$3,ISBLANK(Actuals!K36)),"",Budget!K36-Actuals!K36)</f>
        <v/>
      </c>
      <c r="AK30" s="132" t="str">
        <f aca="false">IFERROR(IF(OR(9&gt;$B$3,ISBLANK(Actuals!K36)),"",(Budget!K36-Actuals!K36)/ABS(Budget!K36)),"")</f>
        <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-8040</v>
      </c>
      <c r="AY30" s="133" t="n">
        <f aca="false">SUM(Actuals!C36:N36)</f>
        <v>-5372.5</v>
      </c>
      <c r="AZ30" s="134" t="n">
        <f aca="false">AX30-AY30</f>
        <v>-2667.5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str">
        <f aca="false">IF(OR(9&gt;$B$3,ISBLANK(Actuals!K37)),"",Actuals!K37)</f>
        <v/>
      </c>
      <c r="AJ31" s="132" t="str">
        <f aca="false">IF(OR(9&gt;$B$3,ISBLANK(Actuals!K37)),"",Budget!K37-Actuals!K37)</f>
        <v/>
      </c>
      <c r="AK31" s="132" t="str">
        <f aca="false">IFERROR(IF(OR(9&gt;$B$3,ISBLANK(Actuals!K37)),"",(Budget!K37-Actuals!K37)/ABS(Budget!K37)),"")</f>
        <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-8040</v>
      </c>
      <c r="AY31" s="133" t="n">
        <f aca="false">SUM(Actuals!C37:N37)</f>
        <v>-59876</v>
      </c>
      <c r="AZ31" s="134" t="n">
        <f aca="false">AX31-AY31</f>
        <v>51836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str">
        <f aca="false">IF(OR(9&gt;$B$3,ISBLANK(Actuals!K38)),"",Actuals!K38)</f>
        <v/>
      </c>
      <c r="AJ32" s="132" t="str">
        <f aca="false">IF(OR(9&gt;$B$3,ISBLANK(Actuals!K38)),"",Budget!K38-Actuals!K38)</f>
        <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-750.4</v>
      </c>
      <c r="AZ32" s="134" t="n">
        <f aca="false">AX32-AY32</f>
        <v>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str">
        <f aca="false">IF(OR(9&gt;$B$3,ISBLANK(Actuals!K39)),"",Actuals!K39)</f>
        <v/>
      </c>
      <c r="AJ33" s="132" t="str">
        <f aca="false">IF(OR(9&gt;$B$3,ISBLANK(Actuals!K39)),"",Budget!K39-Actuals!K39)</f>
        <v/>
      </c>
      <c r="AK33" s="132" t="str">
        <f aca="false">IFERROR(IF(OR(9&gt;$B$3,ISBLANK(Actuals!K39)),"",(Budget!K39-Actuals!K39)/ABS(Budget!K39)),"")</f>
        <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-13400.02</v>
      </c>
      <c r="AY33" s="133" t="n">
        <f aca="false">SUM(Actuals!C39:N39)</f>
        <v>-19660.37</v>
      </c>
      <c r="AZ33" s="134" t="n">
        <f aca="false">AX33-AY33</f>
        <v>6260.35</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str">
        <f aca="false">IF(OR(9&gt;$B$3,ISBLANK(Actuals!K40)),"",Actuals!K40)</f>
        <v/>
      </c>
      <c r="AJ34" s="132" t="str">
        <f aca="false">IF(OR(9&gt;$B$3,ISBLANK(Actuals!K40)),"",Budget!K40-Actuals!K40)</f>
        <v/>
      </c>
      <c r="AK34" s="132" t="str">
        <f aca="false">IFERROR(IF(OR(9&gt;$B$3,ISBLANK(Actuals!K40)),"",(Budget!K40-Actuals!K40)/ABS(Budget!K40)),"")</f>
        <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-8040</v>
      </c>
      <c r="AY34" s="133" t="n">
        <f aca="false">SUM(Actuals!C40:N40)</f>
        <v>-18859.3</v>
      </c>
      <c r="AZ34" s="134" t="n">
        <f aca="false">AX34-AY34</f>
        <v>10819.3</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str">
        <f aca="false">IF(OR(9&gt;$B$3,ISBLANK(Actuals!K41)),"",Actuals!K41)</f>
        <v/>
      </c>
      <c r="AJ35" s="132" t="str">
        <f aca="false">IF(OR(9&gt;$B$3,ISBLANK(Actuals!K41)),"",Budget!K41-Actuals!K41)</f>
        <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str">
        <f aca="false">IF(OR(9&gt;$B$3,ISBLANK(Actuals!K42)),"",Actuals!K42)</f>
        <v/>
      </c>
      <c r="AJ36" s="132" t="str">
        <f aca="false">IF(OR(9&gt;$B$3,ISBLANK(Actuals!K42)),"",Budget!K42-Actuals!K42)</f>
        <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-495</v>
      </c>
      <c r="AZ36" s="134" t="n">
        <f aca="false">AX36-AY36</f>
        <v>495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str">
        <f aca="false">IF(OR(9&gt;$B$3,ISBLANK(Actuals!K43)),"",Actuals!K43)</f>
        <v/>
      </c>
      <c r="AJ37" s="132" t="str">
        <f aca="false">IF(OR(9&gt;$B$3,ISBLANK(Actuals!K43)),"",Budget!K43-Actuals!K43)</f>
        <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str">
        <f aca="false">IF(OR(9&gt;$B$3,ISBLANK(Actuals!K44)),"",Actuals!K44)</f>
        <v/>
      </c>
      <c r="AJ38" s="132" t="str">
        <f aca="false">IF(OR(9&gt;$B$3,ISBLANK(Actuals!K44)),"",Budget!K44-Actuals!K44)</f>
        <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-5100</v>
      </c>
      <c r="AZ38" s="134" t="n">
        <f aca="false">AX38-AY38</f>
        <v>5100</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str">
        <f aca="false">IF(OR(9&gt;$B$3,ISBLANK(Actuals!K45)),"",Actuals!K45)</f>
        <v/>
      </c>
      <c r="AJ39" s="132" t="str">
        <f aca="false">IF(OR(9&gt;$B$3,ISBLANK(Actuals!K45)),"",Budget!K45-Actuals!K45)</f>
        <v/>
      </c>
      <c r="AK39" s="132" t="str">
        <f aca="false">IFERROR(IF(OR(9&gt;$B$3,ISBLANK(Actuals!K45)),"",(Budget!K45-Actuals!K45)/ABS(Budget!K45)),"")</f>
        <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-33500.02</v>
      </c>
      <c r="AY39" s="133" t="n">
        <f aca="false">SUM(Actuals!C45:N45)</f>
        <v>-142176.05</v>
      </c>
      <c r="AZ39" s="134" t="n">
        <f aca="false">AX39-AY39</f>
        <v>108676.03</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str">
        <f aca="false">IF(OR(9&gt;$B$3,ISBLANK(Actuals!K46)),"",Actuals!K46)</f>
        <v/>
      </c>
      <c r="AJ40" s="132" t="str">
        <f aca="false">IF(OR(9&gt;$B$3,ISBLANK(Actuals!K46)),"",Budget!K46-Actuals!K46)</f>
        <v/>
      </c>
      <c r="AK40" s="132" t="str">
        <f aca="false">IFERROR(IF(OR(9&gt;$B$3,ISBLANK(Actuals!K46)),"",(Budget!K46-Actuals!K46)/ABS(Budget!K46)),"")</f>
        <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-8040</v>
      </c>
      <c r="AY40" s="133" t="n">
        <f aca="false">SUM(Actuals!C46:N46)</f>
        <v>-12749.75</v>
      </c>
      <c r="AZ40" s="134" t="n">
        <f aca="false">AX40-AY40</f>
        <v>4709.75</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str">
        <f aca="false">IF(OR(9&gt;$B$3,ISBLANK(Actuals!K47)),"",Actuals!K47)</f>
        <v/>
      </c>
      <c r="AJ41" s="132" t="str">
        <f aca="false">IF(OR(9&gt;$B$3,ISBLANK(Actuals!K47)),"",Budget!K47-Actuals!K47)</f>
        <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-1280</v>
      </c>
      <c r="AZ41" s="134" t="n">
        <f aca="false">AX41-AY41</f>
        <v>1280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str">
        <f aca="false">IF(OR(9&gt;$B$3,ISBLANK(Actuals!K48)),"",Actuals!K48)</f>
        <v/>
      </c>
      <c r="AJ42" s="132" t="str">
        <f aca="false">IF(OR(9&gt;$B$3,ISBLANK(Actuals!K48)),"",Budget!K48-Actuals!K48)</f>
        <v/>
      </c>
      <c r="AK42" s="132" t="str">
        <f aca="false">IFERROR(IF(OR(9&gt;$B$3,ISBLANK(Actuals!K48)),"",(Budget!K48-Actuals!K48)/ABS(Budget!K48)),"")</f>
        <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-33500.02</v>
      </c>
      <c r="AY42" s="133" t="n">
        <f aca="false">SUM(Actuals!C48:N48)</f>
        <v>-102138.51</v>
      </c>
      <c r="AZ42" s="134" t="n">
        <f aca="false">AX42-AY42</f>
        <v>68638.49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str">
        <f aca="false">IF(OR(9&gt;$B$3,ISBLANK(Actuals!K49)),"",Actuals!K49)</f>
        <v/>
      </c>
      <c r="AJ43" s="132" t="str">
        <f aca="false">IF(OR(9&gt;$B$3,ISBLANK(Actuals!K49)),"",Budget!K49-Actuals!K49)</f>
        <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-10464.33</v>
      </c>
      <c r="AZ43" s="134" t="n">
        <f aca="false">AX43-AY43</f>
        <v>10464.33</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str">
        <f aca="false">IF(OR(9&gt;$B$3,ISBLANK(Actuals!K50)),"",Actuals!K50)</f>
        <v/>
      </c>
      <c r="AJ44" s="132" t="str">
        <f aca="false">IF(OR(9&gt;$B$3,ISBLANK(Actuals!K50)),"",Budget!K50-Actuals!K50)</f>
        <v/>
      </c>
      <c r="AK44" s="132" t="str">
        <f aca="false">IFERROR(IF(OR(9&gt;$B$3,ISBLANK(Actuals!K50)),"",(Budget!K50-Actuals!K50)/ABS(Budget!K50)),"")</f>
        <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-1340.02</v>
      </c>
      <c r="AY44" s="133" t="n">
        <f aca="false">SUM(Actuals!C50:N50)</f>
        <v>-135</v>
      </c>
      <c r="AZ44" s="134" t="n">
        <f aca="false">AX44-AY44</f>
        <v>-1205.02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str">
        <f aca="false">IF(OR(9&gt;$B$3,ISBLANK(Actuals!K51)),"",Actuals!K51)</f>
        <v/>
      </c>
      <c r="AJ45" s="132" t="str">
        <f aca="false">IF(OR(9&gt;$B$3,ISBLANK(Actuals!K51)),"",Budget!K51-Actuals!K51)</f>
        <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511</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str">
        <f aca="false">IF(OR(9&gt;$B$3,ISBLANK(Actuals!K53)),"",Actuals!K53)</f>
        <v/>
      </c>
      <c r="AJ47" s="132" t="str">
        <f aca="false">IF(OR(9&gt;$B$3,ISBLANK(Actuals!K53)),"",Budget!K53-Actuals!K53)</f>
        <v/>
      </c>
      <c r="AK47" s="132" t="str">
        <f aca="false">IFERROR(IF(OR(9&gt;$B$3,ISBLANK(Actuals!K53)),"",(Budget!K53-Actuals!K53)/ABS(Budget!K53)),"")</f>
        <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-3350.02</v>
      </c>
      <c r="AY47" s="133" t="n">
        <f aca="false">SUM(Actuals!C53:N53)</f>
        <v>-11105.35</v>
      </c>
      <c r="AZ47" s="134" t="n">
        <f aca="false">AX47-AY47</f>
        <v>7755.33</v>
      </c>
    </row>
    <row r="48" customFormat="false" ht="15" hidden="false" customHeight="true" outlineLevel="0" collapsed="false">
      <c r="A48" s="130" t="s">
        <v>512</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str">
        <f aca="false">IF(OR(9&gt;$B$3,ISBLANK(Actuals!K54)),"",Actuals!K54)</f>
        <v/>
      </c>
      <c r="AJ48" s="132" t="str">
        <f aca="false">IF(OR(9&gt;$B$3,ISBLANK(Actuals!K54)),"",Budget!K54-Actuals!K54)</f>
        <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-3832.5</v>
      </c>
      <c r="AZ48" s="134" t="n">
        <f aca="false">AX48-AY48</f>
        <v>3832.5</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str">
        <f aca="false">IF(OR(9&gt;$B$3,ISBLANK(Actuals!K64)),"",Actuals!K64)</f>
        <v/>
      </c>
      <c r="AJ49" s="132" t="str">
        <f aca="false">IF(OR(9&gt;$B$3,ISBLANK(Actuals!K64)),"",Budget!K64-Actuals!K64)</f>
        <v/>
      </c>
      <c r="AK49" s="132" t="str">
        <f aca="false">IFERROR(IF(OR(9&gt;$B$3,ISBLANK(Actuals!K64)),"",(Budget!K64-Actuals!K64)/ABS(Budget!K64)),"")</f>
        <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6666.64</v>
      </c>
      <c r="AY49" s="133" t="n">
        <f aca="false">SUM(Actuals!C64:N64)</f>
        <v>6666.64</v>
      </c>
      <c r="AZ49" s="134" t="n">
        <f aca="false">AX49-AY49</f>
        <v>0</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str">
        <f aca="false">IF(OR(9&gt;$B$3,ISBLANK(Actuals!K65)),"",Actuals!K65)</f>
        <v/>
      </c>
      <c r="AJ50" s="132" t="str">
        <f aca="false">IF(OR(9&gt;$B$3,ISBLANK(Actuals!K65)),"",Budget!K65-Actuals!K65)</f>
        <v/>
      </c>
      <c r="AK50" s="132" t="str">
        <f aca="false">IFERROR(IF(OR(9&gt;$B$3,ISBLANK(Actuals!K65)),"",(Budget!K65-Actuals!K65)/ABS(Budget!K65)),"")</f>
        <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292307.68</v>
      </c>
      <c r="AY50" s="133" t="n">
        <f aca="false">SUM(Actuals!C65:N65)</f>
        <v>191250</v>
      </c>
      <c r="AZ50" s="134" t="n">
        <f aca="false">AX50-AY50</f>
        <v>101057.68</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str">
        <f aca="false">IF(OR(9&gt;$B$3,ISBLANK(Actuals!K69)),"",Actuals!K69)</f>
        <v/>
      </c>
      <c r="AJ54" s="132" t="str">
        <f aca="false">IF(OR(9&gt;$B$3,ISBLANK(Actuals!K69)),"",Budget!K69-Actuals!K69)</f>
        <v/>
      </c>
      <c r="AK54" s="132" t="str">
        <f aca="false">IFERROR(IF(OR(9&gt;$B$3,ISBLANK(Actuals!K69)),"",(Budget!K69-Actuals!K69)/ABS(Budget!K69)),"")</f>
        <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81818.16</v>
      </c>
      <c r="AY54" s="133" t="n">
        <f aca="false">SUM(Actuals!C69:N69)</f>
        <v>75000</v>
      </c>
      <c r="AZ54" s="134" t="n">
        <f aca="false">AX54-AY54</f>
        <v>6818.16</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str">
        <f aca="false">IF(OR(9&gt;$B$3,ISBLANK(Actuals!K70)),"",Actuals!K70)</f>
        <v/>
      </c>
      <c r="AJ55" s="132" t="str">
        <f aca="false">IF(OR(9&gt;$B$3,ISBLANK(Actuals!K70)),"",Budget!K70-Actuals!K70)</f>
        <v/>
      </c>
      <c r="AK55" s="132" t="str">
        <f aca="false">IFERROR(IF(OR(9&gt;$B$3,ISBLANK(Actuals!K70)),"",(Budget!K70-Actuals!K70)/ABS(Budget!K70)),"")</f>
        <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23750</v>
      </c>
      <c r="AY55" s="133" t="n">
        <f aca="false">SUM(Actuals!C70:N70)</f>
        <v>63000</v>
      </c>
      <c r="AZ55" s="134" t="n">
        <f aca="false">AX55-AY55</f>
        <v>-39250</v>
      </c>
    </row>
    <row r="56" customFormat="false" ht="15" hidden="false" customHeight="true" outlineLevel="0" collapsed="false">
      <c r="A56" s="130" t="s">
        <v>356</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357</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358</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359</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360</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str">
        <f aca="false">IF(OR(9&gt;$B$3,ISBLANK(Actuals!K63)),"",Actuals!K63)</f>
        <v/>
      </c>
      <c r="AJ66" s="132" t="str">
        <f aca="false">IF(OR(9&gt;$B$3,ISBLANK(Actuals!K63)),"",Budget!K63-Actuals!K63)</f>
        <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298974.32</v>
      </c>
      <c r="AY66" s="133" t="n">
        <f aca="false">SUM(Actuals!C63:N66)</f>
        <v>496916.64</v>
      </c>
      <c r="AZ66" s="134" t="n">
        <f aca="false">AX66-AY66</f>
        <v>-197942.32</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str">
        <f aca="false">IF(OR(9&gt;$B$3,ISBLANK(Actuals!K83)),"",Actuals!K83)</f>
        <v/>
      </c>
      <c r="AJ67" s="132" t="str">
        <f aca="false">IF(OR(9&gt;$B$3,ISBLANK(Actuals!K83)),"",Budget!K83-Actuals!K83)</f>
        <v/>
      </c>
      <c r="AK67" s="132" t="str">
        <f aca="false">IFERROR(IF(OR(9&gt;$B$3,ISBLANK(Actuals!K83)),"",(Budget!K83-Actuals!K83)/ABS(Budget!K83)),"")</f>
        <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-719519.22</v>
      </c>
      <c r="AY67" s="133" t="n">
        <f aca="false">SUM(Actuals!C83:N83)</f>
        <v>-433587.76</v>
      </c>
      <c r="AZ67" s="134" t="n">
        <f aca="false">AX67-AY67</f>
        <v>-285931.46</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str">
        <f aca="false">IF(OR(9&gt;$B$3,ISBLANK(Actuals!K84)),"",Actuals!K84)</f>
        <v/>
      </c>
      <c r="AJ68" s="132" t="str">
        <f aca="false">IF(OR(9&gt;$B$3,ISBLANK(Actuals!K84)),"",Budget!K84-Actuals!K84)</f>
        <v/>
      </c>
      <c r="AK68" s="132" t="str">
        <f aca="false">IFERROR(IF(OR(9&gt;$B$3,ISBLANK(Actuals!K84)),"",(Budget!K84-Actuals!K84)/ABS(Budget!K84)),"")</f>
        <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-65000</v>
      </c>
      <c r="AY68" s="133" t="n">
        <f aca="false">SUM(Actuals!C84:N84)</f>
        <v>-34457.6</v>
      </c>
      <c r="AZ68" s="134" t="n">
        <f aca="false">AX68-AY68</f>
        <v>-30542.4</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str">
        <f aca="false">IF(OR(9&gt;$B$3,ISBLANK(Actuals!K85)),"",Actuals!K85)</f>
        <v/>
      </c>
      <c r="AJ69" s="132" t="str">
        <f aca="false">IF(OR(9&gt;$B$3,ISBLANK(Actuals!K85)),"",Budget!K85-Actuals!K85)</f>
        <v/>
      </c>
      <c r="AK69" s="132" t="str">
        <f aca="false">IFERROR(IF(OR(9&gt;$B$3,ISBLANK(Actuals!K85)),"",(Budget!K85-Actuals!K85)/ABS(Budget!K85)),"")</f>
        <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-52433.36</v>
      </c>
      <c r="AY69" s="133" t="n">
        <f aca="false">SUM(Actuals!C85:N85)</f>
        <v>-97102.23</v>
      </c>
      <c r="AZ69" s="134" t="n">
        <f aca="false">AX69-AY69</f>
        <v>44668.87</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str">
        <f aca="false">IF(OR(9&gt;$B$3,ISBLANK(Actuals!K86)),"",Actuals!K86)</f>
        <v/>
      </c>
      <c r="AJ70" s="132" t="str">
        <f aca="false">IF(OR(9&gt;$B$3,ISBLANK(Actuals!K86)),"",Budget!K86-Actuals!K86)</f>
        <v/>
      </c>
      <c r="AK70" s="132" t="str">
        <f aca="false">IFERROR(IF(OR(9&gt;$B$3,ISBLANK(Actuals!K86)),"",(Budget!K86-Actuals!K86)/ABS(Budget!K86)),"")</f>
        <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-3900</v>
      </c>
      <c r="AY70" s="133" t="n">
        <f aca="false">SUM(Actuals!C86:N86)</f>
        <v>-3806.08</v>
      </c>
      <c r="AZ70" s="134" t="n">
        <f aca="false">AX70-AY70</f>
        <v>-93.9200000000001</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str">
        <f aca="false">IF(OR(9&gt;$B$3,ISBLANK(Actuals!K87)),"",Actuals!K87)</f>
        <v/>
      </c>
      <c r="AJ71" s="132" t="str">
        <f aca="false">IF(OR(9&gt;$B$3,ISBLANK(Actuals!K87)),"",Budget!K87-Actuals!K87)</f>
        <v/>
      </c>
      <c r="AK71" s="132" t="str">
        <f aca="false">IFERROR(IF(OR(9&gt;$B$3,ISBLANK(Actuals!K87)),"",(Budget!K87-Actuals!K87)/ABS(Budget!K87)),"")</f>
        <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-2166.64</v>
      </c>
      <c r="AY71" s="133" t="n">
        <f aca="false">SUM(Actuals!C87:N87)</f>
        <v>-17600.96</v>
      </c>
      <c r="AZ71" s="134" t="n">
        <f aca="false">AX71-AY71</f>
        <v>15434.32</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str">
        <f aca="false">IF(OR(9&gt;$B$3,ISBLANK(Actuals!K88)),"",Actuals!K88)</f>
        <v/>
      </c>
      <c r="AJ72" s="132" t="str">
        <f aca="false">IF(OR(9&gt;$B$3,ISBLANK(Actuals!K88)),"",Budget!K88-Actuals!K88)</f>
        <v/>
      </c>
      <c r="AK72" s="132" t="str">
        <f aca="false">IFERROR(IF(OR(9&gt;$B$3,ISBLANK(Actuals!K88)),"",(Budget!K88-Actuals!K88)/ABS(Budget!K88)),"")</f>
        <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-64320</v>
      </c>
      <c r="AY72" s="133" t="n">
        <f aca="false">SUM(Actuals!C88:N88)</f>
        <v>-65387.08</v>
      </c>
      <c r="AZ72" s="134" t="n">
        <f aca="false">AX72-AY72</f>
        <v>1067.08</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str">
        <f aca="false">IF(OR(9&gt;$B$3,ISBLANK(Actuals!K89)),"",Actuals!K89)</f>
        <v/>
      </c>
      <c r="AJ73" s="132" t="str">
        <f aca="false">IF(OR(9&gt;$B$3,ISBLANK(Actuals!K89)),"",Budget!K89-Actuals!K89)</f>
        <v/>
      </c>
      <c r="AK73" s="132" t="str">
        <f aca="false">IFERROR(IF(OR(9&gt;$B$3,ISBLANK(Actuals!K89)),"",(Budget!K89-Actuals!K89)/ABS(Budget!K89)),"")</f>
        <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-1473.98</v>
      </c>
      <c r="AY73" s="133" t="n">
        <f aca="false">SUM(Actuals!C89:N89)</f>
        <v>-2757.68</v>
      </c>
      <c r="AZ73" s="134" t="n">
        <f aca="false">AX73-AY73</f>
        <v>1283.7</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str">
        <f aca="false">IF(OR(9&gt;$B$3,ISBLANK(Actuals!K90)),"",Actuals!K90)</f>
        <v/>
      </c>
      <c r="AJ74" s="132" t="str">
        <f aca="false">IF(OR(9&gt;$B$3,ISBLANK(Actuals!K90)),"",Budget!K90-Actuals!K90)</f>
        <v/>
      </c>
      <c r="AK74" s="132" t="str">
        <f aca="false">IFERROR(IF(OR(9&gt;$B$3,ISBLANK(Actuals!K90)),"",(Budget!K90-Actuals!K90)/ABS(Budget!K90)),"")</f>
        <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-24120</v>
      </c>
      <c r="AY74" s="133" t="n">
        <f aca="false">SUM(Actuals!C90:N90)</f>
        <v>-21601.24</v>
      </c>
      <c r="AZ74" s="134" t="n">
        <f aca="false">AX74-AY74</f>
        <v>-2518.76</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str">
        <f aca="false">IF(OR(9&gt;$B$3,ISBLANK(Actuals!K91)),"",Actuals!K91)</f>
        <v/>
      </c>
      <c r="AJ75" s="132" t="str">
        <f aca="false">IF(OR(9&gt;$B$3,ISBLANK(Actuals!K91)),"",Budget!K91-Actuals!K91)</f>
        <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str">
        <f aca="false">IF(OR(9&gt;$B$3,ISBLANK(Actuals!K92)),"",Actuals!K92)</f>
        <v/>
      </c>
      <c r="AJ76" s="132" t="str">
        <f aca="false">IF(OR(9&gt;$B$3,ISBLANK(Actuals!K92)),"",Budget!K92-Actuals!K92)</f>
        <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-1715</v>
      </c>
      <c r="AZ76" s="134" t="n">
        <f aca="false">AX76-AY76</f>
        <v>1715</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str">
        <f aca="false">IF(OR(9&gt;$B$3,ISBLANK(Actuals!K93)),"",Actuals!K93)</f>
        <v/>
      </c>
      <c r="AJ77" s="132" t="str">
        <f aca="false">IF(OR(9&gt;$B$3,ISBLANK(Actuals!K93)),"",Budget!K93-Actuals!K93)</f>
        <v/>
      </c>
      <c r="AK77" s="132" t="str">
        <f aca="false">IFERROR(IF(OR(9&gt;$B$3,ISBLANK(Actuals!K93)),"",(Budget!K93-Actuals!K93)/ABS(Budget!K93)),"")</f>
        <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-24120</v>
      </c>
      <c r="AY77" s="133" t="n">
        <f aca="false">SUM(Actuals!C93:N93)</f>
        <v>-11230.51</v>
      </c>
      <c r="AZ77" s="134" t="n">
        <f aca="false">AX77-AY77</f>
        <v>-12889.49</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str">
        <f aca="false">IF(OR(9&gt;$B$3,ISBLANK(Actuals!K94)),"",Actuals!K94)</f>
        <v/>
      </c>
      <c r="AJ78" s="132" t="str">
        <f aca="false">IF(OR(9&gt;$B$3,ISBLANK(Actuals!K94)),"",Budget!K94-Actuals!K94)</f>
        <v/>
      </c>
      <c r="AK78" s="132" t="str">
        <f aca="false">IFERROR(IF(OR(9&gt;$B$3,ISBLANK(Actuals!K94)),"",(Budget!K94-Actuals!K94)/ABS(Budget!K94)),"")</f>
        <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-6699.98</v>
      </c>
      <c r="AY78" s="133" t="n">
        <f aca="false">SUM(Actuals!C94:N94)</f>
        <v>-2693.27</v>
      </c>
      <c r="AZ78" s="134" t="n">
        <f aca="false">AX78-AY78</f>
        <v>-4006.71</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str">
        <f aca="false">IF(OR(9&gt;$B$3,ISBLANK(Actuals!K95)),"",Actuals!K95)</f>
        <v/>
      </c>
      <c r="AJ79" s="132" t="str">
        <f aca="false">IF(OR(9&gt;$B$3,ISBLANK(Actuals!K95)),"",Budget!K95-Actuals!K95)</f>
        <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-1162.56</v>
      </c>
      <c r="AZ79" s="134" t="n">
        <f aca="false">AX79-AY79</f>
        <v>1162.56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str">
        <f aca="false">IF(OR(9&gt;$B$3,ISBLANK(Actuals!K96)),"",Actuals!K96)</f>
        <v/>
      </c>
      <c r="AJ80" s="132" t="str">
        <f aca="false">IF(OR(9&gt;$B$3,ISBLANK(Actuals!K96)),"",Budget!K96-Actuals!K96)</f>
        <v/>
      </c>
      <c r="AK80" s="132" t="str">
        <f aca="false">IFERROR(IF(OR(9&gt;$B$3,ISBLANK(Actuals!K96)),"",(Budget!K96-Actuals!K96)/ABS(Budget!K96)),"")</f>
        <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-24120</v>
      </c>
      <c r="AY80" s="133" t="n">
        <f aca="false">SUM(Actuals!C96:N96)</f>
        <v>-7679.88</v>
      </c>
      <c r="AZ80" s="134" t="n">
        <f aca="false">AX80-AY80</f>
        <v>-16440.12</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str">
        <f aca="false">IF(OR(9&gt;$B$3,ISBLANK(Actuals!K97)),"",Actuals!K97)</f>
        <v/>
      </c>
      <c r="AJ81" s="132" t="str">
        <f aca="false">IF(OR(9&gt;$B$3,ISBLANK(Actuals!K97)),"",Budget!K97-Actuals!K97)</f>
        <v/>
      </c>
      <c r="AK81" s="132" t="str">
        <f aca="false">IFERROR(IF(OR(9&gt;$B$3,ISBLANK(Actuals!K97)),"",(Budget!K97-Actuals!K97)/ABS(Budget!K97)),"")</f>
        <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-4020</v>
      </c>
      <c r="AY81" s="133" t="n">
        <f aca="false">SUM(Actuals!C97:N97)</f>
        <v>-43867</v>
      </c>
      <c r="AZ81" s="134" t="n">
        <f aca="false">AX81-AY81</f>
        <v>39847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str">
        <f aca="false">IF(OR(9&gt;$B$3,ISBLANK(Actuals!K98)),"",Actuals!K98)</f>
        <v/>
      </c>
      <c r="AJ82" s="132" t="str">
        <f aca="false">IF(OR(9&gt;$B$3,ISBLANK(Actuals!K98)),"",Budget!K98-Actuals!K98)</f>
        <v/>
      </c>
      <c r="AK82" s="132" t="str">
        <f aca="false">IFERROR(IF(OR(9&gt;$B$3,ISBLANK(Actuals!K98)),"",(Budget!K98-Actuals!K98)/ABS(Budget!K98)),"")</f>
        <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-44220</v>
      </c>
      <c r="AY82" s="133" t="n">
        <f aca="false">SUM(Actuals!C98:N98)</f>
        <v>-22427.18</v>
      </c>
      <c r="AZ82" s="134" t="n">
        <f aca="false">AX82-AY82</f>
        <v>-21792.82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str">
        <f aca="false">IF(OR(9&gt;$B$3,ISBLANK(Actuals!K99)),"",Actuals!K99)</f>
        <v/>
      </c>
      <c r="AJ83" s="132" t="str">
        <f aca="false">IF(OR(9&gt;$B$3,ISBLANK(Actuals!K99)),"",Budget!K99-Actuals!K99)</f>
        <v/>
      </c>
      <c r="AK83" s="132" t="str">
        <f aca="false">IFERROR(IF(OR(9&gt;$B$3,ISBLANK(Actuals!K99)),"",(Budget!K99-Actuals!K99)/ABS(Budget!K99)),"")</f>
        <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-16749.98</v>
      </c>
      <c r="AY83" s="133" t="n">
        <f aca="false">SUM(Actuals!C99:N99)</f>
        <v>-267718.5</v>
      </c>
      <c r="AZ83" s="134" t="n">
        <f aca="false">AX83-AY83</f>
        <v>250968.52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str">
        <f aca="false">IF(OR(9&gt;$B$3,ISBLANK(Actuals!K100)),"",Actuals!K100)</f>
        <v/>
      </c>
      <c r="AJ84" s="132" t="str">
        <f aca="false">IF(OR(9&gt;$B$3,ISBLANK(Actuals!K100)),"",Budget!K100-Actuals!K100)</f>
        <v/>
      </c>
      <c r="AK84" s="132" t="str">
        <f aca="false">IFERROR(IF(OR(9&gt;$B$3,ISBLANK(Actuals!K100)),"",(Budget!K100-Actuals!K100)/ABS(Budget!K100)),"")</f>
        <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-4020</v>
      </c>
      <c r="AY84" s="133" t="n">
        <f aca="false">SUM(Actuals!C100:N100)</f>
        <v>-16222.09</v>
      </c>
      <c r="AZ84" s="134" t="n">
        <f aca="false">AX84-AY84</f>
        <v>12202.09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str">
        <f aca="false">IF(OR(9&gt;$B$3,ISBLANK(Actuals!K101)),"",Actuals!K101)</f>
        <v/>
      </c>
      <c r="AJ85" s="132" t="str">
        <f aca="false">IF(OR(9&gt;$B$3,ISBLANK(Actuals!K101)),"",Budget!K101-Actuals!K101)</f>
        <v/>
      </c>
      <c r="AK85" s="132" t="str">
        <f aca="false">IFERROR(IF(OR(9&gt;$B$3,ISBLANK(Actuals!K101)),"",(Budget!K101-Actuals!K101)/ABS(Budget!K101)),"")</f>
        <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-16080</v>
      </c>
      <c r="AY85" s="133" t="n">
        <f aca="false">SUM(Actuals!C101:N101)</f>
        <v>-24332.68</v>
      </c>
      <c r="AZ85" s="134" t="n">
        <f aca="false">AX85-AY85</f>
        <v>8252.68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str">
        <f aca="false">IF(OR(9&gt;$B$3,ISBLANK(Actuals!K102)),"",Actuals!K102)</f>
        <v/>
      </c>
      <c r="AJ86" s="132" t="str">
        <f aca="false">IF(OR(9&gt;$B$3,ISBLANK(Actuals!K102)),"",Budget!K102-Actuals!K102)</f>
        <v/>
      </c>
      <c r="AK86" s="132" t="str">
        <f aca="false">IFERROR(IF(OR(9&gt;$B$3,ISBLANK(Actuals!K102)),"",(Budget!K102-Actuals!K102)/ABS(Budget!K102)),"")</f>
        <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-12395.02</v>
      </c>
      <c r="AY86" s="133" t="n">
        <f aca="false">SUM(Actuals!C102:N102)</f>
        <v>-15242.48</v>
      </c>
      <c r="AZ86" s="134" t="n">
        <f aca="false">AX86-AY86</f>
        <v>2847.46</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str">
        <f aca="false">IF(OR(9&gt;$B$3,ISBLANK(Actuals!K103)),"",Actuals!K103)</f>
        <v/>
      </c>
      <c r="AJ87" s="132" t="str">
        <f aca="false">IF(OR(9&gt;$B$3,ISBLANK(Actuals!K103)),"",Budget!K103-Actuals!K103)</f>
        <v/>
      </c>
      <c r="AK87" s="132" t="str">
        <f aca="false">IFERROR(IF(OR(9&gt;$B$3,ISBLANK(Actuals!K103)),"",(Budget!K103-Actuals!K103)/ABS(Budget!K103)),"")</f>
        <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-16884</v>
      </c>
      <c r="AY87" s="133" t="n">
        <f aca="false">SUM(Actuals!C103:N103)</f>
        <v>-16800</v>
      </c>
      <c r="AZ87" s="134" t="n">
        <f aca="false">AX87-AY87</f>
        <v>-84</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str">
        <f aca="false">IF(OR(9&gt;$B$3,ISBLANK(Actuals!K104)),"",Actuals!K104)</f>
        <v/>
      </c>
      <c r="AJ88" s="132" t="str">
        <f aca="false">IF(OR(9&gt;$B$3,ISBLANK(Actuals!K104)),"",Budget!K104-Actuals!K104)</f>
        <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-533333.28</v>
      </c>
      <c r="AZ88" s="134" t="n">
        <f aca="false">AX88-AY88</f>
        <v>533333.28</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str">
        <f aca="false">IF(OR(9&gt;$B$3,ISBLANK(Actuals!K105)),"",Actuals!K105)</f>
        <v/>
      </c>
      <c r="AJ89" s="132" t="str">
        <f aca="false">IF(OR(9&gt;$B$3,ISBLANK(Actuals!K105)),"",Budget!K105-Actuals!K105)</f>
        <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-26782.56</v>
      </c>
      <c r="AZ89" s="134" t="n">
        <f aca="false">AX89-AY89</f>
        <v>26782.56</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str">
        <f aca="false">IF(OR(9&gt;$B$3,ISBLANK(Actuals!K106)),"",Actuals!K106)</f>
        <v/>
      </c>
      <c r="AJ90" s="132" t="str">
        <f aca="false">IF(OR(9&gt;$B$3,ISBLANK(Actuals!K106)),"",Budget!K106-Actuals!K106)</f>
        <v/>
      </c>
      <c r="AK90" s="132" t="str">
        <f aca="false">IFERROR(IF(OR(9&gt;$B$3,ISBLANK(Actuals!K106)),"",(Budget!K106-Actuals!K106)/ABS(Budget!K106)),"")</f>
        <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-4020</v>
      </c>
      <c r="AY90" s="133" t="n">
        <f aca="false">SUM(Actuals!C106:N106)</f>
        <v>-4536.36</v>
      </c>
      <c r="AZ90" s="134" t="n">
        <f aca="false">AX90-AY90</f>
        <v>516.360000000001</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513</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0</v>
      </c>
      <c r="AJ97" s="136" t="n">
        <f aca="false">SUM(AJ6:AJ13)+SUM(AJ15:AJ95)</f>
        <v>0</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769286.389999997</v>
      </c>
      <c r="AY97" s="136" t="n">
        <f aca="false">SUM(AY6:AY13)+SUM(AY15:AY95)</f>
        <v>1516682.07</v>
      </c>
      <c r="AZ97" s="136" t="n">
        <f aca="false">SUM(AZ6:AZ13)+SUM(AZ15:AZ95)</f>
        <v>-747395.68</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514</v>
      </c>
    </row>
    <row r="2" customFormat="false" ht="15" hidden="false" customHeight="true" outlineLevel="0" collapsed="false">
      <c r="A2" s="72" t="s">
        <v>494</v>
      </c>
    </row>
    <row r="3" customFormat="false" ht="15" hidden="false" customHeight="true" outlineLevel="0" collapsed="false">
      <c r="A3" s="1" t="s">
        <v>397</v>
      </c>
      <c r="B3" s="1" t="n">
        <f aca="false">SUMPRODUCT(--(Actuals!$C$21:$N$21&lt;&gt;""))</f>
        <v>8</v>
      </c>
    </row>
    <row r="4" customFormat="false" ht="15" hidden="false" customHeight="true" outlineLevel="0" collapsed="false">
      <c r="B4" s="126" t="s">
        <v>495</v>
      </c>
      <c r="C4" s="126"/>
      <c r="D4" s="126"/>
      <c r="E4" s="126"/>
      <c r="F4" s="126" t="s">
        <v>496</v>
      </c>
      <c r="G4" s="126"/>
      <c r="H4" s="126"/>
      <c r="I4" s="126"/>
      <c r="J4" s="126" t="s">
        <v>497</v>
      </c>
      <c r="K4" s="126"/>
      <c r="L4" s="126"/>
      <c r="M4" s="126"/>
      <c r="N4" s="126" t="s">
        <v>498</v>
      </c>
      <c r="O4" s="126"/>
      <c r="P4" s="126"/>
      <c r="Q4" s="126"/>
      <c r="R4" s="126" t="s">
        <v>499</v>
      </c>
      <c r="S4" s="126"/>
      <c r="T4" s="126"/>
      <c r="U4" s="126"/>
      <c r="V4" s="126" t="s">
        <v>500</v>
      </c>
      <c r="W4" s="126"/>
      <c r="X4" s="126"/>
      <c r="Y4" s="126"/>
      <c r="Z4" s="126" t="s">
        <v>501</v>
      </c>
      <c r="AA4" s="126"/>
      <c r="AB4" s="126"/>
      <c r="AC4" s="126"/>
      <c r="AD4" s="126" t="s">
        <v>502</v>
      </c>
      <c r="AE4" s="126"/>
      <c r="AF4" s="126"/>
      <c r="AG4" s="126"/>
      <c r="AH4" s="126" t="s">
        <v>503</v>
      </c>
      <c r="AI4" s="126"/>
      <c r="AJ4" s="126"/>
      <c r="AK4" s="126"/>
      <c r="AL4" s="126" t="s">
        <v>504</v>
      </c>
      <c r="AM4" s="126"/>
      <c r="AN4" s="126"/>
      <c r="AO4" s="126"/>
      <c r="AP4" s="126" t="s">
        <v>505</v>
      </c>
      <c r="AQ4" s="126"/>
      <c r="AR4" s="126"/>
      <c r="AS4" s="126"/>
      <c r="AT4" s="126" t="s">
        <v>506</v>
      </c>
      <c r="AU4" s="126"/>
      <c r="AV4" s="126"/>
      <c r="AW4" s="126"/>
      <c r="AX4" s="127" t="s">
        <v>507</v>
      </c>
      <c r="AY4" s="127"/>
      <c r="AZ4" s="127"/>
    </row>
    <row r="5" customFormat="false" ht="15" hidden="false" customHeight="true" outlineLevel="0" collapsed="false">
      <c r="A5" s="128" t="s">
        <v>399</v>
      </c>
      <c r="B5" s="128" t="s">
        <v>492</v>
      </c>
      <c r="C5" s="128" t="s">
        <v>400</v>
      </c>
      <c r="D5" s="128" t="s">
        <v>508</v>
      </c>
      <c r="E5" s="128" t="s">
        <v>509</v>
      </c>
      <c r="F5" s="128" t="s">
        <v>492</v>
      </c>
      <c r="G5" s="128" t="s">
        <v>400</v>
      </c>
      <c r="H5" s="128" t="s">
        <v>508</v>
      </c>
      <c r="I5" s="128" t="s">
        <v>509</v>
      </c>
      <c r="J5" s="128" t="s">
        <v>492</v>
      </c>
      <c r="K5" s="128" t="s">
        <v>400</v>
      </c>
      <c r="L5" s="128" t="s">
        <v>508</v>
      </c>
      <c r="M5" s="128" t="s">
        <v>509</v>
      </c>
      <c r="N5" s="128" t="s">
        <v>492</v>
      </c>
      <c r="O5" s="128" t="s">
        <v>400</v>
      </c>
      <c r="P5" s="128" t="s">
        <v>508</v>
      </c>
      <c r="Q5" s="128" t="s">
        <v>509</v>
      </c>
      <c r="R5" s="128" t="s">
        <v>492</v>
      </c>
      <c r="S5" s="128" t="s">
        <v>400</v>
      </c>
      <c r="T5" s="128" t="s">
        <v>508</v>
      </c>
      <c r="U5" s="128" t="s">
        <v>509</v>
      </c>
      <c r="V5" s="128" t="s">
        <v>492</v>
      </c>
      <c r="W5" s="128" t="s">
        <v>400</v>
      </c>
      <c r="X5" s="128" t="s">
        <v>508</v>
      </c>
      <c r="Y5" s="128" t="s">
        <v>509</v>
      </c>
      <c r="Z5" s="128" t="s">
        <v>492</v>
      </c>
      <c r="AA5" s="128" t="s">
        <v>400</v>
      </c>
      <c r="AB5" s="128" t="s">
        <v>508</v>
      </c>
      <c r="AC5" s="128" t="s">
        <v>509</v>
      </c>
      <c r="AD5" s="128" t="s">
        <v>492</v>
      </c>
      <c r="AE5" s="128" t="s">
        <v>400</v>
      </c>
      <c r="AF5" s="128" t="s">
        <v>508</v>
      </c>
      <c r="AG5" s="128" t="s">
        <v>509</v>
      </c>
      <c r="AH5" s="128" t="s">
        <v>492</v>
      </c>
      <c r="AI5" s="128" t="s">
        <v>400</v>
      </c>
      <c r="AJ5" s="128" t="s">
        <v>508</v>
      </c>
      <c r="AK5" s="128" t="s">
        <v>509</v>
      </c>
      <c r="AL5" s="128" t="s">
        <v>492</v>
      </c>
      <c r="AM5" s="128" t="s">
        <v>400</v>
      </c>
      <c r="AN5" s="128" t="s">
        <v>508</v>
      </c>
      <c r="AO5" s="128" t="s">
        <v>509</v>
      </c>
      <c r="AP5" s="128" t="s">
        <v>492</v>
      </c>
      <c r="AQ5" s="128" t="s">
        <v>400</v>
      </c>
      <c r="AR5" s="128" t="s">
        <v>508</v>
      </c>
      <c r="AS5" s="128" t="s">
        <v>509</v>
      </c>
      <c r="AT5" s="128" t="s">
        <v>492</v>
      </c>
      <c r="AU5" s="128" t="s">
        <v>400</v>
      </c>
      <c r="AV5" s="128" t="s">
        <v>508</v>
      </c>
      <c r="AW5" s="128" t="s">
        <v>509</v>
      </c>
      <c r="AX5" s="129" t="s">
        <v>370</v>
      </c>
      <c r="AY5" s="129" t="s">
        <v>371</v>
      </c>
      <c r="AZ5" s="129" t="s">
        <v>510</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str">
        <f aca="false">IF(OR(9&gt;$B$3,ISBLANK(Actuals!K8)),"",Actuals!K8)</f>
        <v/>
      </c>
      <c r="AJ6" s="132" t="str">
        <f aca="false">IF(OR(9&gt;$B$3,ISBLANK(Actuals!K8)),"",'Reforecast Q1 2026'!K8-Actuals!K8)</f>
        <v/>
      </c>
      <c r="AK6" s="132" t="str">
        <f aca="false">IFERROR(IF(OR(9&gt;$B$3,ISBLANK(Actuals!K8)),"",('Reforecast Q1 2026'!K8-Actuals!K8)/ABS('Reforecast Q1 2026'!K8)),"")</f>
        <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2001420.34386425</v>
      </c>
      <c r="AY6" s="133" t="n">
        <f aca="false">SUM(Actuals!C8:N8)</f>
        <v>2144890.99</v>
      </c>
      <c r="AZ6" s="134" t="n">
        <f aca="false">AX6-AY6</f>
        <v>-143470.646135755</v>
      </c>
    </row>
    <row r="7" customFormat="false" ht="15" hidden="false" customHeight="true" outlineLevel="0" collapsed="false">
      <c r="A7" s="130" t="s">
        <v>350</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str">
        <f aca="false">IF(OR(9&gt;$B$3,ISBLANK(Actuals!K9)),"",Actuals!K9)</f>
        <v/>
      </c>
      <c r="AJ7" s="132" t="str">
        <f aca="false">IF(OR(9&gt;$B$3,ISBLANK(Actuals!K9)),"",'Reforecast Q1 2026'!K9-Actuals!K9)</f>
        <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str">
        <f aca="false">IF(OR(9&gt;$B$3,ISBLANK(Actuals!K10)),"",Actuals!K10)</f>
        <v/>
      </c>
      <c r="AJ8" s="132" t="str">
        <f aca="false">IF(OR(9&gt;$B$3,ISBLANK(Actuals!K10)),"",'Reforecast Q1 2026'!K10-Actuals!K10)</f>
        <v/>
      </c>
      <c r="AK8" s="132" t="str">
        <f aca="false">IFERROR(IF(OR(9&gt;$B$3,ISBLANK(Actuals!K10)),"",('Reforecast Q1 2026'!K10-Actuals!K10)/ABS('Reforecast Q1 2026'!K10)),"")</f>
        <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1464252.92420771</v>
      </c>
      <c r="AY8" s="133" t="n">
        <f aca="false">SUM(Actuals!C10:N10)</f>
        <v>1550004.06</v>
      </c>
      <c r="AZ8" s="134" t="n">
        <f aca="false">AX8-AY8</f>
        <v>-85751.1357922901</v>
      </c>
    </row>
    <row r="9" customFormat="false" ht="15" hidden="false" customHeight="true" outlineLevel="0" collapsed="false">
      <c r="A9" s="130" t="s">
        <v>351</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str">
        <f aca="false">IF(OR(9&gt;$B$3,ISBLANK(Actuals!K11)),"",Actuals!K11)</f>
        <v/>
      </c>
      <c r="AJ9" s="132" t="str">
        <f aca="false">IF(OR(9&gt;$B$3,ISBLANK(Actuals!K11)),"",'Reforecast Q1 2026'!K11-Actuals!K11)</f>
        <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str">
        <f aca="false">IF(OR(9&gt;$B$3,ISBLANK(Actuals!K12)),"",Actuals!K12)</f>
        <v/>
      </c>
      <c r="AJ10" s="132" t="str">
        <f aca="false">IF(OR(9&gt;$B$3,ISBLANK(Actuals!K12)),"",'Reforecast Q1 2026'!K12-Actuals!K12)</f>
        <v/>
      </c>
      <c r="AK10" s="132" t="str">
        <f aca="false">IFERROR(IF(OR(9&gt;$B$3,ISBLANK(Actuals!K12)),"",('Reforecast Q1 2026'!K12-Actuals!K12)/ABS('Reforecast Q1 2026'!K12)),"")</f>
        <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29194430.25</v>
      </c>
      <c r="AY10" s="133" t="n">
        <f aca="false">SUM(Actuals!C12:N12)</f>
        <v>30904644.63</v>
      </c>
      <c r="AZ10" s="134" t="n">
        <f aca="false">AX10-AY10</f>
        <v>-1710214.38</v>
      </c>
    </row>
    <row r="11" customFormat="false" ht="15" hidden="false" customHeight="true" outlineLevel="0" collapsed="false">
      <c r="A11" s="130" t="s">
        <v>352</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str">
        <f aca="false">IF(OR(9&gt;$B$3,ISBLANK(Actuals!K14)),"",Actuals!K14)</f>
        <v/>
      </c>
      <c r="AJ11" s="132" t="str">
        <f aca="false">IF(OR(9&gt;$B$3,ISBLANK(Actuals!K14)),"",'Reforecast Q1 2026'!K14-Actuals!K14)</f>
        <v/>
      </c>
      <c r="AK11" s="132" t="str">
        <f aca="false">IFERROR(IF(OR(9&gt;$B$3,ISBLANK(Actuals!K14)),"",('Reforecast Q1 2026'!K14-Actuals!K14)/ABS('Reforecast Q1 2026'!K14)),"")</f>
        <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-29224153.5909287</v>
      </c>
      <c r="AY11" s="133" t="n">
        <f aca="false">SUM(Actuals!C14:N14)</f>
        <v>-29955968.09</v>
      </c>
      <c r="AZ11" s="134" t="n">
        <f aca="false">AX11-AY11</f>
        <v>731814.499071278</v>
      </c>
    </row>
    <row r="12" customFormat="false" ht="15" hidden="false" customHeight="true" outlineLevel="0" collapsed="false">
      <c r="A12" s="130" t="s">
        <v>409</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str">
        <f aca="false">IF(OR(9&gt;$B$3,ISBLANK(Actuals!K15)),"",Actuals!K15)</f>
        <v/>
      </c>
      <c r="AJ12" s="132" t="str">
        <f aca="false">IF(OR(9&gt;$B$3,ISBLANK(Actuals!K15)),"",'Reforecast Q1 2026'!K15-Actuals!K15)</f>
        <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411</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str">
        <f aca="false">IF(OR(9&gt;$B$3,ISBLANK(Actuals!K16)),"",Actuals!K16)</f>
        <v/>
      </c>
      <c r="AJ13" s="132" t="str">
        <f aca="false">IF(OR(9&gt;$B$3,ISBLANK(Actuals!K16)),"",'Reforecast Q1 2026'!K16-Actuals!K16)</f>
        <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str">
        <f aca="false">IF(OR(9&gt;$B$3,ISBLANK(Actuals!K17)),"",Actuals!K17)</f>
        <v/>
      </c>
      <c r="AJ14" s="132" t="str">
        <f aca="false">IF(OR(9&gt;$B$3,ISBLANK(Actuals!K17)),"",'Reforecast Q1 2026'!K17-Actuals!K17)</f>
        <v/>
      </c>
      <c r="AK14" s="132" t="str">
        <f aca="false">IFERROR(IF(OR(9&gt;$B$3,ISBLANK(Actuals!K17)),"",('Reforecast Q1 2026'!K17-Actuals!K17)/ABS('Reforecast Q1 2026'!K17)),"")</f>
        <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4643571.59</v>
      </c>
      <c r="AZ14" s="134" t="n">
        <f aca="false">AX14-AY14</f>
        <v>2604301.79098211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str">
        <f aca="false">IF(OR(9&gt;$B$3,ISBLANK(Actuals!K21)),"",Actuals!K21)</f>
        <v/>
      </c>
      <c r="AJ15" s="132" t="str">
        <f aca="false">IF(OR(9&gt;$B$3,ISBLANK(Actuals!K21)),"",'Reforecast Q1 2026'!K21-Actuals!K21)</f>
        <v/>
      </c>
      <c r="AK15" s="132" t="str">
        <f aca="false">IFERROR(IF(OR(9&gt;$B$3,ISBLANK(Actuals!K21)),"",('Reforecast Q1 2026'!K21-Actuals!K21)/ABS('Reforecast Q1 2026'!K21)),"")</f>
        <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-1493049.93333333</v>
      </c>
      <c r="AY15" s="133" t="n">
        <f aca="false">SUM(Actuals!C21:N21)</f>
        <v>-1589842.61</v>
      </c>
      <c r="AZ15" s="134" t="n">
        <f aca="false">AX15-AY15</f>
        <v>96792.676666667</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str">
        <f aca="false">IF(OR(9&gt;$B$3,ISBLANK(Actuals!K22)),"",Actuals!K22)</f>
        <v/>
      </c>
      <c r="AJ16" s="132" t="str">
        <f aca="false">IF(OR(9&gt;$B$3,ISBLANK(Actuals!K22)),"",'Reforecast Q1 2026'!K22-Actuals!K22)</f>
        <v/>
      </c>
      <c r="AK16" s="132" t="str">
        <f aca="false">IFERROR(IF(OR(9&gt;$B$3,ISBLANK(Actuals!K22)),"",('Reforecast Q1 2026'!K22-Actuals!K22)/ABS('Reforecast Q1 2026'!K22)),"")</f>
        <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-125336.286666667</v>
      </c>
      <c r="AY16" s="133" t="n">
        <f aca="false">SUM(Actuals!C22:N22)</f>
        <v>-121169.78</v>
      </c>
      <c r="AZ16" s="134" t="n">
        <f aca="false">AX16-AY16</f>
        <v>-4166.5066666667</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str">
        <f aca="false">IF(OR(9&gt;$B$3,ISBLANK(Actuals!K23)),"",Actuals!K23)</f>
        <v/>
      </c>
      <c r="AJ17" s="132" t="str">
        <f aca="false">IF(OR(9&gt;$B$3,ISBLANK(Actuals!K23)),"",'Reforecast Q1 2026'!K23-Actuals!K23)</f>
        <v/>
      </c>
      <c r="AK17" s="132" t="str">
        <f aca="false">IFERROR(IF(OR(9&gt;$B$3,ISBLANK(Actuals!K23)),"",('Reforecast Q1 2026'!K23-Actuals!K23)/ABS('Reforecast Q1 2026'!K23)),"")</f>
        <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-519166.666666665</v>
      </c>
      <c r="AY17" s="133" t="n">
        <f aca="false">SUM(Actuals!C23:N23)</f>
        <v>0</v>
      </c>
      <c r="AZ17" s="134" t="n">
        <f aca="false">AX17-AY17</f>
        <v>-519166.666666665</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str">
        <f aca="false">IF(OR(9&gt;$B$3,ISBLANK(Actuals!K24)),"",Actuals!K24)</f>
        <v/>
      </c>
      <c r="AJ18" s="132" t="str">
        <f aca="false">IF(OR(9&gt;$B$3,ISBLANK(Actuals!K24)),"",'Reforecast Q1 2026'!K24-Actuals!K24)</f>
        <v/>
      </c>
      <c r="AK18" s="132" t="str">
        <f aca="false">IFERROR(IF(OR(9&gt;$B$3,ISBLANK(Actuals!K24)),"",('Reforecast Q1 2026'!K24-Actuals!K24)/ABS('Reforecast Q1 2026'!K24)),"")</f>
        <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-88045.3233333333</v>
      </c>
      <c r="AY18" s="133" t="n">
        <f aca="false">SUM(Actuals!C24:N24)</f>
        <v>-51941.66</v>
      </c>
      <c r="AZ18" s="134" t="n">
        <f aca="false">AX18-AY18</f>
        <v>-36103.6633333333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str">
        <f aca="false">IF(OR(9&gt;$B$3,ISBLANK(Actuals!K25)),"",Actuals!K25)</f>
        <v/>
      </c>
      <c r="AJ19" s="132" t="str">
        <f aca="false">IF(OR(9&gt;$B$3,ISBLANK(Actuals!K25)),"",'Reforecast Q1 2026'!K25-Actuals!K25)</f>
        <v/>
      </c>
      <c r="AK19" s="132" t="str">
        <f aca="false">IFERROR(IF(OR(9&gt;$B$3,ISBLANK(Actuals!K25)),"",('Reforecast Q1 2026'!K25-Actuals!K25)/ABS('Reforecast Q1 2026'!K25)),"")</f>
        <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-26550.2833333333</v>
      </c>
      <c r="AY19" s="133" t="n">
        <f aca="false">SUM(Actuals!C25:N25)</f>
        <v>-4697.68</v>
      </c>
      <c r="AZ19" s="134" t="n">
        <f aca="false">AX19-AY19</f>
        <v>-21852.6033333333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str">
        <f aca="false">IF(OR(9&gt;$B$3,ISBLANK(Actuals!K26)),"",Actuals!K26)</f>
        <v/>
      </c>
      <c r="AJ20" s="132" t="str">
        <f aca="false">IF(OR(9&gt;$B$3,ISBLANK(Actuals!K26)),"",'Reforecast Q1 2026'!K26-Actuals!K26)</f>
        <v/>
      </c>
      <c r="AK20" s="132" t="str">
        <f aca="false">IFERROR(IF(OR(9&gt;$B$3,ISBLANK(Actuals!K26)),"",('Reforecast Q1 2026'!K26-Actuals!K26)/ABS('Reforecast Q1 2026'!K26)),"")</f>
        <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-6843.95833333333</v>
      </c>
      <c r="AY20" s="133" t="n">
        <f aca="false">SUM(Actuals!C26:N26)</f>
        <v>-395</v>
      </c>
      <c r="AZ20" s="134" t="n">
        <f aca="false">AX20-AY20</f>
        <v>-6448.95833333333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str">
        <f aca="false">IF(OR(9&gt;$B$3,ISBLANK(Actuals!K27)),"",Actuals!K27)</f>
        <v/>
      </c>
      <c r="AJ21" s="132" t="str">
        <f aca="false">IF(OR(9&gt;$B$3,ISBLANK(Actuals!K27)),"",'Reforecast Q1 2026'!K27-Actuals!K27)</f>
        <v/>
      </c>
      <c r="AK21" s="132" t="str">
        <f aca="false">IFERROR(IF(OR(9&gt;$B$3,ISBLANK(Actuals!K27)),"",('Reforecast Q1 2026'!K27-Actuals!K27)/ABS('Reforecast Q1 2026'!K27)),"")</f>
        <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-249668.9</v>
      </c>
      <c r="AY21" s="133" t="n">
        <f aca="false">SUM(Actuals!C27:N27)</f>
        <v>-249668.9</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str">
        <f aca="false">IF(OR(9&gt;$B$3,ISBLANK(Actuals!K28)),"",Actuals!K28)</f>
        <v/>
      </c>
      <c r="AJ22" s="132" t="str">
        <f aca="false">IF(OR(9&gt;$B$3,ISBLANK(Actuals!K28)),"",'Reforecast Q1 2026'!K28-Actuals!K28)</f>
        <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str">
        <f aca="false">IF(OR(9&gt;$B$3,ISBLANK(Actuals!K29)),"",Actuals!K29)</f>
        <v/>
      </c>
      <c r="AJ23" s="132" t="str">
        <f aca="false">IF(OR(9&gt;$B$3,ISBLANK(Actuals!K29)),"",'Reforecast Q1 2026'!K29-Actuals!K29)</f>
        <v/>
      </c>
      <c r="AK23" s="132" t="str">
        <f aca="false">IFERROR(IF(OR(9&gt;$B$3,ISBLANK(Actuals!K29)),"",('Reforecast Q1 2026'!K29-Actuals!K29)/ABS('Reforecast Q1 2026'!K29)),"")</f>
        <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-73200</v>
      </c>
      <c r="AY23" s="133" t="n">
        <f aca="false">SUM(Actuals!C29:N29)</f>
        <v>-113215</v>
      </c>
      <c r="AZ23" s="134" t="n">
        <f aca="false">AX23-AY23</f>
        <v>40015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str">
        <f aca="false">IF(OR(9&gt;$B$3,ISBLANK(Actuals!K30)),"",Actuals!K30)</f>
        <v/>
      </c>
      <c r="AJ24" s="132" t="str">
        <f aca="false">IF(OR(9&gt;$B$3,ISBLANK(Actuals!K30)),"",'Reforecast Q1 2026'!K30-Actuals!K30)</f>
        <v/>
      </c>
      <c r="AK24" s="132" t="str">
        <f aca="false">IFERROR(IF(OR(9&gt;$B$3,ISBLANK(Actuals!K30)),"",('Reforecast Q1 2026'!K30-Actuals!K30)/ABS('Reforecast Q1 2026'!K30)),"")</f>
        <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-32197.13</v>
      </c>
      <c r="AY24" s="133" t="n">
        <f aca="false">SUM(Actuals!C30:N30)</f>
        <v>-43960.49</v>
      </c>
      <c r="AZ24" s="134" t="n">
        <f aca="false">AX24-AY24</f>
        <v>11763.36</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str">
        <f aca="false">IF(OR(9&gt;$B$3,ISBLANK(Actuals!K31)),"",Actuals!K31)</f>
        <v/>
      </c>
      <c r="AJ25" s="132" t="str">
        <f aca="false">IF(OR(9&gt;$B$3,ISBLANK(Actuals!K31)),"",'Reforecast Q1 2026'!K31-Actuals!K31)</f>
        <v/>
      </c>
      <c r="AK25" s="132" t="str">
        <f aca="false">IFERROR(IF(OR(9&gt;$B$3,ISBLANK(Actuals!K31)),"",('Reforecast Q1 2026'!K31-Actuals!K31)/ABS('Reforecast Q1 2026'!K31)),"")</f>
        <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-2873.03</v>
      </c>
      <c r="AY25" s="133" t="n">
        <f aca="false">SUM(Actuals!C31:N31)</f>
        <v>-5044.33</v>
      </c>
      <c r="AZ25" s="134" t="n">
        <f aca="false">AX25-AY25</f>
        <v>2171.3</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str">
        <f aca="false">IF(OR(9&gt;$B$3,ISBLANK(Actuals!K32)),"",Actuals!K32)</f>
        <v/>
      </c>
      <c r="AJ26" s="132" t="str">
        <f aca="false">IF(OR(9&gt;$B$3,ISBLANK(Actuals!K32)),"",'Reforecast Q1 2026'!K32-Actuals!K32)</f>
        <v/>
      </c>
      <c r="AK26" s="132" t="str">
        <f aca="false">IFERROR(IF(OR(9&gt;$B$3,ISBLANK(Actuals!K32)),"",('Reforecast Q1 2026'!K32-Actuals!K32)/ABS('Reforecast Q1 2026'!K32)),"")</f>
        <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-210.65</v>
      </c>
      <c r="AY26" s="133" t="n">
        <f aca="false">SUM(Actuals!C32:N32)</f>
        <v>-168</v>
      </c>
      <c r="AZ26" s="134" t="n">
        <f aca="false">AX26-AY26</f>
        <v>-42.65</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str">
        <f aca="false">IF(OR(9&gt;$B$3,ISBLANK(Actuals!K33)),"",Actuals!K33)</f>
        <v/>
      </c>
      <c r="AJ27" s="132" t="str">
        <f aca="false">IF(OR(9&gt;$B$3,ISBLANK(Actuals!K33)),"",'Reforecast Q1 2026'!K33-Actuals!K33)</f>
        <v/>
      </c>
      <c r="AK27" s="132" t="str">
        <f aca="false">IFERROR(IF(OR(9&gt;$B$3,ISBLANK(Actuals!K33)),"",('Reforecast Q1 2026'!K33-Actuals!K33)/ABS('Reforecast Q1 2026'!K33)),"")</f>
        <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-42406.41</v>
      </c>
      <c r="AY27" s="133" t="n">
        <f aca="false">SUM(Actuals!C33:N33)</f>
        <v>-49598.64</v>
      </c>
      <c r="AZ27" s="134" t="n">
        <f aca="false">AX27-AY27</f>
        <v>7192.23</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str">
        <f aca="false">IF(OR(9&gt;$B$3,ISBLANK(Actuals!K34)),"",Actuals!K34)</f>
        <v/>
      </c>
      <c r="AJ28" s="132" t="str">
        <f aca="false">IF(OR(9&gt;$B$3,ISBLANK(Actuals!K34)),"",'Reforecast Q1 2026'!K34-Actuals!K34)</f>
        <v/>
      </c>
      <c r="AK28" s="132" t="str">
        <f aca="false">IFERROR(IF(OR(9&gt;$B$3,ISBLANK(Actuals!K34)),"",('Reforecast Q1 2026'!K34-Actuals!K34)/ABS('Reforecast Q1 2026'!K34)),"")</f>
        <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-5888.25</v>
      </c>
      <c r="AY28" s="133" t="n">
        <f aca="false">SUM(Actuals!C34:N34)</f>
        <v>-4703.2</v>
      </c>
      <c r="AZ28" s="134" t="n">
        <f aca="false">AX28-AY28</f>
        <v>-1185.05</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str">
        <f aca="false">IF(OR(9&gt;$B$3,ISBLANK(Actuals!K35)),"",Actuals!K35)</f>
        <v/>
      </c>
      <c r="AJ29" s="132" t="str">
        <f aca="false">IF(OR(9&gt;$B$3,ISBLANK(Actuals!K35)),"",'Reforecast Q1 2026'!K35-Actuals!K35)</f>
        <v/>
      </c>
      <c r="AK29" s="132" t="str">
        <f aca="false">IFERROR(IF(OR(9&gt;$B$3,ISBLANK(Actuals!K35)),"",('Reforecast Q1 2026'!K35-Actuals!K35)/ABS('Reforecast Q1 2026'!K35)),"")</f>
        <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-9076.96</v>
      </c>
      <c r="AY29" s="133" t="n">
        <f aca="false">SUM(Actuals!C35:N35)</f>
        <v>-7475.9</v>
      </c>
      <c r="AZ29" s="134" t="n">
        <f aca="false">AX29-AY29</f>
        <v>-1601.06</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str">
        <f aca="false">IF(OR(9&gt;$B$3,ISBLANK(Actuals!K36)),"",Actuals!K36)</f>
        <v/>
      </c>
      <c r="AJ30" s="132" t="str">
        <f aca="false">IF(OR(9&gt;$B$3,ISBLANK(Actuals!K36)),"",'Reforecast Q1 2026'!K36-Actuals!K36)</f>
        <v/>
      </c>
      <c r="AK30" s="132" t="str">
        <f aca="false">IFERROR(IF(OR(9&gt;$B$3,ISBLANK(Actuals!K36)),"",('Reforecast Q1 2026'!K36-Actuals!K36)/ABS('Reforecast Q1 2026'!K36)),"")</f>
        <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-10166.65</v>
      </c>
      <c r="AY30" s="133" t="n">
        <f aca="false">SUM(Actuals!C36:N36)</f>
        <v>-5372.5</v>
      </c>
      <c r="AZ30" s="134" t="n">
        <f aca="false">AX30-AY30</f>
        <v>-4794.15</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str">
        <f aca="false">IF(OR(9&gt;$B$3,ISBLANK(Actuals!K37)),"",Actuals!K37)</f>
        <v/>
      </c>
      <c r="AJ31" s="132" t="str">
        <f aca="false">IF(OR(9&gt;$B$3,ISBLANK(Actuals!K37)),"",'Reforecast Q1 2026'!K37-Actuals!K37)</f>
        <v/>
      </c>
      <c r="AK31" s="132" t="str">
        <f aca="false">IFERROR(IF(OR(9&gt;$B$3,ISBLANK(Actuals!K37)),"",('Reforecast Q1 2026'!K37-Actuals!K37)/ABS('Reforecast Q1 2026'!K37)),"")</f>
        <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-47330.65</v>
      </c>
      <c r="AY31" s="133" t="n">
        <f aca="false">SUM(Actuals!C37:N37)</f>
        <v>-59876</v>
      </c>
      <c r="AZ31" s="134" t="n">
        <f aca="false">AX31-AY31</f>
        <v>12545.35</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str">
        <f aca="false">IF(OR(9&gt;$B$3,ISBLANK(Actuals!K38)),"",Actuals!K38)</f>
        <v/>
      </c>
      <c r="AJ32" s="132" t="str">
        <f aca="false">IF(OR(9&gt;$B$3,ISBLANK(Actuals!K38)),"",'Reforecast Q1 2026'!K38-Actuals!K38)</f>
        <v/>
      </c>
      <c r="AK32" s="132" t="str">
        <f aca="false">IFERROR(IF(OR(9&gt;$B$3,ISBLANK(Actuals!K38)),"",('Reforecast Q1 2026'!K38-Actuals!K38)/ABS('Reforecast Q1 2026'!K38)),"")</f>
        <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-2001.05</v>
      </c>
      <c r="AY32" s="133" t="n">
        <f aca="false">SUM(Actuals!C38:N38)</f>
        <v>-750.4</v>
      </c>
      <c r="AZ32" s="134" t="n">
        <f aca="false">AX32-AY32</f>
        <v>-1250.65</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str">
        <f aca="false">IF(OR(9&gt;$B$3,ISBLANK(Actuals!K39)),"",Actuals!K39)</f>
        <v/>
      </c>
      <c r="AJ33" s="132" t="str">
        <f aca="false">IF(OR(9&gt;$B$3,ISBLANK(Actuals!K39)),"",'Reforecast Q1 2026'!K39-Actuals!K39)</f>
        <v/>
      </c>
      <c r="AK33" s="132" t="str">
        <f aca="false">IFERROR(IF(OR(9&gt;$B$3,ISBLANK(Actuals!K39)),"",('Reforecast Q1 2026'!K39-Actuals!K39)/ABS('Reforecast Q1 2026'!K39)),"")</f>
        <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-14007.27</v>
      </c>
      <c r="AY33" s="133" t="n">
        <f aca="false">SUM(Actuals!C39:N39)</f>
        <v>-19660.37</v>
      </c>
      <c r="AZ33" s="134" t="n">
        <f aca="false">AX33-AY33</f>
        <v>5653.1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str">
        <f aca="false">IF(OR(9&gt;$B$3,ISBLANK(Actuals!K40)),"",Actuals!K40)</f>
        <v/>
      </c>
      <c r="AJ34" s="132" t="str">
        <f aca="false">IF(OR(9&gt;$B$3,ISBLANK(Actuals!K40)),"",'Reforecast Q1 2026'!K40-Actuals!K40)</f>
        <v/>
      </c>
      <c r="AK34" s="132" t="str">
        <f aca="false">IFERROR(IF(OR(9&gt;$B$3,ISBLANK(Actuals!K40)),"",('Reforecast Q1 2026'!K40-Actuals!K40)/ABS('Reforecast Q1 2026'!K40)),"")</f>
        <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-15909.37</v>
      </c>
      <c r="AY34" s="133" t="n">
        <f aca="false">SUM(Actuals!C40:N40)</f>
        <v>-18859.3</v>
      </c>
      <c r="AZ34" s="134" t="n">
        <f aca="false">AX34-AY34</f>
        <v>2949.93</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str">
        <f aca="false">IF(OR(9&gt;$B$3,ISBLANK(Actuals!K41)),"",Actuals!K41)</f>
        <v/>
      </c>
      <c r="AJ35" s="132" t="str">
        <f aca="false">IF(OR(9&gt;$B$3,ISBLANK(Actuals!K41)),"",'Reforecast Q1 2026'!K41-Actuals!K41)</f>
        <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str">
        <f aca="false">IF(OR(9&gt;$B$3,ISBLANK(Actuals!K42)),"",Actuals!K42)</f>
        <v/>
      </c>
      <c r="AJ36" s="132" t="str">
        <f aca="false">IF(OR(9&gt;$B$3,ISBLANK(Actuals!K42)),"",'Reforecast Q1 2026'!K42-Actuals!K42)</f>
        <v/>
      </c>
      <c r="AK36" s="132" t="str">
        <f aca="false">IFERROR(IF(OR(9&gt;$B$3,ISBLANK(Actuals!K42)),"",('Reforecast Q1 2026'!K42-Actuals!K42)/ABS('Reforecast Q1 2026'!K42)),"")</f>
        <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-440</v>
      </c>
      <c r="AY36" s="133" t="n">
        <f aca="false">SUM(Actuals!C42:N42)</f>
        <v>-495</v>
      </c>
      <c r="AZ36" s="134" t="n">
        <f aca="false">AX36-AY36</f>
        <v>55</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str">
        <f aca="false">IF(OR(9&gt;$B$3,ISBLANK(Actuals!K43)),"",Actuals!K43)</f>
        <v/>
      </c>
      <c r="AJ37" s="132" t="str">
        <f aca="false">IF(OR(9&gt;$B$3,ISBLANK(Actuals!K43)),"",'Reforecast Q1 2026'!K43-Actuals!K43)</f>
        <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str">
        <f aca="false">IF(OR(9&gt;$B$3,ISBLANK(Actuals!K44)),"",Actuals!K44)</f>
        <v/>
      </c>
      <c r="AJ38" s="132" t="str">
        <f aca="false">IF(OR(9&gt;$B$3,ISBLANK(Actuals!K44)),"",'Reforecast Q1 2026'!K44-Actuals!K44)</f>
        <v/>
      </c>
      <c r="AK38" s="132" t="str">
        <f aca="false">IFERROR(IF(OR(9&gt;$B$3,ISBLANK(Actuals!K44)),"",('Reforecast Q1 2026'!K44-Actuals!K44)/ABS('Reforecast Q1 2026'!K44)),"")</f>
        <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-4400</v>
      </c>
      <c r="AY38" s="133" t="n">
        <f aca="false">SUM(Actuals!C44:N44)</f>
        <v>-5100</v>
      </c>
      <c r="AZ38" s="134" t="n">
        <f aca="false">AX38-AY38</f>
        <v>700</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str">
        <f aca="false">IF(OR(9&gt;$B$3,ISBLANK(Actuals!K45)),"",Actuals!K45)</f>
        <v/>
      </c>
      <c r="AJ39" s="132" t="str">
        <f aca="false">IF(OR(9&gt;$B$3,ISBLANK(Actuals!K45)),"",'Reforecast Q1 2026'!K45-Actuals!K45)</f>
        <v/>
      </c>
      <c r="AK39" s="132" t="str">
        <f aca="false">IFERROR(IF(OR(9&gt;$B$3,ISBLANK(Actuals!K45)),"",('Reforecast Q1 2026'!K45-Actuals!K45)/ABS('Reforecast Q1 2026'!K45)),"")</f>
        <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-141105.11</v>
      </c>
      <c r="AY39" s="133" t="n">
        <f aca="false">SUM(Actuals!C45:N45)</f>
        <v>-142176.05</v>
      </c>
      <c r="AZ39" s="134" t="n">
        <f aca="false">AX39-AY39</f>
        <v>1070.94</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str">
        <f aca="false">IF(OR(9&gt;$B$3,ISBLANK(Actuals!K46)),"",Actuals!K46)</f>
        <v/>
      </c>
      <c r="AJ40" s="132" t="str">
        <f aca="false">IF(OR(9&gt;$B$3,ISBLANK(Actuals!K46)),"",'Reforecast Q1 2026'!K46-Actuals!K46)</f>
        <v/>
      </c>
      <c r="AK40" s="132" t="str">
        <f aca="false">IFERROR(IF(OR(9&gt;$B$3,ISBLANK(Actuals!K46)),"",('Reforecast Q1 2026'!K46-Actuals!K46)/ABS('Reforecast Q1 2026'!K46)),"")</f>
        <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-11378.65</v>
      </c>
      <c r="AY40" s="133" t="n">
        <f aca="false">SUM(Actuals!C46:N46)</f>
        <v>-12749.75</v>
      </c>
      <c r="AZ40" s="134" t="n">
        <f aca="false">AX40-AY40</f>
        <v>1371.1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str">
        <f aca="false">IF(OR(9&gt;$B$3,ISBLANK(Actuals!K47)),"",Actuals!K47)</f>
        <v/>
      </c>
      <c r="AJ41" s="132" t="str">
        <f aca="false">IF(OR(9&gt;$B$3,ISBLANK(Actuals!K47)),"",'Reforecast Q1 2026'!K47-Actuals!K47)</f>
        <v/>
      </c>
      <c r="AK41" s="132" t="str">
        <f aca="false">IFERROR(IF(OR(9&gt;$B$3,ISBLANK(Actuals!K47)),"",('Reforecast Q1 2026'!K47-Actuals!K47)/ABS('Reforecast Q1 2026'!K47)),"")</f>
        <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-1280</v>
      </c>
      <c r="AY41" s="133" t="n">
        <f aca="false">SUM(Actuals!C47:N47)</f>
        <v>-1280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str">
        <f aca="false">IF(OR(9&gt;$B$3,ISBLANK(Actuals!K48)),"",Actuals!K48)</f>
        <v/>
      </c>
      <c r="AJ42" s="132" t="str">
        <f aca="false">IF(OR(9&gt;$B$3,ISBLANK(Actuals!K48)),"",'Reforecast Q1 2026'!K48-Actuals!K48)</f>
        <v/>
      </c>
      <c r="AK42" s="132" t="str">
        <f aca="false">IFERROR(IF(OR(9&gt;$B$3,ISBLANK(Actuals!K48)),"",('Reforecast Q1 2026'!K48-Actuals!K48)/ABS('Reforecast Q1 2026'!K48)),"")</f>
        <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-51891.9</v>
      </c>
      <c r="AY42" s="133" t="n">
        <f aca="false">SUM(Actuals!C48:N48)</f>
        <v>-102138.51</v>
      </c>
      <c r="AZ42" s="134" t="n">
        <f aca="false">AX42-AY42</f>
        <v>50246.61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str">
        <f aca="false">IF(OR(9&gt;$B$3,ISBLANK(Actuals!K49)),"",Actuals!K49)</f>
        <v/>
      </c>
      <c r="AJ43" s="132" t="str">
        <f aca="false">IF(OR(9&gt;$B$3,ISBLANK(Actuals!K49)),"",'Reforecast Q1 2026'!K49-Actuals!K49)</f>
        <v/>
      </c>
      <c r="AK43" s="132" t="str">
        <f aca="false">IFERROR(IF(OR(9&gt;$B$3,ISBLANK(Actuals!K49)),"",('Reforecast Q1 2026'!K49-Actuals!K49)/ABS('Reforecast Q1 2026'!K49)),"")</f>
        <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-3340.81</v>
      </c>
      <c r="AY43" s="133" t="n">
        <f aca="false">SUM(Actuals!C49:N49)</f>
        <v>-10464.33</v>
      </c>
      <c r="AZ43" s="134" t="n">
        <f aca="false">AX43-AY43</f>
        <v>7123.52</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str">
        <f aca="false">IF(OR(9&gt;$B$3,ISBLANK(Actuals!K50)),"",Actuals!K50)</f>
        <v/>
      </c>
      <c r="AJ44" s="132" t="str">
        <f aca="false">IF(OR(9&gt;$B$3,ISBLANK(Actuals!K50)),"",'Reforecast Q1 2026'!K50-Actuals!K50)</f>
        <v/>
      </c>
      <c r="AK44" s="132" t="str">
        <f aca="false">IFERROR(IF(OR(9&gt;$B$3,ISBLANK(Actuals!K50)),"",('Reforecast Q1 2026'!K50-Actuals!K50)/ABS('Reforecast Q1 2026'!K50)),"")</f>
        <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-213.35</v>
      </c>
      <c r="AY44" s="133" t="n">
        <f aca="false">SUM(Actuals!C50:N50)</f>
        <v>-135</v>
      </c>
      <c r="AZ44" s="134" t="n">
        <f aca="false">AX44-AY44</f>
        <v>-78.35</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str">
        <f aca="false">IF(OR(9&gt;$B$3,ISBLANK(Actuals!K51)),"",Actuals!K51)</f>
        <v/>
      </c>
      <c r="AJ45" s="132" t="str">
        <f aca="false">IF(OR(9&gt;$B$3,ISBLANK(Actuals!K51)),"",'Reforecast Q1 2026'!K51-Actuals!K51)</f>
        <v/>
      </c>
      <c r="AK45" s="132" t="str">
        <f aca="false">IFERROR(IF(OR(9&gt;$B$3,ISBLANK(Actuals!K51)),"",('Reforecast Q1 2026'!K51-Actuals!K51)/ABS('Reforecast Q1 2026'!K51)),"")</f>
        <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-168</v>
      </c>
      <c r="AY45" s="133" t="n">
        <f aca="false">SUM(Actuals!C51:N51)</f>
        <v>-63</v>
      </c>
      <c r="AZ45" s="134" t="n">
        <f aca="false">AX45-AY45</f>
        <v>-105</v>
      </c>
    </row>
    <row r="46" customFormat="false" ht="15" hidden="false" customHeight="true" outlineLevel="0" collapsed="false">
      <c r="A46" s="130" t="s">
        <v>511</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str">
        <f aca="false">IF(OR(9&gt;$B$3,ISBLANK(Actuals!K53)),"",Actuals!K53)</f>
        <v/>
      </c>
      <c r="AJ47" s="132" t="str">
        <f aca="false">IF(OR(9&gt;$B$3,ISBLANK(Actuals!K53)),"",'Reforecast Q1 2026'!K53-Actuals!K53)</f>
        <v/>
      </c>
      <c r="AK47" s="132" t="str">
        <f aca="false">IFERROR(IF(OR(9&gt;$B$3,ISBLANK(Actuals!K53)),"",('Reforecast Q1 2026'!K53-Actuals!K53)/ABS('Reforecast Q1 2026'!K53)),"")</f>
        <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-29614.25</v>
      </c>
      <c r="AY47" s="133" t="n">
        <f aca="false">SUM(Actuals!C53:N53)</f>
        <v>-11105.35</v>
      </c>
      <c r="AZ47" s="134" t="n">
        <f aca="false">AX47-AY47</f>
        <v>-18508.9</v>
      </c>
    </row>
    <row r="48" customFormat="false" ht="15" hidden="false" customHeight="true" outlineLevel="0" collapsed="false">
      <c r="A48" s="130" t="s">
        <v>512</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str">
        <f aca="false">IF(OR(9&gt;$B$3,ISBLANK(Actuals!K54)),"",Actuals!K54)</f>
        <v/>
      </c>
      <c r="AJ48" s="132" t="str">
        <f aca="false">IF(OR(9&gt;$B$3,ISBLANK(Actuals!K54)),"",'Reforecast Q1 2026'!K54-Actuals!K54)</f>
        <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-3832.5</v>
      </c>
      <c r="AZ48" s="134" t="n">
        <f aca="false">AX48-AY48</f>
        <v>3832.5</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str">
        <f aca="false">IF(OR(9&gt;$B$3,ISBLANK(Actuals!K64)),"",Actuals!K64)</f>
        <v/>
      </c>
      <c r="AJ49" s="132" t="str">
        <f aca="false">IF(OR(9&gt;$B$3,ISBLANK(Actuals!K64)),"",'Reforecast Q1 2026'!K64-Actuals!K64)</f>
        <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6666.64</v>
      </c>
      <c r="AZ49" s="134" t="n">
        <f aca="false">AX49-AY49</f>
        <v>0</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str">
        <f aca="false">IF(OR(9&gt;$B$3,ISBLANK(Actuals!K65)),"",Actuals!K65)</f>
        <v/>
      </c>
      <c r="AJ50" s="132" t="str">
        <f aca="false">IF(OR(9&gt;$B$3,ISBLANK(Actuals!K65)),"",'Reforecast Q1 2026'!K65-Actuals!K65)</f>
        <v/>
      </c>
      <c r="AK50" s="132" t="str">
        <f aca="false">IFERROR(IF(OR(9&gt;$B$3,ISBLANK(Actuals!K65)),"",('Reforecast Q1 2026'!K65-Actuals!K65)/ABS('Reforecast Q1 2026'!K65)),"")</f>
        <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191250</v>
      </c>
      <c r="AY50" s="133" t="n">
        <f aca="false">SUM(Actuals!C65:N65)</f>
        <v>191250</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str">
        <f aca="false">IF(OR(9&gt;$B$3,ISBLANK(Actuals!K69)),"",Actuals!K69)</f>
        <v/>
      </c>
      <c r="AJ54" s="132" t="str">
        <f aca="false">IF(OR(9&gt;$B$3,ISBLANK(Actuals!K69)),"",'Reforecast Q1 2026'!K69-Actuals!K69)</f>
        <v/>
      </c>
      <c r="AK54" s="132" t="str">
        <f aca="false">IFERROR(IF(OR(9&gt;$B$3,ISBLANK(Actuals!K69)),"",('Reforecast Q1 2026'!K69-Actuals!K69)/ABS('Reforecast Q1 2026'!K69)),"")</f>
        <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75000</v>
      </c>
      <c r="AY54" s="133" t="n">
        <f aca="false">SUM(Actuals!C69:N69)</f>
        <v>75000</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str">
        <f aca="false">IF(OR(9&gt;$B$3,ISBLANK(Actuals!K70)),"",Actuals!K70)</f>
        <v/>
      </c>
      <c r="AJ55" s="132" t="str">
        <f aca="false">IF(OR(9&gt;$B$3,ISBLANK(Actuals!K70)),"",'Reforecast Q1 2026'!K70-Actuals!K70)</f>
        <v/>
      </c>
      <c r="AK55" s="132" t="str">
        <f aca="false">IFERROR(IF(OR(9&gt;$B$3,ISBLANK(Actuals!K70)),"",('Reforecast Q1 2026'!K70-Actuals!K70)/ABS('Reforecast Q1 2026'!K70)),"")</f>
        <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19000</v>
      </c>
      <c r="AY55" s="133" t="n">
        <f aca="false">SUM(Actuals!C70:N70)</f>
        <v>63000</v>
      </c>
      <c r="AZ55" s="134" t="n">
        <f aca="false">AX55-AY55</f>
        <v>-44000</v>
      </c>
    </row>
    <row r="56" customFormat="false" ht="15" hidden="false" customHeight="true" outlineLevel="0" collapsed="false">
      <c r="A56" s="130" t="s">
        <v>356</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357</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358</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359</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360</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str">
        <f aca="false">IF(OR(9&gt;$B$3,ISBLANK(Actuals!K63)),"",Actuals!K63)</f>
        <v/>
      </c>
      <c r="AJ66" s="132" t="str">
        <f aca="false">IF(OR(9&gt;$B$3,ISBLANK(Actuals!K63)),"",'Reforecast Q1 2026'!K63-Actuals!K63)</f>
        <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197916.64</v>
      </c>
      <c r="AY66" s="133" t="n">
        <f aca="false">SUM(Actuals!C63:N66)</f>
        <v>496916.64</v>
      </c>
      <c r="AZ66" s="134" t="n">
        <f aca="false">AX66-AY66</f>
        <v>-299000</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str">
        <f aca="false">IF(OR(9&gt;$B$3,ISBLANK(Actuals!K83)),"",Actuals!K83)</f>
        <v/>
      </c>
      <c r="AJ67" s="132" t="str">
        <f aca="false">IF(OR(9&gt;$B$3,ISBLANK(Actuals!K83)),"",'Reforecast Q1 2026'!K83-Actuals!K83)</f>
        <v/>
      </c>
      <c r="AK67" s="132" t="str">
        <f aca="false">IFERROR(IF(OR(9&gt;$B$3,ISBLANK(Actuals!K83)),"",('Reforecast Q1 2026'!K83-Actuals!K83)/ABS('Reforecast Q1 2026'!K83)),"")</f>
        <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-220046.026666667</v>
      </c>
      <c r="AY67" s="133" t="n">
        <f aca="false">SUM(Actuals!C83:N83)</f>
        <v>-433587.76</v>
      </c>
      <c r="AZ67" s="134" t="n">
        <f aca="false">AX67-AY67</f>
        <v>213541.733333334</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str">
        <f aca="false">IF(OR(9&gt;$B$3,ISBLANK(Actuals!K84)),"",Actuals!K84)</f>
        <v/>
      </c>
      <c r="AJ68" s="132" t="str">
        <f aca="false">IF(OR(9&gt;$B$3,ISBLANK(Actuals!K84)),"",'Reforecast Q1 2026'!K84-Actuals!K84)</f>
        <v/>
      </c>
      <c r="AK68" s="132" t="str">
        <f aca="false">IFERROR(IF(OR(9&gt;$B$3,ISBLANK(Actuals!K84)),"",('Reforecast Q1 2026'!K84-Actuals!K84)/ABS('Reforecast Q1 2026'!K84)),"")</f>
        <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-17738.1766666667</v>
      </c>
      <c r="AY68" s="133" t="n">
        <f aca="false">SUM(Actuals!C84:N84)</f>
        <v>-34457.6</v>
      </c>
      <c r="AZ68" s="134" t="n">
        <f aca="false">AX68-AY68</f>
        <v>16719.4233333333</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str">
        <f aca="false">IF(OR(9&gt;$B$3,ISBLANK(Actuals!K85)),"",Actuals!K85)</f>
        <v/>
      </c>
      <c r="AJ69" s="132" t="str">
        <f aca="false">IF(OR(9&gt;$B$3,ISBLANK(Actuals!K85)),"",'Reforecast Q1 2026'!K85-Actuals!K85)</f>
        <v/>
      </c>
      <c r="AK69" s="132" t="str">
        <f aca="false">IFERROR(IF(OR(9&gt;$B$3,ISBLANK(Actuals!K85)),"",('Reforecast Q1 2026'!K85-Actuals!K85)/ABS('Reforecast Q1 2026'!K85)),"")</f>
        <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-39277.9133333333</v>
      </c>
      <c r="AY69" s="133" t="n">
        <f aca="false">SUM(Actuals!C85:N85)</f>
        <v>-97102.23</v>
      </c>
      <c r="AZ69" s="134" t="n">
        <f aca="false">AX69-AY69</f>
        <v>57824.3166666667</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str">
        <f aca="false">IF(OR(9&gt;$B$3,ISBLANK(Actuals!K86)),"",Actuals!K86)</f>
        <v/>
      </c>
      <c r="AJ70" s="132" t="str">
        <f aca="false">IF(OR(9&gt;$B$3,ISBLANK(Actuals!K86)),"",'Reforecast Q1 2026'!K86-Actuals!K86)</f>
        <v/>
      </c>
      <c r="AK70" s="132" t="str">
        <f aca="false">IFERROR(IF(OR(9&gt;$B$3,ISBLANK(Actuals!K86)),"",('Reforecast Q1 2026'!K86-Actuals!K86)/ABS('Reforecast Q1 2026'!K86)),"")</f>
        <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-2573.11333333334</v>
      </c>
      <c r="AY70" s="133" t="n">
        <f aca="false">SUM(Actuals!C86:N86)</f>
        <v>-3806.08</v>
      </c>
      <c r="AZ70" s="134" t="n">
        <f aca="false">AX70-AY70</f>
        <v>1232.96666666666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str">
        <f aca="false">IF(OR(9&gt;$B$3,ISBLANK(Actuals!K87)),"",Actuals!K87)</f>
        <v/>
      </c>
      <c r="AJ71" s="132" t="str">
        <f aca="false">IF(OR(9&gt;$B$3,ISBLANK(Actuals!K87)),"",'Reforecast Q1 2026'!K87-Actuals!K87)</f>
        <v/>
      </c>
      <c r="AK71" s="132" t="str">
        <f aca="false">IFERROR(IF(OR(9&gt;$B$3,ISBLANK(Actuals!K87)),"",('Reforecast Q1 2026'!K87-Actuals!K87)/ABS('Reforecast Q1 2026'!K87)),"")</f>
        <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-6886.81833333333</v>
      </c>
      <c r="AY71" s="133" t="n">
        <f aca="false">SUM(Actuals!C87:N87)</f>
        <v>-17600.96</v>
      </c>
      <c r="AZ71" s="134" t="n">
        <f aca="false">AX71-AY71</f>
        <v>10714.1416666667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str">
        <f aca="false">IF(OR(9&gt;$B$3,ISBLANK(Actuals!K88)),"",Actuals!K88)</f>
        <v/>
      </c>
      <c r="AJ72" s="132" t="str">
        <f aca="false">IF(OR(9&gt;$B$3,ISBLANK(Actuals!K88)),"",'Reforecast Q1 2026'!K88-Actuals!K88)</f>
        <v/>
      </c>
      <c r="AK72" s="132" t="str">
        <f aca="false">IFERROR(IF(OR(9&gt;$B$3,ISBLANK(Actuals!K88)),"",('Reforecast Q1 2026'!K88-Actuals!K88)/ABS('Reforecast Q1 2026'!K88)),"")</f>
        <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-63942.19</v>
      </c>
      <c r="AY72" s="133" t="n">
        <f aca="false">SUM(Actuals!C88:N88)</f>
        <v>-65387.08</v>
      </c>
      <c r="AZ72" s="134" t="n">
        <f aca="false">AX72-AY72</f>
        <v>1444.89</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str">
        <f aca="false">IF(OR(9&gt;$B$3,ISBLANK(Actuals!K89)),"",Actuals!K89)</f>
        <v/>
      </c>
      <c r="AJ73" s="132" t="str">
        <f aca="false">IF(OR(9&gt;$B$3,ISBLANK(Actuals!K89)),"",'Reforecast Q1 2026'!K89-Actuals!K89)</f>
        <v/>
      </c>
      <c r="AK73" s="132" t="str">
        <f aca="false">IFERROR(IF(OR(9&gt;$B$3,ISBLANK(Actuals!K89)),"",('Reforecast Q1 2026'!K89-Actuals!K89)/ABS('Reforecast Q1 2026'!K89)),"")</f>
        <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-4670.41</v>
      </c>
      <c r="AY73" s="133" t="n">
        <f aca="false">SUM(Actuals!C89:N89)</f>
        <v>-2757.68</v>
      </c>
      <c r="AZ73" s="134" t="n">
        <f aca="false">AX73-AY73</f>
        <v>-1912.73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str">
        <f aca="false">IF(OR(9&gt;$B$3,ISBLANK(Actuals!K90)),"",Actuals!K90)</f>
        <v/>
      </c>
      <c r="AJ74" s="132" t="str">
        <f aca="false">IF(OR(9&gt;$B$3,ISBLANK(Actuals!K90)),"",'Reforecast Q1 2026'!K90-Actuals!K90)</f>
        <v/>
      </c>
      <c r="AK74" s="132" t="str">
        <f aca="false">IFERROR(IF(OR(9&gt;$B$3,ISBLANK(Actuals!K90)),"",('Reforecast Q1 2026'!K90-Actuals!K90)/ABS('Reforecast Q1 2026'!K90)),"")</f>
        <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-11982.88</v>
      </c>
      <c r="AY74" s="133" t="n">
        <f aca="false">SUM(Actuals!C90:N90)</f>
        <v>-21601.24</v>
      </c>
      <c r="AZ74" s="134" t="n">
        <f aca="false">AX74-AY74</f>
        <v>9618.36</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str">
        <f aca="false">IF(OR(9&gt;$B$3,ISBLANK(Actuals!K91)),"",Actuals!K91)</f>
        <v/>
      </c>
      <c r="AJ75" s="132" t="str">
        <f aca="false">IF(OR(9&gt;$B$3,ISBLANK(Actuals!K91)),"",'Reforecast Q1 2026'!K91-Actuals!K91)</f>
        <v/>
      </c>
      <c r="AK75" s="132" t="str">
        <f aca="false">IFERROR(IF(OR(9&gt;$B$3,ISBLANK(Actuals!K91)),"",('Reforecast Q1 2026'!K91-Actuals!K91)/ABS('Reforecast Q1 2026'!K91)),"")</f>
        <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-2320</v>
      </c>
      <c r="AY75" s="133" t="n">
        <f aca="false">SUM(Actuals!C91:N91)</f>
        <v>-870</v>
      </c>
      <c r="AZ75" s="134" t="n">
        <f aca="false">AX75-AY75</f>
        <v>-1450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str">
        <f aca="false">IF(OR(9&gt;$B$3,ISBLANK(Actuals!K92)),"",Actuals!K92)</f>
        <v/>
      </c>
      <c r="AJ76" s="132" t="str">
        <f aca="false">IF(OR(9&gt;$B$3,ISBLANK(Actuals!K92)),"",'Reforecast Q1 2026'!K92-Actuals!K92)</f>
        <v/>
      </c>
      <c r="AK76" s="132" t="str">
        <f aca="false">IFERROR(IF(OR(9&gt;$B$3,ISBLANK(Actuals!K92)),"",('Reforecast Q1 2026'!K92-Actuals!K92)/ABS('Reforecast Q1 2026'!K92)),"")</f>
        <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-1960</v>
      </c>
      <c r="AY76" s="133" t="n">
        <f aca="false">SUM(Actuals!C92:N92)</f>
        <v>-1715</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str">
        <f aca="false">IF(OR(9&gt;$B$3,ISBLANK(Actuals!K93)),"",Actuals!K93)</f>
        <v/>
      </c>
      <c r="AJ77" s="132" t="str">
        <f aca="false">IF(OR(9&gt;$B$3,ISBLANK(Actuals!K93)),"",'Reforecast Q1 2026'!K93-Actuals!K93)</f>
        <v/>
      </c>
      <c r="AK77" s="132" t="str">
        <f aca="false">IFERROR(IF(OR(9&gt;$B$3,ISBLANK(Actuals!K93)),"",('Reforecast Q1 2026'!K93-Actuals!K93)/ABS('Reforecast Q1 2026'!K93)),"")</f>
        <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-9435.99</v>
      </c>
      <c r="AY77" s="133" t="n">
        <f aca="false">SUM(Actuals!C93:N93)</f>
        <v>-11230.51</v>
      </c>
      <c r="AZ77" s="134" t="n">
        <f aca="false">AX77-AY77</f>
        <v>1794.52</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str">
        <f aca="false">IF(OR(9&gt;$B$3,ISBLANK(Actuals!K94)),"",Actuals!K94)</f>
        <v/>
      </c>
      <c r="AJ78" s="132" t="str">
        <f aca="false">IF(OR(9&gt;$B$3,ISBLANK(Actuals!K94)),"",'Reforecast Q1 2026'!K94-Actuals!K94)</f>
        <v/>
      </c>
      <c r="AK78" s="132" t="str">
        <f aca="false">IFERROR(IF(OR(9&gt;$B$3,ISBLANK(Actuals!K94)),"",('Reforecast Q1 2026'!K94-Actuals!K94)/ABS('Reforecast Q1 2026'!K94)),"")</f>
        <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-2930.4</v>
      </c>
      <c r="AY78" s="133" t="n">
        <f aca="false">SUM(Actuals!C94:N94)</f>
        <v>-2693.27</v>
      </c>
      <c r="AZ78" s="134" t="n">
        <f aca="false">AX78-AY78</f>
        <v>-237.13</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str">
        <f aca="false">IF(OR(9&gt;$B$3,ISBLANK(Actuals!K95)),"",Actuals!K95)</f>
        <v/>
      </c>
      <c r="AJ79" s="132" t="str">
        <f aca="false">IF(OR(9&gt;$B$3,ISBLANK(Actuals!K95)),"",'Reforecast Q1 2026'!K95-Actuals!K95)</f>
        <v/>
      </c>
      <c r="AK79" s="132" t="str">
        <f aca="false">IFERROR(IF(OR(9&gt;$B$3,ISBLANK(Actuals!K95)),"",('Reforecast Q1 2026'!K95-Actuals!K95)/ABS('Reforecast Q1 2026'!K95)),"")</f>
        <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-400.56</v>
      </c>
      <c r="AY79" s="133" t="n">
        <f aca="false">SUM(Actuals!C95:N95)</f>
        <v>-1162.56</v>
      </c>
      <c r="AZ79" s="134" t="n">
        <f aca="false">AX79-AY79</f>
        <v>762</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str">
        <f aca="false">IF(OR(9&gt;$B$3,ISBLANK(Actuals!K96)),"",Actuals!K96)</f>
        <v/>
      </c>
      <c r="AJ80" s="132" t="str">
        <f aca="false">IF(OR(9&gt;$B$3,ISBLANK(Actuals!K96)),"",'Reforecast Q1 2026'!K96-Actuals!K96)</f>
        <v/>
      </c>
      <c r="AK80" s="132" t="str">
        <f aca="false">IFERROR(IF(OR(9&gt;$B$3,ISBLANK(Actuals!K96)),"",('Reforecast Q1 2026'!K96-Actuals!K96)/ABS('Reforecast Q1 2026'!K96)),"")</f>
        <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-7171.45</v>
      </c>
      <c r="AY80" s="133" t="n">
        <f aca="false">SUM(Actuals!C96:N96)</f>
        <v>-7679.88</v>
      </c>
      <c r="AZ80" s="134" t="n">
        <f aca="false">AX80-AY80</f>
        <v>508.43</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str">
        <f aca="false">IF(OR(9&gt;$B$3,ISBLANK(Actuals!K97)),"",Actuals!K97)</f>
        <v/>
      </c>
      <c r="AJ81" s="132" t="str">
        <f aca="false">IF(OR(9&gt;$B$3,ISBLANK(Actuals!K97)),"",'Reforecast Q1 2026'!K97-Actuals!K97)</f>
        <v/>
      </c>
      <c r="AK81" s="132" t="str">
        <f aca="false">IFERROR(IF(OR(9&gt;$B$3,ISBLANK(Actuals!K97)),"",('Reforecast Q1 2026'!K97-Actuals!K97)/ABS('Reforecast Q1 2026'!K97)),"")</f>
        <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-48050.5</v>
      </c>
      <c r="AY81" s="133" t="n">
        <f aca="false">SUM(Actuals!C97:N97)</f>
        <v>-43867</v>
      </c>
      <c r="AZ81" s="134" t="n">
        <f aca="false">AX81-AY81</f>
        <v>-4183.5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str">
        <f aca="false">IF(OR(9&gt;$B$3,ISBLANK(Actuals!K98)),"",Actuals!K98)</f>
        <v/>
      </c>
      <c r="AJ82" s="132" t="str">
        <f aca="false">IF(OR(9&gt;$B$3,ISBLANK(Actuals!K98)),"",'Reforecast Q1 2026'!K98-Actuals!K98)</f>
        <v/>
      </c>
      <c r="AK82" s="132" t="str">
        <f aca="false">IFERROR(IF(OR(9&gt;$B$3,ISBLANK(Actuals!K98)),"",('Reforecast Q1 2026'!K98-Actuals!K98)/ABS('Reforecast Q1 2026'!K98)),"")</f>
        <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-21403.13</v>
      </c>
      <c r="AY82" s="133" t="n">
        <f aca="false">SUM(Actuals!C98:N98)</f>
        <v>-22427.18</v>
      </c>
      <c r="AZ82" s="134" t="n">
        <f aca="false">AX82-AY82</f>
        <v>1024.05</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str">
        <f aca="false">IF(OR(9&gt;$B$3,ISBLANK(Actuals!K99)),"",Actuals!K99)</f>
        <v/>
      </c>
      <c r="AJ83" s="132" t="str">
        <f aca="false">IF(OR(9&gt;$B$3,ISBLANK(Actuals!K99)),"",'Reforecast Q1 2026'!K99-Actuals!K99)</f>
        <v/>
      </c>
      <c r="AK83" s="132" t="str">
        <f aca="false">IFERROR(IF(OR(9&gt;$B$3,ISBLANK(Actuals!K99)),"",('Reforecast Q1 2026'!K99-Actuals!K99)/ABS('Reforecast Q1 2026'!K99)),"")</f>
        <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-128633.5</v>
      </c>
      <c r="AY83" s="133" t="n">
        <f aca="false">SUM(Actuals!C99:N99)</f>
        <v>-267718.5</v>
      </c>
      <c r="AZ83" s="134" t="n">
        <f aca="false">AX83-AY83</f>
        <v>139085</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str">
        <f aca="false">IF(OR(9&gt;$B$3,ISBLANK(Actuals!K100)),"",Actuals!K100)</f>
        <v/>
      </c>
      <c r="AJ84" s="132" t="str">
        <f aca="false">IF(OR(9&gt;$B$3,ISBLANK(Actuals!K100)),"",'Reforecast Q1 2026'!K100-Actuals!K100)</f>
        <v/>
      </c>
      <c r="AK84" s="132" t="str">
        <f aca="false">IFERROR(IF(OR(9&gt;$B$3,ISBLANK(Actuals!K100)),"",('Reforecast Q1 2026'!K100-Actuals!K100)/ABS('Reforecast Q1 2026'!K100)),"")</f>
        <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-12689.35</v>
      </c>
      <c r="AY84" s="133" t="n">
        <f aca="false">SUM(Actuals!C100:N100)</f>
        <v>-16222.09</v>
      </c>
      <c r="AZ84" s="134" t="n">
        <f aca="false">AX84-AY84</f>
        <v>3532.74</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str">
        <f aca="false">IF(OR(9&gt;$B$3,ISBLANK(Actuals!K101)),"",Actuals!K101)</f>
        <v/>
      </c>
      <c r="AJ85" s="132" t="str">
        <f aca="false">IF(OR(9&gt;$B$3,ISBLANK(Actuals!K101)),"",'Reforecast Q1 2026'!K101-Actuals!K101)</f>
        <v/>
      </c>
      <c r="AK85" s="132" t="str">
        <f aca="false">IFERROR(IF(OR(9&gt;$B$3,ISBLANK(Actuals!K101)),"",('Reforecast Q1 2026'!K101-Actuals!K101)/ABS('Reforecast Q1 2026'!K101)),"")</f>
        <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-43537.53</v>
      </c>
      <c r="AY85" s="133" t="n">
        <f aca="false">SUM(Actuals!C101:N101)</f>
        <v>-24332.68</v>
      </c>
      <c r="AZ85" s="134" t="n">
        <f aca="false">AX85-AY85</f>
        <v>-19204.85</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str">
        <f aca="false">IF(OR(9&gt;$B$3,ISBLANK(Actuals!K102)),"",Actuals!K102)</f>
        <v/>
      </c>
      <c r="AJ86" s="132" t="str">
        <f aca="false">IF(OR(9&gt;$B$3,ISBLANK(Actuals!K102)),"",'Reforecast Q1 2026'!K102-Actuals!K102)</f>
        <v/>
      </c>
      <c r="AK86" s="132" t="str">
        <f aca="false">IFERROR(IF(OR(9&gt;$B$3,ISBLANK(Actuals!K102)),"",('Reforecast Q1 2026'!K102-Actuals!K102)/ABS('Reforecast Q1 2026'!K102)),"")</f>
        <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-15242.48</v>
      </c>
      <c r="AY86" s="133" t="n">
        <f aca="false">SUM(Actuals!C102:N102)</f>
        <v>-15242.48</v>
      </c>
      <c r="AZ86" s="134" t="n">
        <f aca="false">AX86-AY86</f>
        <v>0</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str">
        <f aca="false">IF(OR(9&gt;$B$3,ISBLANK(Actuals!K103)),"",Actuals!K103)</f>
        <v/>
      </c>
      <c r="AJ87" s="132" t="str">
        <f aca="false">IF(OR(9&gt;$B$3,ISBLANK(Actuals!K103)),"",'Reforecast Q1 2026'!K103-Actuals!K103)</f>
        <v/>
      </c>
      <c r="AK87" s="132" t="str">
        <f aca="false">IFERROR(IF(OR(9&gt;$B$3,ISBLANK(Actuals!K103)),"",('Reforecast Q1 2026'!K103-Actuals!K103)/ABS('Reforecast Q1 2026'!K103)),"")</f>
        <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-16800</v>
      </c>
      <c r="AY87" s="133" t="n">
        <f aca="false">SUM(Actuals!C103:N103)</f>
        <v>-16800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str">
        <f aca="false">IF(OR(9&gt;$B$3,ISBLANK(Actuals!K104)),"",Actuals!K104)</f>
        <v/>
      </c>
      <c r="AJ88" s="132" t="str">
        <f aca="false">IF(OR(9&gt;$B$3,ISBLANK(Actuals!K104)),"",'Reforecast Q1 2026'!K104-Actuals!K104)</f>
        <v/>
      </c>
      <c r="AK88" s="132" t="str">
        <f aca="false">IFERROR(IF(OR(9&gt;$B$3,ISBLANK(Actuals!K104)),"",('Reforecast Q1 2026'!K104-Actuals!K104)/ABS('Reforecast Q1 2026'!K104)),"")</f>
        <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-324999.98</v>
      </c>
      <c r="AY88" s="133" t="n">
        <f aca="false">SUM(Actuals!C104:N104)</f>
        <v>-533333.28</v>
      </c>
      <c r="AZ88" s="134" t="n">
        <f aca="false">AX88-AY88</f>
        <v>208333.3</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str">
        <f aca="false">IF(OR(9&gt;$B$3,ISBLANK(Actuals!K105)),"",Actuals!K105)</f>
        <v/>
      </c>
      <c r="AJ89" s="132" t="str">
        <f aca="false">IF(OR(9&gt;$B$3,ISBLANK(Actuals!K105)),"",'Reforecast Q1 2026'!K105-Actuals!K105)</f>
        <v/>
      </c>
      <c r="AK89" s="132" t="str">
        <f aca="false">IFERROR(IF(OR(9&gt;$B$3,ISBLANK(Actuals!K105)),"",('Reforecast Q1 2026'!K105-Actuals!K105)/ABS('Reforecast Q1 2026'!K105)),"")</f>
        <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-12645.21</v>
      </c>
      <c r="AY89" s="133" t="n">
        <f aca="false">SUM(Actuals!C105:N105)</f>
        <v>-26782.56</v>
      </c>
      <c r="AZ89" s="134" t="n">
        <f aca="false">AX89-AY89</f>
        <v>14137.35</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str">
        <f aca="false">IF(OR(9&gt;$B$3,ISBLANK(Actuals!K106)),"",Actuals!K106)</f>
        <v/>
      </c>
      <c r="AJ90" s="132" t="str">
        <f aca="false">IF(OR(9&gt;$B$3,ISBLANK(Actuals!K106)),"",'Reforecast Q1 2026'!K106-Actuals!K106)</f>
        <v/>
      </c>
      <c r="AK90" s="132" t="str">
        <f aca="false">IFERROR(IF(OR(9&gt;$B$3,ISBLANK(Actuals!K106)),"",('Reforecast Q1 2026'!K106-Actuals!K106)/ABS('Reforecast Q1 2026'!K106)),"")</f>
        <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-3573.03</v>
      </c>
      <c r="AY90" s="133" t="n">
        <f aca="false">SUM(Actuals!C106:N106)</f>
        <v>-4536.36</v>
      </c>
      <c r="AZ90" s="134" t="n">
        <f aca="false">AX90-AY90</f>
        <v>963.330000000001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513</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0</v>
      </c>
      <c r="AJ97" s="136" t="n">
        <f aca="false">SUM(AJ6:AJ13)+SUM(AJ15:AJ95)</f>
        <v>0</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72965.431943235</v>
      </c>
      <c r="AY97" s="136" t="n">
        <f aca="false">SUM(AY6:AY13)+SUM(AY15:AY95)</f>
        <v>1516682.07</v>
      </c>
      <c r="AZ97" s="136" t="n">
        <f aca="false">SUM(AZ6:AZ13)+SUM(AZ15:AZ95)</f>
        <v>-1443716.63805676</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515</v>
      </c>
    </row>
    <row r="2" customFormat="false" ht="15" hidden="false" customHeight="true" outlineLevel="0" collapsed="false">
      <c r="A2" s="72" t="s">
        <v>516</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350</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517</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351</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352</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409</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411</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512</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356</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357</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358</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359</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360</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518</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519</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520</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521</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522</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523</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524</v>
      </c>
    </row>
    <row r="2" customFormat="false" ht="15" hidden="false" customHeight="true" outlineLevel="0" collapsed="false">
      <c r="A2" s="72" t="s">
        <v>525</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350</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517</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351</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352</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409</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411</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512</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356</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357</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358</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359</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360</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484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526</v>
      </c>
    </row>
    <row r="2" customFormat="false" ht="15" hidden="false" customHeight="true" outlineLevel="0" collapsed="false">
      <c r="A2" s="72" t="s">
        <v>527</v>
      </c>
    </row>
    <row r="4" customFormat="false" ht="31.5" hidden="false" customHeight="true" outlineLevel="0" collapsed="false">
      <c r="A4" s="110" t="s">
        <v>528</v>
      </c>
      <c r="B4" s="110" t="s">
        <v>529</v>
      </c>
      <c r="C4" s="110" t="s">
        <v>530</v>
      </c>
      <c r="D4" s="110" t="s">
        <v>531</v>
      </c>
      <c r="E4" s="110" t="s">
        <v>532</v>
      </c>
      <c r="F4" s="110" t="s">
        <v>533</v>
      </c>
      <c r="G4" s="110" t="s">
        <v>534</v>
      </c>
      <c r="H4" s="110" t="s">
        <v>535</v>
      </c>
      <c r="I4" s="154" t="s">
        <v>536</v>
      </c>
      <c r="J4" s="110" t="s">
        <v>537</v>
      </c>
      <c r="K4" s="110" t="s">
        <v>538</v>
      </c>
      <c r="L4" s="110" t="s">
        <v>539</v>
      </c>
      <c r="M4" s="154" t="s">
        <v>540</v>
      </c>
      <c r="N4" s="154" t="s">
        <v>541</v>
      </c>
      <c r="O4" s="154" t="s">
        <v>542</v>
      </c>
      <c r="P4" s="154" t="s">
        <v>543</v>
      </c>
      <c r="Q4" s="154" t="s">
        <v>544</v>
      </c>
      <c r="R4" s="154" t="s">
        <v>545</v>
      </c>
      <c r="S4" s="154" t="s">
        <v>546</v>
      </c>
    </row>
    <row r="5" customFormat="false" ht="15" hidden="false" customHeight="true" outlineLevel="0" collapsed="false">
      <c r="A5" s="155" t="s">
        <v>274</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3319222.00918538</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275</v>
      </c>
      <c r="B6" s="163" t="n">
        <f aca="false">SUM(Helpers!O96:Z96)</f>
        <v>0</v>
      </c>
      <c r="C6" s="163" t="n">
        <f aca="false">(SUM(Helpers!O97:Z97)-SUM(Helpers!O96:Z96))*(Assumptions!$B$10+Assumptions!$B$12)/Assumptions!$B$9</f>
        <v>0</v>
      </c>
      <c r="D6" s="163" t="n">
        <f aca="false">(SUM(Helpers!O97:Z97)-SUM(Helpers!O96:Z96))*Assumptions!$B$11/Assumptions!$B$9</f>
        <v>0</v>
      </c>
      <c r="E6" s="163" t="n">
        <v>0</v>
      </c>
      <c r="F6" s="164" t="n">
        <f aca="false">SUM(Helpers!O97:Z97)</f>
        <v>0</v>
      </c>
      <c r="G6" s="163" t="n">
        <f aca="false">SUM(Helpers!O99:Z99)</f>
        <v>6160152.35569753</v>
      </c>
      <c r="H6" s="164" t="n">
        <f aca="false">SUM(Helpers!O100:Z100)</f>
        <v>0</v>
      </c>
      <c r="I6" s="165" t="n">
        <f aca="false">-SUM(Model!N234:Y234)</f>
        <v>-0</v>
      </c>
      <c r="J6" s="163" t="n">
        <f aca="false">Personnel!$C$46</f>
        <v>222000</v>
      </c>
      <c r="K6" s="166" t="n">
        <f aca="false">I6+J6</f>
        <v>222000</v>
      </c>
      <c r="L6" s="167" t="n">
        <f aca="false">IFERROR(I6/K6,0)</f>
        <v>-0</v>
      </c>
      <c r="M6" s="158" t="n">
        <f aca="false">SUM(Helpers!O101:Z101)</f>
        <v>0</v>
      </c>
      <c r="N6" s="158" t="n">
        <f aca="false">B6-M6</f>
        <v>0</v>
      </c>
      <c r="O6" s="158" t="n">
        <f aca="false">IFERROR(H6*M6/B6,0)</f>
        <v>0</v>
      </c>
      <c r="P6" s="158" t="n">
        <f aca="false">H6-O6</f>
        <v>0</v>
      </c>
      <c r="Q6" s="161" t="n">
        <f aca="false">IF(N6&gt;=Assumptions!$B$86,Assumptions!$C$86,IF(N6&gt;=Assumptions!$B$85,Assumptions!$C$85,IF(N6&gt;=Assumptions!$B$84,Assumptions!$C$84,Assumptions!$C$83)))</f>
        <v>0.25</v>
      </c>
      <c r="R6" s="158" t="n">
        <f aca="false">O6*Q6*0.1</f>
        <v>0</v>
      </c>
      <c r="S6" s="158" t="n">
        <f aca="false">P6*0.1</f>
        <v>0</v>
      </c>
    </row>
    <row r="7" customFormat="false" ht="15" hidden="false" customHeight="true" outlineLevel="0" collapsed="false">
      <c r="A7" s="155" t="s">
        <v>276</v>
      </c>
      <c r="B7" s="156" t="n">
        <f aca="false">SUM(Helpers!AA96:AL96)</f>
        <v>0</v>
      </c>
      <c r="C7" s="156" t="n">
        <f aca="false">(SUM(Helpers!AA97:AL97)-SUM(Helpers!AA96:AL96))*(Assumptions!$B$10+Assumptions!$B$12)/Assumptions!$B$9</f>
        <v>0</v>
      </c>
      <c r="D7" s="156" t="n">
        <f aca="false">(SUM(Helpers!AA97:AL97)-SUM(Helpers!AA96:AL96))*Assumptions!$B$11/Assumptions!$B$9</f>
        <v>0</v>
      </c>
      <c r="E7" s="156" t="n">
        <v>0</v>
      </c>
      <c r="F7" s="157" t="n">
        <f aca="false">SUM(Helpers!AA97:AL97)</f>
        <v>0</v>
      </c>
      <c r="G7" s="156" t="n">
        <f aca="false">SUM(Helpers!AA99:AL99)</f>
        <v>6688665.87726925</v>
      </c>
      <c r="H7" s="157" t="n">
        <f aca="false">SUM(Helpers!AA100:AL100)</f>
        <v>0</v>
      </c>
      <c r="I7" s="158" t="n">
        <f aca="false">-SUM(Model!Z234:AK234)</f>
        <v>-0</v>
      </c>
      <c r="J7" s="156" t="n">
        <f aca="false">Personnel!$C$46</f>
        <v>222000</v>
      </c>
      <c r="K7" s="159" t="n">
        <f aca="false">I7+J7</f>
        <v>222000</v>
      </c>
      <c r="L7" s="160" t="n">
        <f aca="false">IFERROR(I7/K7,0)</f>
        <v>-0</v>
      </c>
      <c r="M7" s="158" t="n">
        <f aca="false">SUM(Helpers!AA101:AL101)</f>
        <v>0</v>
      </c>
      <c r="N7" s="158" t="n">
        <f aca="false">B7-M7</f>
        <v>0</v>
      </c>
      <c r="O7" s="158" t="n">
        <f aca="false">IFERROR(H7*M7/B7,0)</f>
        <v>0</v>
      </c>
      <c r="P7" s="158" t="n">
        <f aca="false">H7-O7</f>
        <v>0</v>
      </c>
      <c r="Q7" s="161" t="n">
        <f aca="false">IF(N7&gt;=Assumptions!$B$86,Assumptions!$C$86,IF(N7&gt;=Assumptions!$B$85,Assumptions!$C$85,IF(N7&gt;=Assumptions!$B$84,Assumptions!$C$84,Assumptions!$C$83)))</f>
        <v>0.25</v>
      </c>
      <c r="R7" s="158" t="n">
        <f aca="false">O7*Q7*0.1</f>
        <v>0</v>
      </c>
      <c r="S7" s="158" t="n">
        <f aca="false">P7*0.1</f>
        <v>0</v>
      </c>
    </row>
    <row r="8" customFormat="false" ht="15" hidden="false" customHeight="true" outlineLevel="0" collapsed="false">
      <c r="A8" s="162" t="s">
        <v>277</v>
      </c>
      <c r="B8" s="163" t="n">
        <f aca="false">SUM(Helpers!AM96:AX96)</f>
        <v>0</v>
      </c>
      <c r="C8" s="163" t="n">
        <f aca="false">(SUM(Helpers!AM97:AX97)-SUM(Helpers!AM96:AX96))*(Assumptions!$B$10+Assumptions!$B$12)/Assumptions!$B$9</f>
        <v>0</v>
      </c>
      <c r="D8" s="163" t="n">
        <f aca="false">(SUM(Helpers!AM97:AX97)-SUM(Helpers!AM96:AX96))*Assumptions!$B$11/Assumptions!$B$9</f>
        <v>0</v>
      </c>
      <c r="E8" s="163" t="n">
        <v>0</v>
      </c>
      <c r="F8" s="164" t="n">
        <f aca="false">SUM(Helpers!AM97:AX97)</f>
        <v>0</v>
      </c>
      <c r="G8" s="163" t="n">
        <f aca="false">SUM(Helpers!AM99:AX99)</f>
        <v>137939.22196603</v>
      </c>
      <c r="H8" s="164" t="n">
        <f aca="false">SUM(Helpers!AM100:AX100)</f>
        <v>0</v>
      </c>
      <c r="I8" s="165" t="n">
        <f aca="false">-SUM(Model!AL234:AW234)</f>
        <v>-0</v>
      </c>
      <c r="J8" s="163" t="n">
        <f aca="false">Personnel!$C$46</f>
        <v>222000</v>
      </c>
      <c r="K8" s="166" t="n">
        <f aca="false">I8+J8</f>
        <v>222000</v>
      </c>
      <c r="L8" s="167" t="n">
        <f aca="false">IFERROR(I8/K8,0)</f>
        <v>-0</v>
      </c>
      <c r="M8" s="158" t="n">
        <f aca="false">SUM(Helpers!AM101:AX101)</f>
        <v>0</v>
      </c>
      <c r="N8" s="158" t="n">
        <f aca="false">B8-M8</f>
        <v>0</v>
      </c>
      <c r="O8" s="158" t="n">
        <f aca="false">IFERROR(H8*M8/B8,0)</f>
        <v>0</v>
      </c>
      <c r="P8" s="158" t="n">
        <f aca="false">H8-O8</f>
        <v>0</v>
      </c>
      <c r="Q8" s="161" t="n">
        <f aca="false">IF(N8&gt;=Assumptions!$B$86,Assumptions!$C$86,IF(N8&gt;=Assumptions!$B$85,Assumptions!$C$85,IF(N8&gt;=Assumptions!$B$84,Assumptions!$C$84,Assumptions!$C$83)))</f>
        <v>0.25</v>
      </c>
      <c r="R8" s="158" t="n">
        <f aca="false">O8*Q8*0.1</f>
        <v>0</v>
      </c>
      <c r="S8" s="158" t="n">
        <f aca="false">P8*0.1</f>
        <v>0</v>
      </c>
    </row>
    <row r="9" customFormat="false" ht="15" hidden="false" customHeight="true" outlineLevel="0" collapsed="false">
      <c r="A9" s="155" t="s">
        <v>278</v>
      </c>
      <c r="B9" s="156" t="n">
        <f aca="false">SUM(Helpers!AY96:BJ96)</f>
        <v>0</v>
      </c>
      <c r="C9" s="156" t="n">
        <f aca="false">(SUM(Helpers!AY97:BJ97)-SUM(Helpers!AY96:BJ96))*(Assumptions!$B$10+Assumptions!$B$12)/Assumptions!$B$9</f>
        <v>0</v>
      </c>
      <c r="D9" s="156" t="n">
        <f aca="false">(SUM(Helpers!AY97:BJ97)-SUM(Helpers!AY96:BJ96))*Assumptions!$B$11/Assumptions!$B$9</f>
        <v>0</v>
      </c>
      <c r="E9" s="156" t="n">
        <v>0</v>
      </c>
      <c r="F9" s="157" t="n">
        <f aca="false">SUM(Helpers!AY97:BJ97)</f>
        <v>0</v>
      </c>
      <c r="G9" s="156" t="n">
        <f aca="false">SUM(Helpers!AY99:BJ99)</f>
        <v>-2821681.92973443</v>
      </c>
      <c r="H9" s="157" t="n">
        <f aca="false">SUM(Helpers!AY100:BJ100)</f>
        <v>0</v>
      </c>
      <c r="I9" s="158" t="n">
        <f aca="false">-SUM(Model!AX234:BI234)</f>
        <v>-0</v>
      </c>
      <c r="J9" s="156" t="n">
        <f aca="false">Personnel!$C$46</f>
        <v>222000</v>
      </c>
      <c r="K9" s="159" t="n">
        <f aca="false">I9+J9</f>
        <v>222000</v>
      </c>
      <c r="L9" s="160" t="n">
        <f aca="false">IFERROR(I9/K9,0)</f>
        <v>-0</v>
      </c>
      <c r="M9" s="158" t="n">
        <f aca="false">SUM(Helpers!AY101:BJ101)</f>
        <v>0</v>
      </c>
      <c r="N9" s="158" t="n">
        <f aca="false">B9-M9</f>
        <v>0</v>
      </c>
      <c r="O9" s="158" t="n">
        <f aca="false">IFERROR(H9*M9/B9,0)</f>
        <v>0</v>
      </c>
      <c r="P9" s="158" t="n">
        <f aca="false">H9-O9</f>
        <v>0</v>
      </c>
      <c r="Q9" s="161" t="n">
        <f aca="false">IF(N9&gt;=Assumptions!$B$86,Assumptions!$C$86,IF(N9&gt;=Assumptions!$B$85,Assumptions!$C$85,IF(N9&gt;=Assumptions!$B$84,Assumptions!$C$84,Assumptions!$C$83)))</f>
        <v>0.25</v>
      </c>
      <c r="R9" s="158" t="n">
        <f aca="false">O9*Q9*0.1</f>
        <v>0</v>
      </c>
      <c r="S9" s="158" t="n">
        <f aca="false">P9*0.1</f>
        <v>0</v>
      </c>
    </row>
    <row r="10" customFormat="false" ht="15" hidden="false" customHeight="true" outlineLevel="0" collapsed="false">
      <c r="A10" s="162" t="s">
        <v>279</v>
      </c>
      <c r="B10" s="163" t="n">
        <f aca="false">SUM(Helpers!BK96:BV96)</f>
        <v>0</v>
      </c>
      <c r="C10" s="163" t="n">
        <f aca="false">(SUM(Helpers!BK97:BV97)-SUM(Helpers!BK96:BV96))*(Assumptions!$B$10+Assumptions!$B$12)/Assumptions!$B$9</f>
        <v>0</v>
      </c>
      <c r="D10" s="163" t="n">
        <f aca="false">(SUM(Helpers!BK97:BV97)-SUM(Helpers!BK96:BV96))*Assumptions!$B$11/Assumptions!$B$9</f>
        <v>0</v>
      </c>
      <c r="E10" s="163" t="n">
        <v>0</v>
      </c>
      <c r="F10" s="164" t="n">
        <f aca="false">SUM(Helpers!BK97:BV97)</f>
        <v>0</v>
      </c>
      <c r="G10" s="163" t="n">
        <f aca="false">SUM(Helpers!BK99:BV99)</f>
        <v>-4897371.73943092</v>
      </c>
      <c r="H10" s="164" t="n">
        <f aca="false">SUM(Helpers!BK100:BV100)</f>
        <v>0</v>
      </c>
      <c r="I10" s="165" t="n">
        <f aca="false">-SUM(Model!BJ234:BU234)</f>
        <v>-0</v>
      </c>
      <c r="J10" s="163" t="n">
        <f aca="false">Personnel!$C$46</f>
        <v>222000</v>
      </c>
      <c r="K10" s="166" t="n">
        <f aca="false">I10+J10</f>
        <v>222000</v>
      </c>
      <c r="L10" s="167" t="n">
        <f aca="false">IFERROR(I10/K10,0)</f>
        <v>-0</v>
      </c>
      <c r="M10" s="158" t="n">
        <f aca="false">SUM(Helpers!BK101:BV101)</f>
        <v>0</v>
      </c>
      <c r="N10" s="158" t="n">
        <f aca="false">B10-M10</f>
        <v>0</v>
      </c>
      <c r="O10" s="158" t="n">
        <f aca="false">IFERROR(H10*M10/B10,0)</f>
        <v>0</v>
      </c>
      <c r="P10" s="158" t="n">
        <f aca="false">H10-O10</f>
        <v>0</v>
      </c>
      <c r="Q10" s="161" t="n">
        <f aca="false">IF(N10&gt;=Assumptions!$B$86,Assumptions!$C$86,IF(N10&gt;=Assumptions!$B$85,Assumptions!$C$85,IF(N10&gt;=Assumptions!$B$84,Assumptions!$C$84,Assumptions!$C$83)))</f>
        <v>0.25</v>
      </c>
      <c r="R10" s="158" t="n">
        <f aca="false">O10*Q10*0.1</f>
        <v>0</v>
      </c>
      <c r="S10" s="158" t="n">
        <f aca="false">P10*0.1</f>
        <v>0</v>
      </c>
    </row>
    <row r="11" customFormat="false" ht="15" hidden="false" customHeight="true" outlineLevel="0" collapsed="false">
      <c r="A11" s="155" t="s">
        <v>280</v>
      </c>
      <c r="B11" s="156" t="n">
        <f aca="false">SUM(Helpers!BW96:CH96)</f>
        <v>0</v>
      </c>
      <c r="C11" s="156" t="n">
        <f aca="false">(SUM(Helpers!BW97:CH97)-SUM(Helpers!BW96:CH96))*(Assumptions!$B$10+Assumptions!$B$12)/Assumptions!$B$9</f>
        <v>0</v>
      </c>
      <c r="D11" s="156" t="n">
        <f aca="false">(SUM(Helpers!BW97:CH97)-SUM(Helpers!BW96:CH96))*Assumptions!$B$11/Assumptions!$B$9</f>
        <v>0</v>
      </c>
      <c r="E11" s="156" t="n">
        <v>0</v>
      </c>
      <c r="F11" s="157" t="n">
        <f aca="false">SUM(Helpers!BW97:CH97)</f>
        <v>0</v>
      </c>
      <c r="G11" s="156" t="n">
        <f aca="false">SUM(Helpers!BW99:CH99)</f>
        <v>-4991719.17421954</v>
      </c>
      <c r="H11" s="157" t="n">
        <f aca="false">SUM(Helpers!BW100:CH100)</f>
        <v>0</v>
      </c>
      <c r="I11" s="158" t="n">
        <f aca="false">-SUM(Model!BV234:CG234)</f>
        <v>-0</v>
      </c>
      <c r="J11" s="156" t="n">
        <f aca="false">Personnel!$C$46</f>
        <v>222000</v>
      </c>
      <c r="K11" s="159" t="n">
        <f aca="false">I11+J11</f>
        <v>222000</v>
      </c>
      <c r="L11" s="160" t="n">
        <f aca="false">IFERROR(I11/K11,0)</f>
        <v>-0</v>
      </c>
      <c r="M11" s="158" t="n">
        <f aca="false">SUM(Helpers!BW101:CH101)</f>
        <v>0</v>
      </c>
      <c r="N11" s="158" t="n">
        <f aca="false">B11-M11</f>
        <v>0</v>
      </c>
      <c r="O11" s="158" t="n">
        <f aca="false">IFERROR(H11*M11/B11,0)</f>
        <v>0</v>
      </c>
      <c r="P11" s="158" t="n">
        <f aca="false">H11-O11</f>
        <v>0</v>
      </c>
      <c r="Q11" s="161" t="n">
        <f aca="false">IF(N11&gt;=Assumptions!$B$86,Assumptions!$C$86,IF(N11&gt;=Assumptions!$B$85,Assumptions!$C$85,IF(N11&gt;=Assumptions!$B$84,Assumptions!$C$84,Assumptions!$C$83)))</f>
        <v>0.25</v>
      </c>
      <c r="R11" s="158" t="n">
        <f aca="false">O11*Q11*0.1</f>
        <v>0</v>
      </c>
      <c r="S11" s="158" t="n">
        <f aca="false">P11*0.1</f>
        <v>0</v>
      </c>
    </row>
    <row r="12" customFormat="false" ht="15" hidden="false" customHeight="true" outlineLevel="0" collapsed="false">
      <c r="A12" s="162" t="s">
        <v>281</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547</v>
      </c>
      <c r="B13" s="168" t="n">
        <f aca="false">SUM(B5:B12)</f>
        <v>0</v>
      </c>
      <c r="C13" s="168" t="n">
        <f aca="false">SUM(C5:C12)</f>
        <v>0</v>
      </c>
      <c r="D13" s="168" t="n">
        <f aca="false">SUM(D5:D12)</f>
        <v>0</v>
      </c>
      <c r="E13" s="168" t="n">
        <f aca="false">SUM(E5:E12)</f>
        <v>0</v>
      </c>
      <c r="F13" s="168" t="n">
        <f aca="false">SUM(F5:F12)</f>
        <v>0</v>
      </c>
      <c r="G13" s="168" t="n">
        <f aca="false">SUM(G5:G12)</f>
        <v>-1492746.93697064</v>
      </c>
      <c r="H13" s="168" t="n">
        <f aca="false">SUM(H5:H12)</f>
        <v>0</v>
      </c>
      <c r="I13" s="169" t="n">
        <f aca="false">SUM(I5:I12)</f>
        <v>0</v>
      </c>
      <c r="J13" s="168" t="n">
        <f aca="false">SUM(J5:J12)</f>
        <v>1720500</v>
      </c>
      <c r="K13" s="168" t="n">
        <f aca="false">SUM(K5:K12)</f>
        <v>1720500</v>
      </c>
      <c r="L13" s="170" t="n">
        <f aca="false">IFERROR(I13/K13,0)</f>
        <v>0</v>
      </c>
      <c r="M13" s="169" t="n">
        <f aca="false">SUM(M5:M12)</f>
        <v>0</v>
      </c>
      <c r="N13" s="169" t="n">
        <f aca="false">SUM(N5:N12)</f>
        <v>0</v>
      </c>
      <c r="O13" s="169" t="n">
        <f aca="false">SUM(O5:O12)</f>
        <v>0</v>
      </c>
      <c r="P13" s="169" t="n">
        <f aca="false">SUM(P5:P12)</f>
        <v>0</v>
      </c>
      <c r="Q13" s="171" t="n">
        <f aca="false">IFERROR(R13/O13,0)</f>
        <v>0</v>
      </c>
      <c r="R13" s="169" t="n">
        <f aca="false">SUM(R5:R12)</f>
        <v>0</v>
      </c>
      <c r="S13" s="169" t="n">
        <f aca="false">SUM(S5:S12)</f>
        <v>0</v>
      </c>
    </row>
    <row r="15" customFormat="false" ht="15" hidden="false" customHeight="true" outlineLevel="0" collapsed="false">
      <c r="A15" s="94" t="s">
        <v>206</v>
      </c>
    </row>
    <row r="16" customFormat="false" ht="15" hidden="false" customHeight="true" outlineLevel="0" collapsed="false">
      <c r="A16" s="172" t="s">
        <v>548</v>
      </c>
      <c r="B16" s="172"/>
      <c r="C16" s="172"/>
      <c r="D16" s="172"/>
      <c r="E16" s="172"/>
      <c r="F16" s="172"/>
      <c r="G16" s="172"/>
      <c r="H16" s="172"/>
    </row>
    <row r="17" customFormat="false" ht="15" hidden="false" customHeight="true" outlineLevel="0" collapsed="false">
      <c r="A17" s="172" t="s">
        <v>549</v>
      </c>
      <c r="B17" s="172"/>
      <c r="C17" s="172"/>
      <c r="D17" s="172"/>
      <c r="E17" s="172"/>
      <c r="F17" s="172"/>
      <c r="G17" s="172"/>
      <c r="H17" s="172"/>
    </row>
    <row r="18" customFormat="false" ht="15" hidden="false" customHeight="true" outlineLevel="0" collapsed="false">
      <c r="A18" s="172" t="s">
        <v>550</v>
      </c>
      <c r="B18" s="172"/>
      <c r="C18" s="172"/>
      <c r="D18" s="172"/>
      <c r="E18" s="172"/>
      <c r="F18" s="172"/>
      <c r="G18" s="172"/>
      <c r="H18" s="172"/>
    </row>
    <row r="19" customFormat="false" ht="15" hidden="false" customHeight="true" outlineLevel="0" collapsed="false">
      <c r="A19" s="172" t="s">
        <v>551</v>
      </c>
      <c r="B19" s="172"/>
      <c r="C19" s="172"/>
      <c r="D19" s="172"/>
      <c r="E19" s="172"/>
      <c r="F19" s="172"/>
      <c r="G19" s="172"/>
      <c r="H19" s="172"/>
    </row>
    <row r="20" customFormat="false" ht="15" hidden="false" customHeight="true" outlineLevel="0" collapsed="false">
      <c r="A20" s="172" t="s">
        <v>552</v>
      </c>
      <c r="B20" s="172"/>
      <c r="C20" s="172"/>
      <c r="D20" s="172"/>
      <c r="E20" s="172"/>
      <c r="F20" s="172"/>
      <c r="G20" s="172"/>
      <c r="H20" s="172"/>
    </row>
    <row r="21" customFormat="false" ht="15" hidden="false" customHeight="true" outlineLevel="0" collapsed="false">
      <c r="A21" s="72" t="s">
        <v>553</v>
      </c>
    </row>
    <row r="22" customFormat="false" ht="15" hidden="false" customHeight="true" outlineLevel="0" collapsed="false">
      <c r="A22" s="72" t="s">
        <v>554</v>
      </c>
    </row>
    <row r="23" customFormat="false" ht="15" hidden="false" customHeight="true" outlineLevel="0" collapsed="false">
      <c r="A23" s="72" t="s">
        <v>555</v>
      </c>
    </row>
    <row r="24" customFormat="false" ht="15" hidden="false" customHeight="true" outlineLevel="0" collapsed="false">
      <c r="A24" s="72" t="s">
        <v>556</v>
      </c>
    </row>
    <row r="25" customFormat="false" ht="15" hidden="false" customHeight="true" outlineLevel="0" collapsed="false">
      <c r="A25" s="72" t="s">
        <v>557</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1484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558</v>
      </c>
      <c r="B1" s="44" t="s">
        <v>559</v>
      </c>
      <c r="C1" s="44" t="s">
        <v>560</v>
      </c>
      <c r="D1" s="44" t="s">
        <v>561</v>
      </c>
      <c r="E1" s="44" t="s">
        <v>562</v>
      </c>
      <c r="F1" s="44" t="s">
        <v>563</v>
      </c>
      <c r="G1" s="44" t="s">
        <v>564</v>
      </c>
      <c r="H1" s="44" t="s">
        <v>565</v>
      </c>
      <c r="I1" s="44" t="s">
        <v>566</v>
      </c>
      <c r="J1" s="44" t="s">
        <v>567</v>
      </c>
      <c r="K1" s="44" t="s">
        <v>568</v>
      </c>
      <c r="L1" s="44" t="s">
        <v>569</v>
      </c>
      <c r="N1" s="44" t="s">
        <v>570</v>
      </c>
      <c r="O1" s="44" t="s">
        <v>571</v>
      </c>
      <c r="P1" s="44" t="s">
        <v>572</v>
      </c>
      <c r="Q1" s="44" t="s">
        <v>573</v>
      </c>
      <c r="R1" s="44" t="s">
        <v>574</v>
      </c>
      <c r="S1" s="44" t="s">
        <v>575</v>
      </c>
      <c r="T1" s="44" t="s">
        <v>576</v>
      </c>
      <c r="V1" s="1" t="s">
        <v>577</v>
      </c>
      <c r="W1" s="173" t="s">
        <v>578</v>
      </c>
      <c r="X1" s="174" t="s">
        <v>579</v>
      </c>
    </row>
    <row r="2" customFormat="false" ht="15" hidden="false" customHeight="true" outlineLevel="0" collapsed="false">
      <c r="A2" s="175" t="s">
        <v>7</v>
      </c>
      <c r="B2" s="176" t="n">
        <v>7126075</v>
      </c>
      <c r="C2" s="177" t="n">
        <v>1</v>
      </c>
      <c r="D2" s="177" t="n">
        <v>8</v>
      </c>
      <c r="E2" s="177" t="n">
        <v>2</v>
      </c>
      <c r="F2" s="177" t="s">
        <v>580</v>
      </c>
      <c r="G2" s="177" t="s">
        <v>581</v>
      </c>
      <c r="H2" s="177" t="n">
        <v>0</v>
      </c>
      <c r="I2" s="178" t="n">
        <f aca="false">IF(H2=1,Assumptions!$B$16,IF(H2=2,Assumptions!$B$17,0))</f>
        <v>0</v>
      </c>
      <c r="J2" s="177" t="s">
        <v>580</v>
      </c>
      <c r="K2" s="177" t="s">
        <v>580</v>
      </c>
      <c r="L2" s="177" t="s">
        <v>582</v>
      </c>
      <c r="N2" s="176" t="n">
        <v>194932</v>
      </c>
      <c r="O2" s="176" t="n">
        <f aca="false">B2*Assumptions!$B$11</f>
        <v>367676.9657</v>
      </c>
      <c r="P2" s="176" t="n">
        <v>46323</v>
      </c>
      <c r="Q2" s="176" t="n">
        <f aca="false">N2+O2+P2</f>
        <v>608931.9657</v>
      </c>
      <c r="R2" s="176" t="n">
        <f aca="false">Q2*0.05</f>
        <v>30446.598285</v>
      </c>
      <c r="S2" s="175" t="n">
        <f aca="false">C2+D2-1</f>
        <v>8</v>
      </c>
      <c r="T2" s="179"/>
      <c r="V2" s="1" t="s">
        <v>583</v>
      </c>
      <c r="W2" s="180" t="n">
        <f aca="false">C2+D2-1</f>
        <v>8</v>
      </c>
    </row>
    <row r="3" customFormat="false" ht="15" hidden="false" customHeight="true" outlineLevel="0" collapsed="false">
      <c r="A3" s="175" t="s">
        <v>8</v>
      </c>
      <c r="B3" s="176" t="n">
        <v>20176449</v>
      </c>
      <c r="C3" s="177" t="n">
        <v>1</v>
      </c>
      <c r="D3" s="177"/>
      <c r="E3" s="177"/>
      <c r="F3" s="177" t="s">
        <v>580</v>
      </c>
      <c r="G3" s="177" t="s">
        <v>581</v>
      </c>
      <c r="H3" s="177" t="n">
        <v>0</v>
      </c>
      <c r="I3" s="178" t="n">
        <f aca="false">IF(H3=1,Assumptions!$B$16,IF(H3=2,Assumptions!$B$17,0))</f>
        <v>0</v>
      </c>
      <c r="J3" s="177" t="s">
        <v>580</v>
      </c>
      <c r="K3" s="177" t="s">
        <v>580</v>
      </c>
      <c r="L3" s="177" t="s">
        <v>582</v>
      </c>
      <c r="N3" s="176" t="n">
        <v>888067</v>
      </c>
      <c r="O3" s="176" t="n">
        <f aca="false">B3*Assumptions!$B$11</f>
        <v>1041024.062604</v>
      </c>
      <c r="P3" s="176" t="n">
        <v>176626</v>
      </c>
      <c r="Q3" s="176" t="n">
        <f aca="false">N3+O3+P3</f>
        <v>2105717.062604</v>
      </c>
      <c r="R3" s="176" t="n">
        <f aca="false">Q3*0.05</f>
        <v>105285.8531302</v>
      </c>
      <c r="S3" s="175" t="n">
        <f aca="false">C3+D3-1</f>
        <v>0</v>
      </c>
      <c r="T3" s="179"/>
      <c r="V3" s="1" t="s">
        <v>584</v>
      </c>
      <c r="W3" s="180" t="n">
        <v>18</v>
      </c>
    </row>
    <row r="4" customFormat="false" ht="15" hidden="false" customHeight="true" outlineLevel="0" collapsed="false">
      <c r="A4" s="175" t="s">
        <v>9</v>
      </c>
      <c r="B4" s="176" t="n">
        <v>11929880</v>
      </c>
      <c r="C4" s="177" t="n">
        <v>1</v>
      </c>
      <c r="D4" s="177"/>
      <c r="E4" s="177"/>
      <c r="F4" s="177" t="s">
        <v>581</v>
      </c>
      <c r="G4" s="177" t="s">
        <v>581</v>
      </c>
      <c r="H4" s="177" t="n">
        <v>1</v>
      </c>
      <c r="I4" s="178" t="n">
        <f aca="false">IF(H4=1,Assumptions!$B$16,IF(H4=2,Assumptions!$B$17,0))</f>
        <v>0.0074</v>
      </c>
      <c r="J4" s="177" t="s">
        <v>580</v>
      </c>
      <c r="K4" s="177" t="s">
        <v>581</v>
      </c>
      <c r="L4" s="177" t="s">
        <v>585</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581</v>
      </c>
      <c r="G5" s="177" t="s">
        <v>581</v>
      </c>
      <c r="H5" s="177" t="n">
        <v>1</v>
      </c>
      <c r="I5" s="178" t="n">
        <f aca="false">IF(H5=1,Assumptions!$B$16,IF(H5=2,Assumptions!$B$17,0))</f>
        <v>0.0074</v>
      </c>
      <c r="J5" s="177" t="s">
        <v>580</v>
      </c>
      <c r="K5" s="177" t="s">
        <v>581</v>
      </c>
      <c r="L5" s="177" t="s">
        <v>585</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580</v>
      </c>
      <c r="G6" s="177" t="s">
        <v>581</v>
      </c>
      <c r="H6" s="177" t="n">
        <v>0</v>
      </c>
      <c r="I6" s="178" t="n">
        <f aca="false">IF(H6=1,Assumptions!$B$16,IF(H6=2,Assumptions!$B$17,0))</f>
        <v>0</v>
      </c>
      <c r="J6" s="177" t="s">
        <v>580</v>
      </c>
      <c r="K6" s="177" t="s">
        <v>581</v>
      </c>
      <c r="L6" s="177" t="s">
        <v>585</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581</v>
      </c>
      <c r="G7" s="177" t="s">
        <v>581</v>
      </c>
      <c r="H7" s="177" t="n">
        <v>1</v>
      </c>
      <c r="I7" s="178" t="n">
        <f aca="false">Assumptions!$B$18</f>
        <v>0.00725158134079107</v>
      </c>
      <c r="J7" s="177" t="s">
        <v>581</v>
      </c>
      <c r="K7" s="177" t="s">
        <v>581</v>
      </c>
      <c r="L7" s="177" t="s">
        <v>582</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581</v>
      </c>
      <c r="G8" s="177" t="s">
        <v>581</v>
      </c>
      <c r="H8" s="177" t="n">
        <v>1</v>
      </c>
      <c r="I8" s="178" t="n">
        <f aca="false">Assumptions!$B$18</f>
        <v>0.00725158134079107</v>
      </c>
      <c r="J8" s="177" t="s">
        <v>580</v>
      </c>
      <c r="K8" s="177" t="s">
        <v>581</v>
      </c>
      <c r="L8" s="177" t="s">
        <v>585</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581</v>
      </c>
      <c r="G9" s="177" t="s">
        <v>581</v>
      </c>
      <c r="H9" s="177" t="n">
        <v>1</v>
      </c>
      <c r="I9" s="178" t="n">
        <v>0</v>
      </c>
      <c r="J9" s="177" t="s">
        <v>580</v>
      </c>
      <c r="K9" s="177" t="s">
        <v>581</v>
      </c>
      <c r="L9" s="177" t="s">
        <v>585</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581</v>
      </c>
      <c r="G10" s="177" t="s">
        <v>581</v>
      </c>
      <c r="H10" s="177" t="n">
        <v>2</v>
      </c>
      <c r="I10" s="178" t="n">
        <f aca="false">IF(H10=1,Assumptions!$B$16,IF(H10=2,Assumptions!$B$17,0))</f>
        <v>0.0325</v>
      </c>
      <c r="J10" s="177" t="s">
        <v>580</v>
      </c>
      <c r="K10" s="177" t="s">
        <v>581</v>
      </c>
      <c r="L10" s="177" t="s">
        <v>585</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580</v>
      </c>
      <c r="G11" s="177" t="s">
        <v>581</v>
      </c>
      <c r="H11" s="177" t="n">
        <v>0</v>
      </c>
      <c r="I11" s="178" t="n">
        <f aca="false">IF(H11=1,Assumptions!$B$16,IF(H11=2,Assumptions!$B$17,0))</f>
        <v>0</v>
      </c>
      <c r="J11" s="177" t="s">
        <v>580</v>
      </c>
      <c r="K11" s="177" t="s">
        <v>580</v>
      </c>
      <c r="L11" s="177" t="s">
        <v>582</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580</v>
      </c>
      <c r="G12" s="177" t="s">
        <v>581</v>
      </c>
      <c r="H12" s="177" t="n">
        <v>0</v>
      </c>
      <c r="I12" s="178" t="n">
        <f aca="false">IF(H12=1,Assumptions!$B$16,IF(H12=2,Assumptions!$B$17,0))</f>
        <v>0</v>
      </c>
      <c r="J12" s="177" t="s">
        <v>580</v>
      </c>
      <c r="K12" s="177" t="s">
        <v>580</v>
      </c>
      <c r="L12" s="177" t="s">
        <v>582</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581</v>
      </c>
      <c r="G13" s="177" t="s">
        <v>581</v>
      </c>
      <c r="H13" s="177" t="n">
        <v>2</v>
      </c>
      <c r="I13" s="178" t="n">
        <f aca="false">IF(H13=1,Assumptions!$B$16,IF(H13=2,Assumptions!$B$17,0))</f>
        <v>0.0325</v>
      </c>
      <c r="J13" s="177" t="s">
        <v>581</v>
      </c>
      <c r="K13" s="177" t="s">
        <v>581</v>
      </c>
      <c r="L13" s="177" t="s">
        <v>582</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581</v>
      </c>
      <c r="G14" s="177" t="s">
        <v>581</v>
      </c>
      <c r="H14" s="177" t="n">
        <v>2</v>
      </c>
      <c r="I14" s="178" t="n">
        <f aca="false">IF(H14=1,Assumptions!$B$16,IF(H14=2,Assumptions!$B$17,0))</f>
        <v>0.0325</v>
      </c>
      <c r="J14" s="177" t="s">
        <v>581</v>
      </c>
      <c r="K14" s="177" t="s">
        <v>581</v>
      </c>
      <c r="L14" s="177" t="s">
        <v>582</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586</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581</v>
      </c>
      <c r="G17" s="177" t="s">
        <v>581</v>
      </c>
      <c r="H17" s="177" t="n">
        <v>2</v>
      </c>
      <c r="I17" s="178" t="n">
        <f aca="false">IF(H17=1,Assumptions!$B$16,IF(H17=2,Assumptions!$B$17,0))</f>
        <v>0.0325</v>
      </c>
      <c r="J17" s="177" t="s">
        <v>580</v>
      </c>
      <c r="K17" s="177" t="s">
        <v>580</v>
      </c>
      <c r="L17" s="177" t="s">
        <v>582</v>
      </c>
      <c r="M17" s="182" t="s">
        <v>581</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580</v>
      </c>
    </row>
    <row r="18" customFormat="false" ht="15" hidden="false" customHeight="true" outlineLevel="0" collapsed="false">
      <c r="A18" s="175" t="s">
        <v>21</v>
      </c>
      <c r="B18" s="176" t="n">
        <v>11537565</v>
      </c>
      <c r="C18" s="177" t="n">
        <v>14</v>
      </c>
      <c r="D18" s="177" t="n">
        <v>19</v>
      </c>
      <c r="E18" s="177" t="n">
        <v>3</v>
      </c>
      <c r="F18" s="177" t="s">
        <v>581</v>
      </c>
      <c r="G18" s="177" t="s">
        <v>581</v>
      </c>
      <c r="H18" s="177" t="n">
        <v>2</v>
      </c>
      <c r="I18" s="178" t="n">
        <f aca="false">IF(H18=1,Assumptions!$B$16,IF(H18=2,Assumptions!$B$17,0))</f>
        <v>0.0325</v>
      </c>
      <c r="J18" s="177" t="s">
        <v>580</v>
      </c>
      <c r="K18" s="177" t="s">
        <v>580</v>
      </c>
      <c r="L18" s="177" t="s">
        <v>582</v>
      </c>
      <c r="M18" s="182" t="s">
        <v>581</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580</v>
      </c>
    </row>
    <row r="19" customFormat="false" ht="15" hidden="false" customHeight="true" outlineLevel="0" collapsed="false">
      <c r="A19" s="175" t="s">
        <v>22</v>
      </c>
      <c r="B19" s="176" t="n">
        <v>18764585</v>
      </c>
      <c r="C19" s="177" t="n">
        <v>13</v>
      </c>
      <c r="D19" s="177" t="n">
        <v>18</v>
      </c>
      <c r="E19" s="177" t="n">
        <v>3</v>
      </c>
      <c r="F19" s="177" t="s">
        <v>581</v>
      </c>
      <c r="G19" s="177" t="s">
        <v>581</v>
      </c>
      <c r="H19" s="177" t="n">
        <v>2</v>
      </c>
      <c r="I19" s="178" t="n">
        <f aca="false">IF(H19=1,Assumptions!$B$16,IF(H19=2,Assumptions!$B$17,0))</f>
        <v>0.0325</v>
      </c>
      <c r="J19" s="177" t="s">
        <v>580</v>
      </c>
      <c r="K19" s="177" t="s">
        <v>580</v>
      </c>
      <c r="L19" s="177" t="s">
        <v>582</v>
      </c>
      <c r="M19" s="182" t="s">
        <v>581</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580</v>
      </c>
    </row>
    <row r="20" customFormat="false" ht="15" hidden="false" customHeight="true" outlineLevel="0" collapsed="false">
      <c r="A20" s="175" t="s">
        <v>23</v>
      </c>
      <c r="B20" s="176" t="n">
        <v>25026330.58</v>
      </c>
      <c r="C20" s="177" t="n">
        <v>20</v>
      </c>
      <c r="D20" s="177" t="n">
        <v>24</v>
      </c>
      <c r="E20" s="177" t="n">
        <v>2</v>
      </c>
      <c r="F20" s="177" t="s">
        <v>580</v>
      </c>
      <c r="G20" s="177" t="s">
        <v>580</v>
      </c>
      <c r="H20" s="177" t="n">
        <v>0</v>
      </c>
      <c r="I20" s="178" t="n">
        <f aca="false">IF(H20=1,Assumptions!$B$16,IF(H20=2,Assumptions!$B$17,0))</f>
        <v>0</v>
      </c>
      <c r="J20" s="177" t="s">
        <v>580</v>
      </c>
      <c r="K20" s="177" t="s">
        <v>580</v>
      </c>
      <c r="L20" s="177" t="s">
        <v>585</v>
      </c>
      <c r="M20" s="182" t="s">
        <v>580</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581</v>
      </c>
    </row>
    <row r="21" customFormat="false" ht="15" hidden="false" customHeight="true" outlineLevel="0" collapsed="false">
      <c r="A21" s="175" t="s">
        <v>587</v>
      </c>
      <c r="B21" s="176" t="n">
        <v>14935493</v>
      </c>
      <c r="C21" s="177" t="n">
        <v>9</v>
      </c>
      <c r="D21" s="177" t="n">
        <v>20</v>
      </c>
      <c r="E21" s="177" t="n">
        <v>3</v>
      </c>
      <c r="F21" s="177" t="s">
        <v>580</v>
      </c>
      <c r="G21" s="177" t="s">
        <v>581</v>
      </c>
      <c r="H21" s="177" t="n">
        <v>0</v>
      </c>
      <c r="I21" s="178" t="n">
        <f aca="false">IF(H21=1,Assumptions!$B$16,IF(H21=2,Assumptions!$B$17,0))</f>
        <v>0</v>
      </c>
      <c r="J21" s="177" t="s">
        <v>580</v>
      </c>
      <c r="K21" s="177" t="s">
        <v>580</v>
      </c>
      <c r="L21" s="177" t="s">
        <v>585</v>
      </c>
      <c r="M21" s="182" t="s">
        <v>581</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580</v>
      </c>
    </row>
    <row r="22" customFormat="false" ht="15" hidden="false" customHeight="true" outlineLevel="0" collapsed="false">
      <c r="A22" s="175" t="s">
        <v>25</v>
      </c>
      <c r="B22" s="176" t="n">
        <v>13706000</v>
      </c>
      <c r="C22" s="177" t="n">
        <v>19</v>
      </c>
      <c r="D22" s="177" t="n">
        <v>19</v>
      </c>
      <c r="E22" s="177" t="n">
        <v>3</v>
      </c>
      <c r="F22" s="177" t="s">
        <v>581</v>
      </c>
      <c r="G22" s="177" t="s">
        <v>581</v>
      </c>
      <c r="H22" s="177" t="n">
        <v>2</v>
      </c>
      <c r="I22" s="178" t="n">
        <f aca="false">IF(H22=1,Assumptions!$B$16,IF(H22=2,Assumptions!$B$17,0))</f>
        <v>0.0325</v>
      </c>
      <c r="J22" s="177" t="s">
        <v>580</v>
      </c>
      <c r="K22" s="177" t="s">
        <v>580</v>
      </c>
      <c r="L22" s="177" t="s">
        <v>582</v>
      </c>
      <c r="M22" s="182" t="s">
        <v>581</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580</v>
      </c>
    </row>
    <row r="23" customFormat="false" ht="15" hidden="false" customHeight="true" outlineLevel="0" collapsed="false">
      <c r="A23" s="175" t="s">
        <v>26</v>
      </c>
      <c r="B23" s="176" t="n">
        <v>15000000</v>
      </c>
      <c r="C23" s="177" t="n">
        <v>34</v>
      </c>
      <c r="D23" s="177" t="n">
        <v>19</v>
      </c>
      <c r="E23" s="177" t="n">
        <v>3</v>
      </c>
      <c r="F23" s="177" t="s">
        <v>581</v>
      </c>
      <c r="G23" s="177" t="s">
        <v>580</v>
      </c>
      <c r="H23" s="177" t="n">
        <v>2</v>
      </c>
      <c r="I23" s="178" t="n">
        <f aca="false">IF(H23=1,Assumptions!$B$16,IF(H23=2,Assumptions!$B$17,0))</f>
        <v>0.0325</v>
      </c>
      <c r="J23" s="177" t="s">
        <v>580</v>
      </c>
      <c r="K23" s="177" t="s">
        <v>580</v>
      </c>
      <c r="L23" s="177" t="s">
        <v>585</v>
      </c>
      <c r="M23" s="182" t="s">
        <v>581</v>
      </c>
      <c r="N23" s="176" t="n">
        <v>730519</v>
      </c>
      <c r="O23" s="176" t="n">
        <v>730519</v>
      </c>
      <c r="P23" s="176" t="n">
        <v>243506</v>
      </c>
      <c r="Q23" s="176" t="n">
        <f aca="false">N23+O23+P23</f>
        <v>1704544</v>
      </c>
      <c r="R23" s="176" t="n">
        <f aca="false">Q23*0.05</f>
        <v>85227.2</v>
      </c>
      <c r="S23" s="175" t="n">
        <f aca="false">C23+D23-1</f>
        <v>52</v>
      </c>
      <c r="T23" s="179" t="n">
        <f aca="false">Assumptions!$B$15</f>
        <v>0.015</v>
      </c>
      <c r="W23" s="180" t="n">
        <f aca="false">C23+D23-1</f>
        <v>52</v>
      </c>
      <c r="X23" s="1" t="s">
        <v>581</v>
      </c>
    </row>
    <row r="24" customFormat="false" ht="15" hidden="false" customHeight="true" outlineLevel="0" collapsed="false">
      <c r="A24" s="175" t="s">
        <v>27</v>
      </c>
      <c r="B24" s="176" t="n">
        <v>18000000</v>
      </c>
      <c r="C24" s="177" t="n">
        <v>37</v>
      </c>
      <c r="D24" s="177" t="n">
        <v>19</v>
      </c>
      <c r="E24" s="177" t="n">
        <v>3</v>
      </c>
      <c r="F24" s="177" t="s">
        <v>580</v>
      </c>
      <c r="G24" s="177" t="s">
        <v>580</v>
      </c>
      <c r="H24" s="177" t="n">
        <v>0</v>
      </c>
      <c r="I24" s="178" t="n">
        <f aca="false">IF(H24=1,Assumptions!$B$16,IF(H24=2,Assumptions!$B$17,0))</f>
        <v>0</v>
      </c>
      <c r="J24" s="177" t="s">
        <v>580</v>
      </c>
      <c r="K24" s="177" t="s">
        <v>580</v>
      </c>
      <c r="L24" s="177" t="s">
        <v>585</v>
      </c>
      <c r="M24" s="182" t="s">
        <v>580</v>
      </c>
      <c r="N24" s="176" t="n">
        <v>876623</v>
      </c>
      <c r="O24" s="176" t="n">
        <v>876623</v>
      </c>
      <c r="P24" s="176" t="n">
        <v>292208</v>
      </c>
      <c r="Q24" s="176" t="n">
        <f aca="false">N24+O24+P24</f>
        <v>2045454</v>
      </c>
      <c r="R24" s="176" t="n">
        <f aca="false">Q24*0.05</f>
        <v>102272.7</v>
      </c>
      <c r="S24" s="175" t="n">
        <f aca="false">C24+D24-1</f>
        <v>55</v>
      </c>
      <c r="T24" s="179"/>
      <c r="W24" s="180" t="n">
        <f aca="false">C24+D24-1</f>
        <v>55</v>
      </c>
      <c r="X24" s="1" t="s">
        <v>581</v>
      </c>
    </row>
    <row r="25" customFormat="false" ht="15" hidden="false" customHeight="true" outlineLevel="0" collapsed="false">
      <c r="A25" s="175" t="s">
        <v>28</v>
      </c>
      <c r="B25" s="176" t="n">
        <v>18000000</v>
      </c>
      <c r="C25" s="177" t="n">
        <v>40</v>
      </c>
      <c r="D25" s="177" t="n">
        <v>19</v>
      </c>
      <c r="E25" s="177" t="n">
        <v>3</v>
      </c>
      <c r="F25" s="177" t="s">
        <v>580</v>
      </c>
      <c r="G25" s="177" t="s">
        <v>580</v>
      </c>
      <c r="H25" s="177" t="n">
        <v>0</v>
      </c>
      <c r="I25" s="178" t="n">
        <f aca="false">IF(H25=1,Assumptions!$B$16,IF(H25=2,Assumptions!$B$17,0))</f>
        <v>0</v>
      </c>
      <c r="J25" s="177" t="s">
        <v>580</v>
      </c>
      <c r="K25" s="177" t="s">
        <v>580</v>
      </c>
      <c r="L25" s="177" t="s">
        <v>585</v>
      </c>
      <c r="M25" s="182" t="s">
        <v>580</v>
      </c>
      <c r="N25" s="176" t="n">
        <v>876623</v>
      </c>
      <c r="O25" s="176" t="n">
        <v>876623</v>
      </c>
      <c r="P25" s="176" t="n">
        <v>292208</v>
      </c>
      <c r="Q25" s="176" t="n">
        <f aca="false">N25+O25+P25</f>
        <v>2045454</v>
      </c>
      <c r="R25" s="176" t="n">
        <f aca="false">Q25*0.05</f>
        <v>102272.7</v>
      </c>
      <c r="S25" s="175" t="n">
        <f aca="false">C25+D25-1</f>
        <v>58</v>
      </c>
      <c r="T25" s="179"/>
      <c r="W25" s="180" t="n">
        <f aca="false">C25+D25-1</f>
        <v>58</v>
      </c>
      <c r="X25" s="1" t="s">
        <v>581</v>
      </c>
    </row>
    <row r="26" customFormat="false" ht="15" hidden="false" customHeight="true" outlineLevel="0" collapsed="false">
      <c r="A26" s="175" t="s">
        <v>29</v>
      </c>
      <c r="B26" s="176" t="n">
        <v>18000000</v>
      </c>
      <c r="C26" s="177" t="n">
        <v>42</v>
      </c>
      <c r="D26" s="177" t="n">
        <v>19</v>
      </c>
      <c r="E26" s="177" t="n">
        <v>3</v>
      </c>
      <c r="F26" s="177" t="s">
        <v>580</v>
      </c>
      <c r="G26" s="177" t="s">
        <v>580</v>
      </c>
      <c r="H26" s="177" t="n">
        <v>0</v>
      </c>
      <c r="I26" s="178" t="n">
        <f aca="false">IF(H26=1,Assumptions!$B$16,IF(H26=2,Assumptions!$B$17,0))</f>
        <v>0</v>
      </c>
      <c r="J26" s="177" t="s">
        <v>580</v>
      </c>
      <c r="K26" s="177" t="s">
        <v>580</v>
      </c>
      <c r="L26" s="177" t="s">
        <v>585</v>
      </c>
      <c r="M26" s="182" t="s">
        <v>580</v>
      </c>
      <c r="N26" s="176" t="n">
        <v>876623</v>
      </c>
      <c r="O26" s="176" t="n">
        <v>876623</v>
      </c>
      <c r="P26" s="176" t="n">
        <v>292208</v>
      </c>
      <c r="Q26" s="176" t="n">
        <f aca="false">N26+O26+P26</f>
        <v>2045454</v>
      </c>
      <c r="R26" s="176" t="n">
        <f aca="false">Q26*0.05</f>
        <v>102272.7</v>
      </c>
      <c r="S26" s="175" t="n">
        <f aca="false">C26+D26-1</f>
        <v>60</v>
      </c>
      <c r="T26" s="179"/>
      <c r="W26" s="180" t="n">
        <f aca="false">C26+D26-1</f>
        <v>60</v>
      </c>
      <c r="X26" s="1" t="s">
        <v>581</v>
      </c>
    </row>
    <row r="27" customFormat="false" ht="15" hidden="false" customHeight="true" outlineLevel="0" collapsed="false">
      <c r="A27" s="175" t="s">
        <v>30</v>
      </c>
      <c r="B27" s="176" t="n">
        <v>15000000</v>
      </c>
      <c r="C27" s="177" t="n">
        <v>44</v>
      </c>
      <c r="D27" s="177" t="n">
        <v>19</v>
      </c>
      <c r="E27" s="177" t="n">
        <v>3</v>
      </c>
      <c r="F27" s="177" t="s">
        <v>580</v>
      </c>
      <c r="G27" s="177" t="s">
        <v>580</v>
      </c>
      <c r="H27" s="177" t="n">
        <v>0</v>
      </c>
      <c r="I27" s="178" t="n">
        <f aca="false">IF(H27=1,Assumptions!$B$16,IF(H27=2,Assumptions!$B$17,0))</f>
        <v>0</v>
      </c>
      <c r="J27" s="177" t="s">
        <v>580</v>
      </c>
      <c r="K27" s="177" t="s">
        <v>580</v>
      </c>
      <c r="L27" s="177" t="s">
        <v>585</v>
      </c>
      <c r="M27" s="182" t="s">
        <v>580</v>
      </c>
      <c r="N27" s="176" t="n">
        <v>730519</v>
      </c>
      <c r="O27" s="176" t="n">
        <v>730519</v>
      </c>
      <c r="P27" s="176" t="n">
        <v>243506</v>
      </c>
      <c r="Q27" s="176" t="n">
        <f aca="false">N27+O27+P27</f>
        <v>1704544</v>
      </c>
      <c r="R27" s="176" t="n">
        <f aca="false">Q27*0.05</f>
        <v>85227.2</v>
      </c>
      <c r="S27" s="175" t="n">
        <f aca="false">C27+D27-1</f>
        <v>62</v>
      </c>
      <c r="T27" s="179"/>
      <c r="W27" s="180" t="n">
        <f aca="false">C27+D27-1</f>
        <v>62</v>
      </c>
      <c r="X27" s="1" t="s">
        <v>581</v>
      </c>
    </row>
    <row r="28" customFormat="false" ht="15" hidden="false" customHeight="true" outlineLevel="0" collapsed="false">
      <c r="A28" s="175" t="s">
        <v>31</v>
      </c>
      <c r="B28" s="176" t="n">
        <v>15000000</v>
      </c>
      <c r="C28" s="177" t="n">
        <v>46</v>
      </c>
      <c r="D28" s="177" t="n">
        <v>19</v>
      </c>
      <c r="E28" s="177" t="n">
        <v>3</v>
      </c>
      <c r="F28" s="177" t="s">
        <v>581</v>
      </c>
      <c r="G28" s="177" t="s">
        <v>580</v>
      </c>
      <c r="H28" s="177" t="n">
        <v>2</v>
      </c>
      <c r="I28" s="178" t="n">
        <f aca="false">IF(H28=1,Assumptions!$B$16,IF(H28=2,Assumptions!$B$17,0))</f>
        <v>0.0325</v>
      </c>
      <c r="J28" s="177" t="s">
        <v>580</v>
      </c>
      <c r="K28" s="177" t="s">
        <v>580</v>
      </c>
      <c r="L28" s="177" t="s">
        <v>585</v>
      </c>
      <c r="M28" s="182" t="s">
        <v>581</v>
      </c>
      <c r="N28" s="176" t="n">
        <v>730519</v>
      </c>
      <c r="O28" s="176" t="n">
        <v>730519</v>
      </c>
      <c r="P28" s="176" t="n">
        <v>243506</v>
      </c>
      <c r="Q28" s="176" t="n">
        <f aca="false">N28+O28+P28</f>
        <v>1704544</v>
      </c>
      <c r="R28" s="176" t="n">
        <f aca="false">Q28*0.05</f>
        <v>85227.2</v>
      </c>
      <c r="S28" s="175" t="n">
        <f aca="false">C28+D28-1</f>
        <v>64</v>
      </c>
      <c r="T28" s="179" t="n">
        <f aca="false">Assumptions!$B$15</f>
        <v>0.015</v>
      </c>
      <c r="W28" s="180" t="n">
        <f aca="false">C28+D28-1</f>
        <v>64</v>
      </c>
      <c r="X28" s="1" t="s">
        <v>581</v>
      </c>
    </row>
    <row r="29" customFormat="false" ht="15" hidden="false" customHeight="true" outlineLevel="0" collapsed="false">
      <c r="A29" s="175" t="s">
        <v>32</v>
      </c>
      <c r="B29" s="176" t="n">
        <v>15000000</v>
      </c>
      <c r="C29" s="177" t="n">
        <v>48</v>
      </c>
      <c r="D29" s="177" t="n">
        <v>19</v>
      </c>
      <c r="E29" s="177" t="n">
        <v>3</v>
      </c>
      <c r="F29" s="177" t="s">
        <v>580</v>
      </c>
      <c r="G29" s="177" t="s">
        <v>580</v>
      </c>
      <c r="H29" s="177" t="n">
        <v>0</v>
      </c>
      <c r="I29" s="178" t="n">
        <f aca="false">IF(H29=1,Assumptions!$B$16,IF(H29=2,Assumptions!$B$17,0))</f>
        <v>0</v>
      </c>
      <c r="J29" s="177" t="s">
        <v>580</v>
      </c>
      <c r="K29" s="177" t="s">
        <v>580</v>
      </c>
      <c r="L29" s="177" t="s">
        <v>585</v>
      </c>
      <c r="M29" s="182" t="s">
        <v>580</v>
      </c>
      <c r="N29" s="176" t="n">
        <v>730519</v>
      </c>
      <c r="O29" s="176" t="n">
        <v>730519</v>
      </c>
      <c r="P29" s="176" t="n">
        <v>243506</v>
      </c>
      <c r="Q29" s="176" t="n">
        <f aca="false">N29+O29+P29</f>
        <v>1704544</v>
      </c>
      <c r="R29" s="176" t="n">
        <f aca="false">Q29*0.05</f>
        <v>85227.2</v>
      </c>
      <c r="S29" s="175" t="n">
        <f aca="false">C29+D29-1</f>
        <v>66</v>
      </c>
      <c r="T29" s="179"/>
      <c r="W29" s="180" t="n">
        <f aca="false">C29+D29-1</f>
        <v>66</v>
      </c>
      <c r="X29" s="1" t="s">
        <v>581</v>
      </c>
    </row>
    <row r="30" customFormat="false" ht="15" hidden="false" customHeight="true" outlineLevel="0" collapsed="false">
      <c r="A30" s="175" t="s">
        <v>33</v>
      </c>
      <c r="B30" s="176" t="n">
        <v>15000000</v>
      </c>
      <c r="C30" s="177" t="n">
        <v>50</v>
      </c>
      <c r="D30" s="177" t="n">
        <v>19</v>
      </c>
      <c r="E30" s="177" t="n">
        <v>3</v>
      </c>
      <c r="F30" s="177" t="s">
        <v>580</v>
      </c>
      <c r="G30" s="177" t="s">
        <v>580</v>
      </c>
      <c r="H30" s="177" t="n">
        <v>0</v>
      </c>
      <c r="I30" s="178" t="n">
        <f aca="false">IF(H30=1,Assumptions!$B$16,IF(H30=2,Assumptions!$B$17,0))</f>
        <v>0</v>
      </c>
      <c r="J30" s="177" t="s">
        <v>580</v>
      </c>
      <c r="K30" s="177" t="s">
        <v>580</v>
      </c>
      <c r="L30" s="177" t="s">
        <v>585</v>
      </c>
      <c r="M30" s="182" t="s">
        <v>580</v>
      </c>
      <c r="N30" s="176" t="n">
        <v>730519</v>
      </c>
      <c r="O30" s="176" t="n">
        <v>730519</v>
      </c>
      <c r="P30" s="176" t="n">
        <v>243506</v>
      </c>
      <c r="Q30" s="176" t="n">
        <f aca="false">N30+O30+P30</f>
        <v>1704544</v>
      </c>
      <c r="R30" s="176" t="n">
        <f aca="false">Q30*0.05</f>
        <v>85227.2</v>
      </c>
      <c r="S30" s="175" t="n">
        <f aca="false">C30+D30-1</f>
        <v>68</v>
      </c>
      <c r="T30" s="179"/>
      <c r="W30" s="180" t="n">
        <f aca="false">C30+D30-1</f>
        <v>68</v>
      </c>
      <c r="X30" s="1" t="s">
        <v>581</v>
      </c>
    </row>
    <row r="31" customFormat="false" ht="15" hidden="false" customHeight="true" outlineLevel="0" collapsed="false">
      <c r="A31" s="175" t="s">
        <v>34</v>
      </c>
      <c r="B31" s="176" t="n">
        <v>18000000</v>
      </c>
      <c r="C31" s="177" t="n">
        <v>52</v>
      </c>
      <c r="D31" s="177" t="n">
        <v>19</v>
      </c>
      <c r="E31" s="177" t="n">
        <v>3</v>
      </c>
      <c r="F31" s="177" t="s">
        <v>580</v>
      </c>
      <c r="G31" s="177" t="s">
        <v>580</v>
      </c>
      <c r="H31" s="177" t="n">
        <v>0</v>
      </c>
      <c r="I31" s="178" t="n">
        <f aca="false">IF(H31=1,Assumptions!$B$16,IF(H31=2,Assumptions!$B$17,0))</f>
        <v>0</v>
      </c>
      <c r="J31" s="177" t="s">
        <v>580</v>
      </c>
      <c r="K31" s="177" t="s">
        <v>580</v>
      </c>
      <c r="L31" s="177" t="s">
        <v>585</v>
      </c>
      <c r="M31" s="182" t="s">
        <v>580</v>
      </c>
      <c r="N31" s="176" t="n">
        <v>876623</v>
      </c>
      <c r="O31" s="176" t="n">
        <v>876623</v>
      </c>
      <c r="P31" s="176" t="n">
        <v>292208</v>
      </c>
      <c r="Q31" s="176" t="n">
        <f aca="false">N31+O31+P31</f>
        <v>2045454</v>
      </c>
      <c r="R31" s="176" t="n">
        <f aca="false">Q31*0.05</f>
        <v>102272.7</v>
      </c>
      <c r="S31" s="175" t="n">
        <f aca="false">C31+D31-1</f>
        <v>70</v>
      </c>
      <c r="T31" s="179"/>
      <c r="W31" s="180" t="n">
        <f aca="false">C31+D31-1</f>
        <v>70</v>
      </c>
      <c r="X31" s="1" t="s">
        <v>581</v>
      </c>
    </row>
    <row r="32" customFormat="false" ht="15" hidden="false" customHeight="true" outlineLevel="0" collapsed="false">
      <c r="A32" s="175" t="s">
        <v>35</v>
      </c>
      <c r="B32" s="176" t="n">
        <v>15000000</v>
      </c>
      <c r="C32" s="177" t="n">
        <v>54</v>
      </c>
      <c r="D32" s="177" t="n">
        <v>19</v>
      </c>
      <c r="E32" s="177" t="n">
        <v>3</v>
      </c>
      <c r="F32" s="177" t="s">
        <v>580</v>
      </c>
      <c r="G32" s="177" t="s">
        <v>580</v>
      </c>
      <c r="H32" s="177" t="n">
        <v>0</v>
      </c>
      <c r="I32" s="178" t="n">
        <f aca="false">IF(H32=1,Assumptions!$B$16,IF(H32=2,Assumptions!$B$17,0))</f>
        <v>0</v>
      </c>
      <c r="J32" s="177" t="s">
        <v>580</v>
      </c>
      <c r="K32" s="177" t="s">
        <v>580</v>
      </c>
      <c r="L32" s="177" t="s">
        <v>585</v>
      </c>
      <c r="M32" s="182" t="s">
        <v>580</v>
      </c>
      <c r="N32" s="176" t="n">
        <v>730519</v>
      </c>
      <c r="O32" s="176" t="n">
        <v>730519</v>
      </c>
      <c r="P32" s="176" t="n">
        <v>243506</v>
      </c>
      <c r="Q32" s="176" t="n">
        <f aca="false">N32+O32+P32</f>
        <v>1704544</v>
      </c>
      <c r="R32" s="176" t="n">
        <f aca="false">Q32*0.05</f>
        <v>85227.2</v>
      </c>
      <c r="S32" s="175" t="n">
        <f aca="false">C32+D32-1</f>
        <v>72</v>
      </c>
      <c r="T32" s="179"/>
      <c r="W32" s="180" t="n">
        <f aca="false">C32+D32-1</f>
        <v>72</v>
      </c>
      <c r="X32" s="1" t="s">
        <v>581</v>
      </c>
    </row>
    <row r="33" customFormat="false" ht="15" hidden="false" customHeight="true" outlineLevel="0" collapsed="false">
      <c r="A33" s="175" t="s">
        <v>36</v>
      </c>
      <c r="B33" s="176" t="n">
        <v>15000000</v>
      </c>
      <c r="C33" s="177" t="n">
        <v>56</v>
      </c>
      <c r="D33" s="177" t="n">
        <v>19</v>
      </c>
      <c r="E33" s="177" t="n">
        <v>3</v>
      </c>
      <c r="F33" s="177" t="s">
        <v>580</v>
      </c>
      <c r="G33" s="177" t="s">
        <v>580</v>
      </c>
      <c r="H33" s="177" t="n">
        <v>0</v>
      </c>
      <c r="I33" s="178" t="n">
        <f aca="false">IF(H33=1,Assumptions!$B$16,IF(H33=2,Assumptions!$B$17,0))</f>
        <v>0</v>
      </c>
      <c r="J33" s="177" t="s">
        <v>580</v>
      </c>
      <c r="K33" s="177" t="s">
        <v>580</v>
      </c>
      <c r="L33" s="177" t="s">
        <v>585</v>
      </c>
      <c r="M33" s="182" t="s">
        <v>580</v>
      </c>
      <c r="N33" s="176" t="n">
        <v>730519</v>
      </c>
      <c r="O33" s="176" t="n">
        <v>730519</v>
      </c>
      <c r="P33" s="176" t="n">
        <v>243506</v>
      </c>
      <c r="Q33" s="176" t="n">
        <f aca="false">N33+O33+P33</f>
        <v>1704544</v>
      </c>
      <c r="R33" s="176" t="n">
        <f aca="false">Q33*0.05</f>
        <v>85227.2</v>
      </c>
      <c r="S33" s="175" t="n">
        <f aca="false">C33+D33-1</f>
        <v>74</v>
      </c>
      <c r="T33" s="179"/>
      <c r="W33" s="180" t="n">
        <f aca="false">C33+D33-1</f>
        <v>74</v>
      </c>
      <c r="X33" s="1" t="s">
        <v>581</v>
      </c>
    </row>
    <row r="34" customFormat="false" ht="15" hidden="false" customHeight="true" outlineLevel="0" collapsed="false">
      <c r="A34" s="175" t="s">
        <v>37</v>
      </c>
      <c r="B34" s="176" t="n">
        <v>18000000</v>
      </c>
      <c r="C34" s="177" t="n">
        <v>58</v>
      </c>
      <c r="D34" s="177" t="n">
        <v>19</v>
      </c>
      <c r="E34" s="177" t="n">
        <v>3</v>
      </c>
      <c r="F34" s="177" t="s">
        <v>581</v>
      </c>
      <c r="G34" s="177" t="s">
        <v>580</v>
      </c>
      <c r="H34" s="177" t="n">
        <v>2</v>
      </c>
      <c r="I34" s="178" t="n">
        <f aca="false">IF(H34=1,Assumptions!$B$16,IF(H34=2,Assumptions!$B$17,0))</f>
        <v>0.0325</v>
      </c>
      <c r="J34" s="177" t="s">
        <v>580</v>
      </c>
      <c r="K34" s="177" t="s">
        <v>580</v>
      </c>
      <c r="L34" s="177" t="s">
        <v>585</v>
      </c>
      <c r="M34" s="182" t="s">
        <v>581</v>
      </c>
      <c r="N34" s="176" t="n">
        <v>876623</v>
      </c>
      <c r="O34" s="176" t="n">
        <v>876623</v>
      </c>
      <c r="P34" s="176" t="n">
        <v>292208</v>
      </c>
      <c r="Q34" s="176" t="n">
        <f aca="false">N34+O34+P34</f>
        <v>2045454</v>
      </c>
      <c r="R34" s="176" t="n">
        <f aca="false">Q34*0.05</f>
        <v>102272.7</v>
      </c>
      <c r="S34" s="175" t="n">
        <f aca="false">C34+D34-1</f>
        <v>76</v>
      </c>
      <c r="T34" s="179" t="n">
        <f aca="false">Assumptions!$B$15</f>
        <v>0.015</v>
      </c>
      <c r="W34" s="180" t="n">
        <f aca="false">C34+D34-1</f>
        <v>76</v>
      </c>
      <c r="X34" s="1" t="s">
        <v>581</v>
      </c>
    </row>
    <row r="35" customFormat="false" ht="15" hidden="false" customHeight="true" outlineLevel="0" collapsed="false">
      <c r="A35" s="175" t="s">
        <v>38</v>
      </c>
      <c r="B35" s="176" t="n">
        <v>15000000</v>
      </c>
      <c r="C35" s="177" t="n">
        <v>60</v>
      </c>
      <c r="D35" s="177" t="n">
        <v>19</v>
      </c>
      <c r="E35" s="177" t="n">
        <v>3</v>
      </c>
      <c r="F35" s="177" t="s">
        <v>580</v>
      </c>
      <c r="G35" s="177" t="s">
        <v>580</v>
      </c>
      <c r="H35" s="177" t="n">
        <v>0</v>
      </c>
      <c r="I35" s="178" t="n">
        <f aca="false">IF(H35=1,Assumptions!$B$16,IF(H35=2,Assumptions!$B$17,0))</f>
        <v>0</v>
      </c>
      <c r="J35" s="177" t="s">
        <v>580</v>
      </c>
      <c r="K35" s="177" t="s">
        <v>580</v>
      </c>
      <c r="L35" s="177" t="s">
        <v>585</v>
      </c>
      <c r="M35" s="182" t="s">
        <v>580</v>
      </c>
      <c r="N35" s="176" t="n">
        <v>730519</v>
      </c>
      <c r="O35" s="176" t="n">
        <v>730519</v>
      </c>
      <c r="P35" s="176" t="n">
        <v>243506</v>
      </c>
      <c r="Q35" s="176" t="n">
        <f aca="false">N35+O35+P35</f>
        <v>1704544</v>
      </c>
      <c r="R35" s="176" t="n">
        <f aca="false">Q35*0.05</f>
        <v>85227.2</v>
      </c>
      <c r="S35" s="175" t="n">
        <f aca="false">C35+D35-1</f>
        <v>78</v>
      </c>
      <c r="T35" s="179"/>
      <c r="W35" s="180" t="n">
        <f aca="false">C35+D35-1</f>
        <v>78</v>
      </c>
      <c r="X35" s="1" t="s">
        <v>581</v>
      </c>
    </row>
    <row r="36" customFormat="false" ht="15" hidden="false" customHeight="true" outlineLevel="0" collapsed="false">
      <c r="A36" s="175" t="s">
        <v>39</v>
      </c>
      <c r="B36" s="176" t="n">
        <v>18000000</v>
      </c>
      <c r="C36" s="177" t="n">
        <v>62</v>
      </c>
      <c r="D36" s="177" t="n">
        <v>19</v>
      </c>
      <c r="E36" s="177" t="n">
        <v>3</v>
      </c>
      <c r="F36" s="177" t="s">
        <v>580</v>
      </c>
      <c r="G36" s="177" t="s">
        <v>580</v>
      </c>
      <c r="H36" s="177" t="n">
        <v>0</v>
      </c>
      <c r="I36" s="178" t="n">
        <f aca="false">IF(H36=1,Assumptions!$B$16,IF(H36=2,Assumptions!$B$17,0))</f>
        <v>0</v>
      </c>
      <c r="J36" s="177" t="s">
        <v>580</v>
      </c>
      <c r="K36" s="177" t="s">
        <v>580</v>
      </c>
      <c r="L36" s="177" t="s">
        <v>585</v>
      </c>
      <c r="M36" s="182" t="s">
        <v>580</v>
      </c>
      <c r="N36" s="176" t="n">
        <v>876623</v>
      </c>
      <c r="O36" s="176" t="n">
        <v>876623</v>
      </c>
      <c r="P36" s="176" t="n">
        <v>292208</v>
      </c>
      <c r="Q36" s="176" t="n">
        <f aca="false">N36+O36+P36</f>
        <v>2045454</v>
      </c>
      <c r="R36" s="176" t="n">
        <f aca="false">Q36*0.05</f>
        <v>102272.7</v>
      </c>
      <c r="S36" s="175" t="n">
        <f aca="false">C36+D36-1</f>
        <v>80</v>
      </c>
      <c r="T36" s="179"/>
      <c r="W36" s="180" t="n">
        <f aca="false">C36+D36-1</f>
        <v>80</v>
      </c>
      <c r="X36" s="1" t="s">
        <v>581</v>
      </c>
    </row>
    <row r="37" customFormat="false" ht="15" hidden="false" customHeight="true" outlineLevel="0" collapsed="false">
      <c r="A37" s="175" t="s">
        <v>40</v>
      </c>
      <c r="B37" s="176" t="n">
        <v>15000000</v>
      </c>
      <c r="C37" s="177" t="n">
        <v>64</v>
      </c>
      <c r="D37" s="177" t="n">
        <v>19</v>
      </c>
      <c r="E37" s="177" t="n">
        <v>3</v>
      </c>
      <c r="F37" s="177" t="s">
        <v>580</v>
      </c>
      <c r="G37" s="177" t="s">
        <v>580</v>
      </c>
      <c r="H37" s="177" t="n">
        <v>0</v>
      </c>
      <c r="I37" s="178" t="n">
        <f aca="false">IF(H37=1,Assumptions!$B$16,IF(H37=2,Assumptions!$B$17,0))</f>
        <v>0</v>
      </c>
      <c r="J37" s="177" t="s">
        <v>580</v>
      </c>
      <c r="K37" s="177" t="s">
        <v>580</v>
      </c>
      <c r="L37" s="177" t="s">
        <v>585</v>
      </c>
      <c r="M37" s="182" t="s">
        <v>580</v>
      </c>
      <c r="N37" s="176" t="n">
        <v>730519</v>
      </c>
      <c r="O37" s="176" t="n">
        <v>730519</v>
      </c>
      <c r="P37" s="176" t="n">
        <v>243506</v>
      </c>
      <c r="Q37" s="176" t="n">
        <f aca="false">N37+O37+P37</f>
        <v>1704544</v>
      </c>
      <c r="R37" s="176" t="n">
        <f aca="false">Q37*0.05</f>
        <v>85227.2</v>
      </c>
      <c r="S37" s="175" t="n">
        <f aca="false">C37+D37-1</f>
        <v>82</v>
      </c>
      <c r="T37" s="179"/>
      <c r="W37" s="180" t="n">
        <f aca="false">C37+D37-1</f>
        <v>82</v>
      </c>
      <c r="X37" s="1" t="s">
        <v>581</v>
      </c>
    </row>
    <row r="38" customFormat="false" ht="15" hidden="false" customHeight="true" outlineLevel="0" collapsed="false">
      <c r="A38" s="175" t="s">
        <v>41</v>
      </c>
      <c r="B38" s="176" t="n">
        <v>15000000</v>
      </c>
      <c r="C38" s="177" t="n">
        <v>66</v>
      </c>
      <c r="D38" s="177" t="n">
        <v>19</v>
      </c>
      <c r="E38" s="177" t="n">
        <v>3</v>
      </c>
      <c r="F38" s="177" t="s">
        <v>580</v>
      </c>
      <c r="G38" s="177" t="s">
        <v>580</v>
      </c>
      <c r="H38" s="177" t="n">
        <v>0</v>
      </c>
      <c r="I38" s="178" t="n">
        <f aca="false">IF(H38=1,Assumptions!$B$16,IF(H38=2,Assumptions!$B$17,0))</f>
        <v>0</v>
      </c>
      <c r="J38" s="177" t="s">
        <v>580</v>
      </c>
      <c r="K38" s="177" t="s">
        <v>580</v>
      </c>
      <c r="L38" s="177" t="s">
        <v>585</v>
      </c>
      <c r="M38" s="182" t="s">
        <v>580</v>
      </c>
      <c r="N38" s="176" t="n">
        <v>730519</v>
      </c>
      <c r="O38" s="176" t="n">
        <v>730519</v>
      </c>
      <c r="P38" s="176" t="n">
        <v>243506</v>
      </c>
      <c r="Q38" s="176" t="n">
        <f aca="false">N38+O38+P38</f>
        <v>1704544</v>
      </c>
      <c r="R38" s="176" t="n">
        <f aca="false">Q38*0.05</f>
        <v>85227.2</v>
      </c>
      <c r="S38" s="175" t="n">
        <f aca="false">C38+D38-1</f>
        <v>84</v>
      </c>
      <c r="T38" s="179"/>
      <c r="W38" s="180" t="n">
        <f aca="false">C38+D38-1</f>
        <v>84</v>
      </c>
      <c r="X38" s="1" t="s">
        <v>581</v>
      </c>
    </row>
    <row r="39" customFormat="false" ht="15" hidden="false" customHeight="true" outlineLevel="0" collapsed="false">
      <c r="A39" s="175" t="s">
        <v>42</v>
      </c>
      <c r="B39" s="176" t="n">
        <v>18000000</v>
      </c>
      <c r="C39" s="177" t="n">
        <v>68</v>
      </c>
      <c r="D39" s="177" t="n">
        <v>19</v>
      </c>
      <c r="E39" s="177" t="n">
        <v>3</v>
      </c>
      <c r="F39" s="177" t="s">
        <v>580</v>
      </c>
      <c r="G39" s="177" t="s">
        <v>580</v>
      </c>
      <c r="H39" s="177" t="n">
        <v>0</v>
      </c>
      <c r="I39" s="178" t="n">
        <f aca="false">IF(H39=1,Assumptions!$B$16,IF(H39=2,Assumptions!$B$17,0))</f>
        <v>0</v>
      </c>
      <c r="J39" s="177" t="s">
        <v>580</v>
      </c>
      <c r="K39" s="177" t="s">
        <v>580</v>
      </c>
      <c r="L39" s="177" t="s">
        <v>585</v>
      </c>
      <c r="M39" s="182" t="s">
        <v>580</v>
      </c>
      <c r="N39" s="176" t="n">
        <v>876623</v>
      </c>
      <c r="O39" s="176" t="n">
        <v>876623</v>
      </c>
      <c r="P39" s="176" t="n">
        <v>292208</v>
      </c>
      <c r="Q39" s="176" t="n">
        <f aca="false">N39+O39+P39</f>
        <v>2045454</v>
      </c>
      <c r="R39" s="176" t="n">
        <f aca="false">Q39*0.05</f>
        <v>102272.7</v>
      </c>
      <c r="S39" s="175" t="n">
        <f aca="false">C39+D39-1</f>
        <v>86</v>
      </c>
      <c r="T39" s="179"/>
      <c r="W39" s="180" t="n">
        <f aca="false">C39+D39-1</f>
        <v>86</v>
      </c>
      <c r="X39" s="1" t="s">
        <v>581</v>
      </c>
    </row>
    <row r="40" customFormat="false" ht="15" hidden="false" customHeight="true" outlineLevel="0" collapsed="false">
      <c r="A40" s="175" t="s">
        <v>43</v>
      </c>
      <c r="B40" s="176" t="n">
        <v>15000000</v>
      </c>
      <c r="C40" s="177" t="n">
        <v>70</v>
      </c>
      <c r="D40" s="177" t="n">
        <v>19</v>
      </c>
      <c r="E40" s="177" t="n">
        <v>3</v>
      </c>
      <c r="F40" s="177" t="s">
        <v>581</v>
      </c>
      <c r="G40" s="177" t="s">
        <v>580</v>
      </c>
      <c r="H40" s="177" t="n">
        <v>2</v>
      </c>
      <c r="I40" s="178" t="n">
        <f aca="false">IF(H40=1,Assumptions!$B$16,IF(H40=2,Assumptions!$B$17,0))</f>
        <v>0.0325</v>
      </c>
      <c r="J40" s="177" t="s">
        <v>580</v>
      </c>
      <c r="K40" s="177" t="s">
        <v>580</v>
      </c>
      <c r="L40" s="177" t="s">
        <v>585</v>
      </c>
      <c r="M40" s="182" t="s">
        <v>581</v>
      </c>
      <c r="N40" s="176" t="n">
        <v>730519</v>
      </c>
      <c r="O40" s="176" t="n">
        <v>730519</v>
      </c>
      <c r="P40" s="176" t="n">
        <v>243506</v>
      </c>
      <c r="Q40" s="176" t="n">
        <f aca="false">N40+O40+P40</f>
        <v>1704544</v>
      </c>
      <c r="R40" s="176" t="n">
        <f aca="false">Q40*0.05</f>
        <v>85227.2</v>
      </c>
      <c r="S40" s="175" t="n">
        <f aca="false">C40+D40-1</f>
        <v>88</v>
      </c>
      <c r="T40" s="179" t="n">
        <f aca="false">Assumptions!$B$15</f>
        <v>0.015</v>
      </c>
      <c r="W40" s="180" t="n">
        <f aca="false">C40+D40-1</f>
        <v>88</v>
      </c>
      <c r="X40" s="1" t="s">
        <v>581</v>
      </c>
    </row>
    <row r="41" customFormat="false" ht="15" hidden="false" customHeight="true" outlineLevel="0" collapsed="false">
      <c r="A41" s="175" t="s">
        <v>44</v>
      </c>
      <c r="B41" s="176" t="n">
        <v>15000000</v>
      </c>
      <c r="C41" s="177" t="n">
        <v>72</v>
      </c>
      <c r="D41" s="177" t="n">
        <v>19</v>
      </c>
      <c r="E41" s="177" t="n">
        <v>3</v>
      </c>
      <c r="F41" s="177" t="s">
        <v>580</v>
      </c>
      <c r="G41" s="177" t="s">
        <v>580</v>
      </c>
      <c r="H41" s="177" t="n">
        <v>0</v>
      </c>
      <c r="I41" s="178" t="n">
        <f aca="false">IF(H41=1,Assumptions!$B$16,IF(H41=2,Assumptions!$B$17,0))</f>
        <v>0</v>
      </c>
      <c r="J41" s="177" t="s">
        <v>580</v>
      </c>
      <c r="K41" s="177" t="s">
        <v>580</v>
      </c>
      <c r="L41" s="177" t="s">
        <v>585</v>
      </c>
      <c r="M41" s="182" t="s">
        <v>580</v>
      </c>
      <c r="N41" s="176" t="n">
        <v>730519</v>
      </c>
      <c r="O41" s="176" t="n">
        <v>730519</v>
      </c>
      <c r="P41" s="176" t="n">
        <v>243506</v>
      </c>
      <c r="Q41" s="176" t="n">
        <f aca="false">N41+O41+P41</f>
        <v>1704544</v>
      </c>
      <c r="R41" s="176" t="n">
        <f aca="false">Q41*0.05</f>
        <v>85227.2</v>
      </c>
      <c r="S41" s="175" t="n">
        <f aca="false">C41+D41-1</f>
        <v>90</v>
      </c>
      <c r="T41" s="179"/>
      <c r="W41" s="180" t="n">
        <f aca="false">C41+D41-1</f>
        <v>90</v>
      </c>
      <c r="X41" s="1" t="s">
        <v>581</v>
      </c>
    </row>
    <row r="42" customFormat="false" ht="15" hidden="false" customHeight="true" outlineLevel="0" collapsed="false">
      <c r="A42" s="175" t="s">
        <v>45</v>
      </c>
      <c r="B42" s="176" t="n">
        <v>18000000</v>
      </c>
      <c r="C42" s="177" t="n">
        <v>74</v>
      </c>
      <c r="D42" s="177" t="n">
        <v>19</v>
      </c>
      <c r="E42" s="177" t="n">
        <v>3</v>
      </c>
      <c r="F42" s="177" t="s">
        <v>580</v>
      </c>
      <c r="G42" s="177" t="s">
        <v>580</v>
      </c>
      <c r="H42" s="177" t="n">
        <v>0</v>
      </c>
      <c r="I42" s="178" t="n">
        <f aca="false">IF(H42=1,Assumptions!$B$16,IF(H42=2,Assumptions!$B$17,0))</f>
        <v>0</v>
      </c>
      <c r="J42" s="177" t="s">
        <v>580</v>
      </c>
      <c r="K42" s="177" t="s">
        <v>580</v>
      </c>
      <c r="L42" s="177" t="s">
        <v>585</v>
      </c>
      <c r="M42" s="182" t="s">
        <v>580</v>
      </c>
      <c r="N42" s="176" t="n">
        <v>876623</v>
      </c>
      <c r="O42" s="176" t="n">
        <v>876623</v>
      </c>
      <c r="P42" s="176" t="n">
        <v>292208</v>
      </c>
      <c r="Q42" s="176" t="n">
        <f aca="false">N42+O42+P42</f>
        <v>2045454</v>
      </c>
      <c r="R42" s="176" t="n">
        <f aca="false">Q42*0.05</f>
        <v>102272.7</v>
      </c>
      <c r="S42" s="175" t="n">
        <f aca="false">C42+D42-1</f>
        <v>92</v>
      </c>
      <c r="T42" s="179"/>
      <c r="W42" s="180" t="n">
        <f aca="false">C42+D42-1</f>
        <v>92</v>
      </c>
      <c r="X42" s="1" t="s">
        <v>581</v>
      </c>
    </row>
    <row r="43" customFormat="false" ht="15" hidden="false" customHeight="true" outlineLevel="0" collapsed="false">
      <c r="A43" s="175" t="s">
        <v>46</v>
      </c>
      <c r="B43" s="176" t="n">
        <v>15000000</v>
      </c>
      <c r="C43" s="177" t="n">
        <v>76</v>
      </c>
      <c r="D43" s="177" t="n">
        <v>19</v>
      </c>
      <c r="E43" s="177" t="n">
        <v>3</v>
      </c>
      <c r="F43" s="177" t="s">
        <v>580</v>
      </c>
      <c r="G43" s="177" t="s">
        <v>580</v>
      </c>
      <c r="H43" s="177" t="n">
        <v>0</v>
      </c>
      <c r="I43" s="178" t="n">
        <f aca="false">IF(H43=1,Assumptions!$B$16,IF(H43=2,Assumptions!$B$17,0))</f>
        <v>0</v>
      </c>
      <c r="J43" s="177" t="s">
        <v>580</v>
      </c>
      <c r="K43" s="177" t="s">
        <v>580</v>
      </c>
      <c r="L43" s="177" t="s">
        <v>585</v>
      </c>
      <c r="M43" s="182" t="s">
        <v>580</v>
      </c>
      <c r="N43" s="176" t="n">
        <v>730519</v>
      </c>
      <c r="O43" s="176" t="n">
        <v>730519</v>
      </c>
      <c r="P43" s="176" t="n">
        <v>243506</v>
      </c>
      <c r="Q43" s="176" t="n">
        <f aca="false">N43+O43+P43</f>
        <v>1704544</v>
      </c>
      <c r="R43" s="176" t="n">
        <f aca="false">Q43*0.05</f>
        <v>85227.2</v>
      </c>
      <c r="S43" s="175" t="n">
        <f aca="false">C43+D43-1</f>
        <v>94</v>
      </c>
      <c r="T43" s="179"/>
      <c r="W43" s="180" t="n">
        <f aca="false">C43+D43-1</f>
        <v>94</v>
      </c>
      <c r="X43" s="1" t="s">
        <v>581</v>
      </c>
    </row>
    <row r="44" customFormat="false" ht="15" hidden="false" customHeight="true" outlineLevel="0" collapsed="false">
      <c r="A44" s="175" t="s">
        <v>47</v>
      </c>
      <c r="B44" s="176" t="n">
        <v>15000000</v>
      </c>
      <c r="C44" s="177" t="n">
        <v>78</v>
      </c>
      <c r="D44" s="177" t="n">
        <v>19</v>
      </c>
      <c r="E44" s="177" t="n">
        <v>3</v>
      </c>
      <c r="F44" s="177" t="s">
        <v>580</v>
      </c>
      <c r="G44" s="177" t="s">
        <v>580</v>
      </c>
      <c r="H44" s="177" t="n">
        <v>0</v>
      </c>
      <c r="I44" s="178" t="n">
        <f aca="false">IF(H44=1,Assumptions!$B$16,IF(H44=2,Assumptions!$B$17,0))</f>
        <v>0</v>
      </c>
      <c r="J44" s="177" t="s">
        <v>580</v>
      </c>
      <c r="K44" s="177" t="s">
        <v>580</v>
      </c>
      <c r="L44" s="177" t="s">
        <v>585</v>
      </c>
      <c r="M44" s="182" t="s">
        <v>580</v>
      </c>
      <c r="N44" s="176" t="n">
        <v>730519</v>
      </c>
      <c r="O44" s="176" t="n">
        <v>730519</v>
      </c>
      <c r="P44" s="176" t="n">
        <v>243506</v>
      </c>
      <c r="Q44" s="176" t="n">
        <f aca="false">N44+O44+P44</f>
        <v>1704544</v>
      </c>
      <c r="R44" s="176" t="n">
        <f aca="false">Q44*0.05</f>
        <v>85227.2</v>
      </c>
      <c r="S44" s="175" t="n">
        <f aca="false">C44+D44-1</f>
        <v>96</v>
      </c>
      <c r="T44" s="179"/>
      <c r="W44" s="180" t="n">
        <f aca="false">C44+D44-1</f>
        <v>96</v>
      </c>
      <c r="X44" s="1" t="s">
        <v>581</v>
      </c>
    </row>
    <row r="45" customFormat="false" ht="15" hidden="false" customHeight="true" outlineLevel="0" collapsed="false">
      <c r="A45" s="175" t="s">
        <v>48</v>
      </c>
      <c r="B45" s="176" t="n">
        <v>18000000</v>
      </c>
      <c r="C45" s="177" t="n">
        <v>80</v>
      </c>
      <c r="D45" s="177" t="n">
        <v>19</v>
      </c>
      <c r="E45" s="177" t="n">
        <v>3</v>
      </c>
      <c r="F45" s="177" t="s">
        <v>580</v>
      </c>
      <c r="G45" s="177" t="s">
        <v>580</v>
      </c>
      <c r="H45" s="177" t="n">
        <v>0</v>
      </c>
      <c r="I45" s="178" t="n">
        <f aca="false">IF(H45=1,Assumptions!$B$16,IF(H45=2,Assumptions!$B$17,0))</f>
        <v>0</v>
      </c>
      <c r="J45" s="177" t="s">
        <v>580</v>
      </c>
      <c r="K45" s="177" t="s">
        <v>580</v>
      </c>
      <c r="L45" s="177" t="s">
        <v>585</v>
      </c>
      <c r="M45" s="182" t="s">
        <v>580</v>
      </c>
      <c r="N45" s="176" t="n">
        <v>876623</v>
      </c>
      <c r="O45" s="176" t="n">
        <v>876623</v>
      </c>
      <c r="P45" s="176" t="n">
        <v>292208</v>
      </c>
      <c r="Q45" s="176" t="n">
        <f aca="false">N45+O45+P45</f>
        <v>2045454</v>
      </c>
      <c r="R45" s="176" t="n">
        <f aca="false">Q45*0.05</f>
        <v>102272.7</v>
      </c>
      <c r="S45" s="175" t="n">
        <f aca="false">C45+D45-1</f>
        <v>98</v>
      </c>
      <c r="T45" s="179"/>
      <c r="W45" s="180" t="n">
        <f aca="false">C45+D45-1</f>
        <v>98</v>
      </c>
      <c r="X45" s="1" t="s">
        <v>581</v>
      </c>
    </row>
    <row r="46" customFormat="false" ht="15" hidden="false" customHeight="true" outlineLevel="0" collapsed="false">
      <c r="A46" s="175" t="s">
        <v>49</v>
      </c>
      <c r="B46" s="176" t="n">
        <v>15000000</v>
      </c>
      <c r="C46" s="177" t="n">
        <v>82</v>
      </c>
      <c r="D46" s="177" t="n">
        <v>19</v>
      </c>
      <c r="E46" s="177" t="n">
        <v>3</v>
      </c>
      <c r="F46" s="177" t="s">
        <v>581</v>
      </c>
      <c r="G46" s="177" t="s">
        <v>580</v>
      </c>
      <c r="H46" s="177" t="n">
        <v>2</v>
      </c>
      <c r="I46" s="178" t="n">
        <f aca="false">IF(H46=1,Assumptions!$B$16,IF(H46=2,Assumptions!$B$17,0))</f>
        <v>0.0325</v>
      </c>
      <c r="J46" s="177" t="s">
        <v>580</v>
      </c>
      <c r="K46" s="177" t="s">
        <v>580</v>
      </c>
      <c r="L46" s="177" t="s">
        <v>585</v>
      </c>
      <c r="M46" s="182" t="s">
        <v>581</v>
      </c>
      <c r="N46" s="176" t="n">
        <v>730519</v>
      </c>
      <c r="O46" s="176" t="n">
        <v>730519</v>
      </c>
      <c r="P46" s="176" t="n">
        <v>243506</v>
      </c>
      <c r="Q46" s="176" t="n">
        <f aca="false">N46+O46+P46</f>
        <v>1704544</v>
      </c>
      <c r="R46" s="176" t="n">
        <f aca="false">Q46*0.05</f>
        <v>85227.2</v>
      </c>
      <c r="S46" s="175" t="n">
        <f aca="false">C46+D46-1</f>
        <v>100</v>
      </c>
      <c r="T46" s="179" t="n">
        <f aca="false">Assumptions!$B$15</f>
        <v>0.015</v>
      </c>
      <c r="X46" s="1" t="s">
        <v>581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588</v>
      </c>
    </row>
    <row r="2" customFormat="false" ht="15" hidden="false" customHeight="true" outlineLevel="0" collapsed="false">
      <c r="A2" s="183" t="s">
        <v>589</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558</v>
      </c>
      <c r="B5" s="110" t="s">
        <v>559</v>
      </c>
      <c r="C5" s="110" t="s">
        <v>590</v>
      </c>
      <c r="D5" s="110" t="s">
        <v>591</v>
      </c>
      <c r="E5" s="110" t="s">
        <v>592</v>
      </c>
      <c r="F5" s="110" t="s">
        <v>593</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594</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6225947.89656226</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833012.67377813</v>
      </c>
      <c r="M7" s="192" t="n">
        <f aca="false">IF(Model!K13=0,"",Model!K13)</f>
        <v>712680.486168552</v>
      </c>
      <c r="N7" s="192" t="n">
        <f aca="false">IF(Model!L13=0,"",Model!L13)</f>
        <v>600255.256615582</v>
      </c>
      <c r="O7" s="192" t="str">
        <f aca="false">IF(Model!M13=0,"",Model!M13)</f>
        <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18169630.38</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1080865.59</v>
      </c>
      <c r="M8" s="192" t="n">
        <f aca="false">IF(Model!K14=0,"",Model!K14)</f>
        <v>907471.96</v>
      </c>
      <c r="N8" s="192" t="n">
        <f aca="false">IF(Model!L14=0,"",Model!L14)</f>
        <v>804175.89</v>
      </c>
      <c r="O8" s="192" t="n">
        <f aca="false">IF(Model!M14=0,"",Model!M14)</f>
        <v>836424.94</v>
      </c>
      <c r="P8" s="192" t="n">
        <f aca="false">IF(Model!N14=0,"",Model!N14)</f>
        <v>1141488.12</v>
      </c>
      <c r="Q8" s="192" t="n">
        <f aca="false">IF(Model!O14=0,"",Model!O14)</f>
        <v>831668.03</v>
      </c>
      <c r="R8" s="192" t="n">
        <f aca="false">IF(Model!P14=0,"",Model!P14)</f>
        <v>1111923.3</v>
      </c>
      <c r="S8" s="192" t="n">
        <f aca="false">IF(Model!Q14=0,"",Model!Q14)</f>
        <v>880988.48</v>
      </c>
      <c r="T8" s="192" t="n">
        <f aca="false">IF(Model!R14=0,"",Model!R14)</f>
        <v>653443.66</v>
      </c>
      <c r="U8" s="192" t="n">
        <f aca="false">IF(Model!S14=0,"",Model!S14)</f>
        <v>567093.62</v>
      </c>
      <c r="V8" s="192" t="n">
        <f aca="false">IF(Model!T14=0,"",Model!T14)</f>
        <v>767040.45</v>
      </c>
      <c r="W8" s="192" t="n">
        <f aca="false">IF(Model!U14=0,"",Model!U14)</f>
        <v>778438.76</v>
      </c>
      <c r="X8" s="192" t="n">
        <f aca="false">IF(Model!V14=0,"",Model!V14)</f>
        <v>207929.38</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10887187.56</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603963.38</v>
      </c>
      <c r="M9" s="192" t="n">
        <f aca="false">IF(Model!K15=0,"",Model!K15)</f>
        <v>563091.62</v>
      </c>
      <c r="N9" s="192" t="n">
        <f aca="false">IF(Model!L15=0,"",Model!L15)</f>
        <v>629318.73</v>
      </c>
      <c r="O9" s="192" t="n">
        <f aca="false">IF(Model!M15=0,"",Model!M15)</f>
        <v>751734.58</v>
      </c>
      <c r="P9" s="192" t="n">
        <f aca="false">IF(Model!N15=0,"",Model!N15)</f>
        <v>674668.79</v>
      </c>
      <c r="Q9" s="192" t="n">
        <f aca="false">IF(Model!O15=0,"",Model!O15)</f>
        <v>615694.04</v>
      </c>
      <c r="R9" s="192" t="n">
        <f aca="false">IF(Model!P15=0,"",Model!P15)</f>
        <v>694084.67</v>
      </c>
      <c r="S9" s="192" t="n">
        <f aca="false">IF(Model!Q15=0,"",Model!Q15)</f>
        <v>723252.22</v>
      </c>
      <c r="T9" s="192" t="n">
        <f aca="false">IF(Model!R15=0,"",Model!R15)</f>
        <v>594153.61</v>
      </c>
      <c r="U9" s="192" t="n">
        <f aca="false">IF(Model!S15=0,"",Model!S15)</f>
        <v>377468.25</v>
      </c>
      <c r="V9" s="192" t="n">
        <f aca="false">IF(Model!T15=0,"",Model!T15)</f>
        <v>189218.1</v>
      </c>
      <c r="W9" s="192" t="n">
        <f aca="false">IF(Model!U15=0,"",Model!U15)</f>
        <v>144619.25</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14053101.58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925546.41</v>
      </c>
      <c r="M10" s="192" t="n">
        <f aca="false">IF(Model!K16=0,"",Model!K16)</f>
        <v>821980.06</v>
      </c>
      <c r="N10" s="192" t="n">
        <f aca="false">IF(Model!L16=0,"",Model!L16)</f>
        <v>619146.84</v>
      </c>
      <c r="O10" s="192" t="n">
        <f aca="false">IF(Model!M16=0,"",Model!M16)</f>
        <v>715421.53</v>
      </c>
      <c r="P10" s="192" t="n">
        <f aca="false">IF(Model!N16=0,"",Model!N16)</f>
        <v>653231.72</v>
      </c>
      <c r="Q10" s="192" t="n">
        <f aca="false">IF(Model!O16=0,"",Model!O16)</f>
        <v>619153.15</v>
      </c>
      <c r="R10" s="192" t="n">
        <f aca="false">IF(Model!P16=0,"",Model!P16)</f>
        <v>560550.81</v>
      </c>
      <c r="S10" s="192" t="n">
        <f aca="false">IF(Model!Q16=0,"",Model!Q16)</f>
        <v>440306.1</v>
      </c>
      <c r="T10" s="192" t="n">
        <f aca="false">IF(Model!R16=0,"",Model!R16)</f>
        <v>351742.71</v>
      </c>
      <c r="U10" s="192" t="n">
        <f aca="false">IF(Model!S16=0,"",Model!S16)</f>
        <v>752314.78</v>
      </c>
      <c r="V10" s="192" t="n">
        <f aca="false">IF(Model!T16=0,"",Model!T16)</f>
        <v>1002553.11</v>
      </c>
      <c r="W10" s="192" t="n">
        <f aca="false">IF(Model!U16=0,"",Model!U16)</f>
        <v>674532.85</v>
      </c>
      <c r="X10" s="192" t="n">
        <f aca="false">IF(Model!V16=0,"",Model!V16)</f>
        <v>436351.83</v>
      </c>
      <c r="Y10" s="192" t="n">
        <f aca="false">IF(Model!W16=0,"",Model!W16)</f>
        <v>158637.93</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3474372.95</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292519.05</v>
      </c>
      <c r="M11" s="192" t="n">
        <f aca="false">IF(Model!K17=0,"",Model!K17)</f>
        <v>450328.06</v>
      </c>
      <c r="N11" s="192" t="n">
        <f aca="false">IF(Model!L17=0,"",Model!L17)</f>
        <v>246565.55</v>
      </c>
      <c r="O11" s="192" t="n">
        <f aca="false">IF(Model!M17=0,"",Model!M17)</f>
        <v>208840.6</v>
      </c>
      <c r="P11" s="192" t="n">
        <f aca="false">IF(Model!N17=0,"",Model!N17)</f>
        <v>279911.11</v>
      </c>
      <c r="Q11" s="192" t="n">
        <f aca="false">IF(Model!O17=0,"",Model!O17)</f>
        <v>246649.63</v>
      </c>
      <c r="R11" s="192" t="n">
        <f aca="false">IF(Model!P17=0,"",Model!P17)</f>
        <v>95976.7</v>
      </c>
      <c r="S11" s="192" t="n">
        <f aca="false">IF(Model!Q17=0,"",Model!Q17)</f>
        <v>110015.5</v>
      </c>
      <c r="T11" s="192" t="n">
        <f aca="false">IF(Model!R17=0,"",Model!R17)</f>
        <v>53831.42</v>
      </c>
      <c r="U11" s="192" t="n">
        <f aca="false">IF(Model!S17=0,"",Model!S17)</f>
        <v>15804.6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37296832.31</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734627.75</v>
      </c>
      <c r="M12" s="192" t="n">
        <f aca="false">IF(Model!K18=0,"",Model!K18)</f>
        <v>1031862.26</v>
      </c>
      <c r="N12" s="192" t="n">
        <f aca="false">IF(Model!L18=0,"",Model!L18)</f>
        <v>670762.14</v>
      </c>
      <c r="O12" s="192" t="n">
        <f aca="false">IF(Model!M18=0,"",Model!M18)</f>
        <v>502701.41</v>
      </c>
      <c r="P12" s="192" t="n">
        <f aca="false">IF(Model!N18=0,"",Model!N18)</f>
        <v>640423.23</v>
      </c>
      <c r="Q12" s="192" t="n">
        <f aca="false">IF(Model!O18=0,"",Model!O18)</f>
        <v>518087.99</v>
      </c>
      <c r="R12" s="192" t="n">
        <f aca="false">IF(Model!P18=0,"",Model!P18)</f>
        <v>625083.61</v>
      </c>
      <c r="S12" s="192" t="n">
        <f aca="false">IF(Model!Q18=0,"",Model!Q18)</f>
        <v>527941.35</v>
      </c>
      <c r="T12" s="192" t="n">
        <f aca="false">IF(Model!R18=0,"",Model!R18)</f>
        <v>648842.42</v>
      </c>
      <c r="U12" s="192" t="n">
        <f aca="false">IF(Model!S18=0,"",Model!S18)</f>
        <v>609836.71</v>
      </c>
      <c r="V12" s="192" t="n">
        <f aca="false">IF(Model!T18=0,"",Model!T18)</f>
        <v>1093856.58</v>
      </c>
      <c r="W12" s="192" t="n">
        <f aca="false">IF(Model!U18=0,"",Model!U18)</f>
        <v>699027.38</v>
      </c>
      <c r="X12" s="192" t="n">
        <f aca="false">IF(Model!V18=0,"",Model!V18)</f>
        <v>2084550.48</v>
      </c>
      <c r="Y12" s="192" t="n">
        <f aca="false">IF(Model!W18=0,"",Model!W18)</f>
        <v>1316830.2</v>
      </c>
      <c r="Z12" s="192" t="n">
        <f aca="false">IF(Model!X18=0,"",Model!X18)</f>
        <v>2704840.19</v>
      </c>
      <c r="AA12" s="192" t="n">
        <f aca="false">IF(Model!Y18=0,"",Model!Y18)</f>
        <v>1557426.69</v>
      </c>
      <c r="AB12" s="192" t="n">
        <f aca="false">IF(Model!Z18=0,"",Model!Z18)</f>
        <v>2453634.53</v>
      </c>
      <c r="AC12" s="192" t="n">
        <f aca="false">IF(Model!AA18=0,"",Model!AA18)</f>
        <v>2048866.16</v>
      </c>
      <c r="AD12" s="192" t="n">
        <f aca="false">IF(Model!AB18=0,"",Model!AB18)</f>
        <v>1396684.5</v>
      </c>
      <c r="AE12" s="192" t="n">
        <f aca="false">IF(Model!AC18=0,"",Model!AC18)</f>
        <v>883896.92</v>
      </c>
      <c r="AF12" s="192" t="n">
        <f aca="false">IF(Model!AD18=0,"",Model!AD18)</f>
        <v>1046686.92</v>
      </c>
      <c r="AG12" s="192" t="n">
        <f aca="false">IF(Model!AE18=0,"",Model!AE18)</f>
        <v>982365.21</v>
      </c>
      <c r="AH12" s="192" t="n">
        <f aca="false">IF(Model!AF18=0,"",Model!AF18)</f>
        <v>1214791.02</v>
      </c>
      <c r="AI12" s="192" t="n">
        <f aca="false">IF(Model!AG18=0,"",Model!AG18)</f>
        <v>2109626.22</v>
      </c>
      <c r="AJ12" s="192" t="n">
        <f aca="false">IF(Model!AH18=0,"",Model!AH18)</f>
        <v>1957875.93</v>
      </c>
      <c r="AK12" s="192" t="n">
        <f aca="false">IF(Model!AI18=0,"",Model!AI18)</f>
        <v>1914132.66</v>
      </c>
      <c r="AL12" s="192" t="n">
        <f aca="false">IF(Model!AJ18=0,"",Model!AJ18)</f>
        <v>1044319.92</v>
      </c>
      <c r="AM12" s="192" t="n">
        <f aca="false">IF(Model!AK18=0,"",Model!AK18)</f>
        <v>866931.3</v>
      </c>
      <c r="AN12" s="192" t="n">
        <f aca="false">IF(Model!AL18=0,"",Model!AL18)</f>
        <v>968436.51</v>
      </c>
      <c r="AO12" s="192" t="n">
        <f aca="false">IF(Model!AM18=0,"",Model!AM18)</f>
        <v>1052717.22</v>
      </c>
      <c r="AP12" s="192" t="n">
        <f aca="false">IF(Model!AN18=0,"",Model!AN18)</f>
        <v>283224.47</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11621468.6075645</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266339.274896073</v>
      </c>
      <c r="M13" s="192" t="n">
        <f aca="false">IF(Model!K19=0,"",Model!K19)</f>
        <v>347472.412552273</v>
      </c>
      <c r="N13" s="192" t="n">
        <f aca="false">IF(Model!L19=0,"",Model!L19)</f>
        <v>434803.581384323</v>
      </c>
      <c r="O13" s="192" t="n">
        <f aca="false">IF(Model!M19=0,"",Model!M19)</f>
        <v>524850.449410823</v>
      </c>
      <c r="P13" s="192" t="n">
        <f aca="false">IF(Model!N19=0,"",Model!N19)</f>
        <v>613286.089207123</v>
      </c>
      <c r="Q13" s="192" t="n">
        <f aca="false">IF(Model!O19=0,"",Model!O19)</f>
        <v>695198.853426323</v>
      </c>
      <c r="R13" s="192" t="n">
        <f aca="false">IF(Model!P19=0,"",Model!P19)</f>
        <v>765560.150737073</v>
      </c>
      <c r="S13" s="192" t="n">
        <f aca="false">IF(Model!Q19=0,"",Model!Q19)</f>
        <v>819705.215537423</v>
      </c>
      <c r="T13" s="192" t="n">
        <f aca="false">IF(Model!R19=0,"",Model!R19)</f>
        <v>853852.858996823</v>
      </c>
      <c r="U13" s="192" t="n">
        <f aca="false">IF(Model!S19=0,"",Model!S19)</f>
        <v>865521.269889723</v>
      </c>
      <c r="V13" s="192" t="n">
        <f aca="false">IF(Model!T19=0,"",Model!T19)</f>
        <v>853852.858996823</v>
      </c>
      <c r="W13" s="192" t="n">
        <f aca="false">IF(Model!U19=0,"",Model!U19)</f>
        <v>819705.215537423</v>
      </c>
      <c r="X13" s="192" t="n">
        <f aca="false">IF(Model!V19=0,"",Model!V19)</f>
        <v>765560.150737073</v>
      </c>
      <c r="Y13" s="192" t="n">
        <f aca="false">IF(Model!W19=0,"",Model!W19)</f>
        <v>695198.853426323</v>
      </c>
      <c r="Z13" s="192" t="n">
        <f aca="false">IF(Model!X19=0,"",Model!X19)</f>
        <v>613286.089207123</v>
      </c>
      <c r="AA13" s="192" t="n">
        <f aca="false">IF(Model!Y19=0,"",Model!Y19)</f>
        <v>524850.449410823</v>
      </c>
      <c r="AB13" s="192" t="n">
        <f aca="false">IF(Model!Z19=0,"",Model!Z19)</f>
        <v>434803.581384323</v>
      </c>
      <c r="AC13" s="192" t="n">
        <f aca="false">IF(Model!AA19=0,"",Model!AA19)</f>
        <v>347472.412552273</v>
      </c>
      <c r="AD13" s="192" t="n">
        <f aca="false">IF(Model!AB19=0,"",Model!AB19)</f>
        <v>188122.590274295</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12766708.9407547</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383392.45745766</v>
      </c>
      <c r="M14" s="192" t="n">
        <f aca="false">IF(Model!K20=0,"",Model!K20)</f>
        <v>479751.50704446</v>
      </c>
      <c r="N14" s="192" t="n">
        <f aca="false">IF(Model!L20=0,"",Model!L20)</f>
        <v>579106.99188846</v>
      </c>
      <c r="O14" s="192" t="n">
        <f aca="false">IF(Model!M20=0,"",Model!M20)</f>
        <v>676684.68739326</v>
      </c>
      <c r="P14" s="192" t="n">
        <f aca="false">IF(Model!N20=0,"",Model!N20)</f>
        <v>767065.20347646</v>
      </c>
      <c r="Q14" s="192" t="n">
        <f aca="false">IF(Model!O20=0,"",Model!O20)</f>
        <v>844700.11695846</v>
      </c>
      <c r="R14" s="192" t="n">
        <f aca="false">IF(Model!P20=0,"",Model!P20)</f>
        <v>904442.44096206</v>
      </c>
      <c r="S14" s="192" t="n">
        <f aca="false">IF(Model!Q20=0,"",Model!Q20)</f>
        <v>942120.10534446</v>
      </c>
      <c r="T14" s="192" t="n">
        <f aca="false">IF(Model!R20=0,"",Model!R20)</f>
        <v>954994.74104286</v>
      </c>
      <c r="U14" s="192" t="n">
        <f aca="false">IF(Model!S20=0,"",Model!S20)</f>
        <v>942120.10534446</v>
      </c>
      <c r="V14" s="192" t="n">
        <f aca="false">IF(Model!T20=0,"",Model!T20)</f>
        <v>904442.44096206</v>
      </c>
      <c r="W14" s="192" t="n">
        <f aca="false">IF(Model!U20=0,"",Model!U20)</f>
        <v>844700.11695846</v>
      </c>
      <c r="X14" s="192" t="n">
        <f aca="false">IF(Model!V20=0,"",Model!V20)</f>
        <v>767065.20347646</v>
      </c>
      <c r="Y14" s="192" t="n">
        <f aca="false">IF(Model!W20=0,"",Model!W20)</f>
        <v>676684.68739326</v>
      </c>
      <c r="Z14" s="192" t="n">
        <f aca="false">IF(Model!X20=0,"",Model!X20)</f>
        <v>579106.99188846</v>
      </c>
      <c r="AA14" s="192" t="n">
        <f aca="false">IF(Model!Y20=0,"",Model!Y20)</f>
        <v>479751.50704446</v>
      </c>
      <c r="AB14" s="192" t="n">
        <f aca="false">IF(Model!Z20=0,"",Model!Z20)</f>
        <v>383392.45745766</v>
      </c>
      <c r="AC14" s="192" t="n">
        <f aca="false">IF(Model!AA20=0,"",Model!AA20)</f>
        <v>207569.80866132</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36376071.917416</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n">
        <f aca="false">IF(Model!AE25=0,"",Model!AE25)</f>
        <v>508191.288963453</v>
      </c>
      <c r="AH17" s="192" t="n">
        <f aca="false">IF(Model!AF25=0,"",Model!AF25)</f>
        <v>608145.434507453</v>
      </c>
      <c r="AI17" s="192" t="n">
        <f aca="false">IF(Model!AG25=0,"",Model!AG25)</f>
        <v>714385.484115453</v>
      </c>
      <c r="AJ17" s="192" t="n">
        <f aca="false">IF(Model!AH25=0,"",Model!AH25)</f>
        <v>825464.025667453</v>
      </c>
      <c r="AK17" s="192" t="n">
        <f aca="false">IF(Model!AI25=0,"",Model!AI25)</f>
        <v>939685.519251453</v>
      </c>
      <c r="AL17" s="192" t="n">
        <f aca="false">IF(Model!AJ25=0,"",Model!AJ25)</f>
        <v>1054982.23326745</v>
      </c>
      <c r="AM17" s="192" t="n">
        <f aca="false">IF(Model!AK25=0,"",Model!AK25)</f>
        <v>1169079.66295545</v>
      </c>
      <c r="AN17" s="192" t="n">
        <f aca="false">IF(Model!AL25=0,"",Model!AL25)</f>
        <v>1279496.53039545</v>
      </c>
      <c r="AO17" s="192" t="n">
        <f aca="false">IF(Model!AM25=0,"",Model!AM25)</f>
        <v>1383586.13913945</v>
      </c>
      <c r="AP17" s="192" t="n">
        <f aca="false">IF(Model!AN25=0,"",Model!AN25)</f>
        <v>1478825.85663545</v>
      </c>
      <c r="AQ17" s="192" t="n">
        <f aca="false">IF(Model!AO25=0,"",Model!AO25)</f>
        <v>1562651.69569945</v>
      </c>
      <c r="AR17" s="192" t="n">
        <f aca="false">IF(Model!AP25=0,"",Model!AP25)</f>
        <v>1632789.15157145</v>
      </c>
      <c r="AS17" s="192" t="n">
        <f aca="false">IF(Model!AQ25=0,"",Model!AQ25)</f>
        <v>1687294.55654745</v>
      </c>
      <c r="AT17" s="192" t="n">
        <f aca="false">IF(Model!AR25=0,"",Model!AR25)</f>
        <v>1724513.72534745</v>
      </c>
      <c r="AU17" s="192" t="n">
        <f aca="false">IF(Model!AS25=0,"",Model!AS25)</f>
        <v>1743412.79217145</v>
      </c>
      <c r="AV17" s="192" t="n">
        <f aca="false">IF(Model!AT25=0,"",Model!AT25)</f>
        <v>1743412.79217145</v>
      </c>
      <c r="AW17" s="192" t="n">
        <f aca="false">IF(Model!AU25=0,"",Model!AU25)</f>
        <v>1724513.72534745</v>
      </c>
      <c r="AX17" s="192" t="n">
        <f aca="false">IF(Model!AV25=0,"",Model!AV25)</f>
        <v>1687294.55654745</v>
      </c>
      <c r="AY17" s="192" t="n">
        <f aca="false">IF(Model!AW25=0,"",Model!AW25)</f>
        <v>1632789.15157145</v>
      </c>
      <c r="AZ17" s="192" t="n">
        <f aca="false">IF(Model!AX25=0,"",Model!AX25)</f>
        <v>1562651.69569945</v>
      </c>
      <c r="BA17" s="192" t="n">
        <f aca="false">IF(Model!AY25=0,"",Model!AY25)</f>
        <v>1478825.85663545</v>
      </c>
      <c r="BB17" s="192" t="n">
        <f aca="false">IF(Model!AZ25=0,"",Model!AZ25)</f>
        <v>1383586.13913945</v>
      </c>
      <c r="BC17" s="192" t="n">
        <f aca="false">IF(Model!BA25=0,"",Model!BA25)</f>
        <v>1279496.53039545</v>
      </c>
      <c r="BD17" s="192" t="n">
        <f aca="false">IF(Model!BB25=0,"",Model!BB25)</f>
        <v>1169079.66295545</v>
      </c>
      <c r="BE17" s="192" t="n">
        <f aca="false">IF(Model!BC25=0,"",Model!BC25)</f>
        <v>1054982.23326745</v>
      </c>
      <c r="BF17" s="192" t="n">
        <f aca="false">IF(Model!BD25=0,"",Model!BD25)</f>
        <v>939685.519251453</v>
      </c>
      <c r="BG17" s="192" t="n">
        <f aca="false">IF(Model!BE25=0,"",Model!BE25)</f>
        <v>825464.025667453</v>
      </c>
      <c r="BH17" s="192" t="n">
        <f aca="false">IF(Model!BF25=0,"",Model!BF25)</f>
        <v>714385.484115453</v>
      </c>
      <c r="BI17" s="192" t="n">
        <f aca="false">IF(Model!BG25=0,"",Model!BG25)</f>
        <v>608145.434507453</v>
      </c>
      <c r="BJ17" s="192" t="n">
        <f aca="false">IF(Model!BH25=0,"",Model!BH25)</f>
        <v>259255.013907853</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12507639.757905</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n">
        <f aca="false">IF(Model!V26=0,"",Model!V26)</f>
        <v>291464.41266025</v>
      </c>
      <c r="Y18" s="192" t="n">
        <f aca="false">IF(Model!W26=0,"",Model!W26)</f>
        <v>380251.25164025</v>
      </c>
      <c r="Z18" s="192" t="n">
        <f aca="false">IF(Model!X26=0,"",Model!X26)</f>
        <v>475820.81358525</v>
      </c>
      <c r="AA18" s="192" t="n">
        <f aca="false">IF(Model!Y26=0,"",Model!Y26)</f>
        <v>574362.26043525</v>
      </c>
      <c r="AB18" s="192" t="n">
        <f aca="false">IF(Model!Z26=0,"",Model!Z26)</f>
        <v>671140.48370525</v>
      </c>
      <c r="AC18" s="192" t="n">
        <f aca="false">IF(Model!AA26=0,"",Model!AA26)</f>
        <v>760780.49538525</v>
      </c>
      <c r="AD18" s="192" t="n">
        <f aca="false">IF(Model!AB26=0,"",Model!AB26)</f>
        <v>837779.33156025</v>
      </c>
      <c r="AE18" s="192" t="n">
        <f aca="false">IF(Model!AC26=0,"",Model!AC26)</f>
        <v>897032.17557525</v>
      </c>
      <c r="AF18" s="192" t="n">
        <f aca="false">IF(Model!AD26=0,"",Model!AD26)</f>
        <v>934401.13983525</v>
      </c>
      <c r="AG18" s="192" t="n">
        <f aca="false">IF(Model!AE26=0,"",Model!AE26)</f>
        <v>947170.29124525</v>
      </c>
      <c r="AH18" s="192" t="n">
        <f aca="false">IF(Model!AF26=0,"",Model!AF26)</f>
        <v>934401.13983525</v>
      </c>
      <c r="AI18" s="192" t="n">
        <f aca="false">IF(Model!AG26=0,"",Model!AG26)</f>
        <v>897032.17557525</v>
      </c>
      <c r="AJ18" s="192" t="n">
        <f aca="false">IF(Model!AH26=0,"",Model!AH26)</f>
        <v>837779.33156025</v>
      </c>
      <c r="AK18" s="192" t="n">
        <f aca="false">IF(Model!AI26=0,"",Model!AI26)</f>
        <v>760780.49538525</v>
      </c>
      <c r="AL18" s="192" t="n">
        <f aca="false">IF(Model!AJ26=0,"",Model!AJ26)</f>
        <v>671140.48370525</v>
      </c>
      <c r="AM18" s="192" t="n">
        <f aca="false">IF(Model!AK26=0,"",Model!AK26)</f>
        <v>574362.26043525</v>
      </c>
      <c r="AN18" s="192" t="n">
        <f aca="false">IF(Model!AL26=0,"",Model!AL26)</f>
        <v>475820.81358525</v>
      </c>
      <c r="AO18" s="192" t="n">
        <f aca="false">IF(Model!AM26=0,"",Model!AM26)</f>
        <v>380251.25164025</v>
      </c>
      <c r="AP18" s="192" t="n">
        <f aca="false">IF(Model!AN26=0,"",Model!AN26)</f>
        <v>205869.1505555</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10148546.012085</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n">
        <f aca="false">IF(Model!R27=0,"",Model!R27)</f>
        <v>236490.66170925</v>
      </c>
      <c r="U19" s="192" t="n">
        <f aca="false">IF(Model!S27=0,"",Model!S27)</f>
        <v>308531.21756925</v>
      </c>
      <c r="V19" s="192" t="n">
        <f aca="false">IF(Model!T27=0,"",Model!T27)</f>
        <v>386075.19193425</v>
      </c>
      <c r="W19" s="192" t="n">
        <f aca="false">IF(Model!U27=0,"",Model!U27)</f>
        <v>466030.51738425</v>
      </c>
      <c r="X19" s="192" t="n">
        <f aca="false">IF(Model!V27=0,"",Model!V27)</f>
        <v>544555.18477425</v>
      </c>
      <c r="Y19" s="192" t="n">
        <f aca="false">IF(Model!W27=0,"",Model!W27)</f>
        <v>617287.99453425</v>
      </c>
      <c r="Z19" s="192" t="n">
        <f aca="false">IF(Model!X27=0,"",Model!X27)</f>
        <v>679763.90900925</v>
      </c>
      <c r="AA19" s="192" t="n">
        <f aca="false">IF(Model!Y27=0,"",Model!Y27)</f>
        <v>727840.94236425</v>
      </c>
      <c r="AB19" s="192" t="n">
        <f aca="false">IF(Model!Z27=0,"",Model!Z27)</f>
        <v>758161.66318425</v>
      </c>
      <c r="AC19" s="192" t="n">
        <f aca="false">IF(Model!AA27=0,"",Model!AA27)</f>
        <v>768522.39655425</v>
      </c>
      <c r="AD19" s="192" t="n">
        <f aca="false">IF(Model!AB27=0,"",Model!AB27)</f>
        <v>758161.66318425</v>
      </c>
      <c r="AE19" s="192" t="n">
        <f aca="false">IF(Model!AC27=0,"",Model!AC27)</f>
        <v>727840.94236425</v>
      </c>
      <c r="AF19" s="192" t="n">
        <f aca="false">IF(Model!AD27=0,"",Model!AD27)</f>
        <v>679763.90900925</v>
      </c>
      <c r="AG19" s="192" t="n">
        <f aca="false">IF(Model!AE27=0,"",Model!AE27)</f>
        <v>617287.99453425</v>
      </c>
      <c r="AH19" s="192" t="n">
        <f aca="false">IF(Model!AF27=0,"",Model!AF27)</f>
        <v>544555.18477425</v>
      </c>
      <c r="AI19" s="192" t="n">
        <f aca="false">IF(Model!AG27=0,"",Model!AG27)</f>
        <v>466030.51738425</v>
      </c>
      <c r="AJ19" s="192" t="n">
        <f aca="false">IF(Model!AH27=0,"",Model!AH27)</f>
        <v>386075.19193425</v>
      </c>
      <c r="AK19" s="192" t="n">
        <f aca="false">IF(Model!AI27=0,"",Model!AI27)</f>
        <v>308531.21756925</v>
      </c>
      <c r="AL19" s="192" t="n">
        <f aca="false">IF(Model!AJ27=0,"",Model!AJ27)</f>
        <v>167039.7123135</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16505497.847265</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n">
        <f aca="false">IF(Model!Q28=0,"",Model!Q28)</f>
        <v>410240.522810006</v>
      </c>
      <c r="T20" s="192" t="n">
        <f aca="false">IF(Model!R28=0,"",Model!R28)</f>
        <v>541775.431953637</v>
      </c>
      <c r="U20" s="192" t="n">
        <f aca="false">IF(Model!S28=0,"",Model!S28)</f>
        <v>683085.791293572</v>
      </c>
      <c r="V20" s="192" t="n">
        <f aca="false">IF(Model!T28=0,"",Model!T28)</f>
        <v>827718.370996161</v>
      </c>
      <c r="W20" s="192" t="n">
        <f aca="false">IF(Model!U28=0,"",Model!U28)</f>
        <v>967743.153937676</v>
      </c>
      <c r="X20" s="192" t="n">
        <f aca="false">IF(Model!V28=0,"",Model!V28)</f>
        <v>1094357.27558114</v>
      </c>
      <c r="Y20" s="192" t="n">
        <f aca="false">IF(Model!W28=0,"",Model!W28)</f>
        <v>1198804.70979243</v>
      </c>
      <c r="Z20" s="192" t="n">
        <f aca="false">IF(Model!X28=0,"",Model!X28)</f>
        <v>1273338.93577902</v>
      </c>
      <c r="AA20" s="192" t="n">
        <f aca="false">IF(Model!Y28=0,"",Model!Y28)</f>
        <v>1312161.91030723</v>
      </c>
      <c r="AB20" s="192" t="n">
        <f aca="false">IF(Model!Z28=0,"",Model!Z28)</f>
        <v>1312161.91030723</v>
      </c>
      <c r="AC20" s="192" t="n">
        <f aca="false">IF(Model!AA28=0,"",Model!AA28)</f>
        <v>1273338.93577902</v>
      </c>
      <c r="AD20" s="192" t="n">
        <f aca="false">IF(Model!AB28=0,"",Model!AB28)</f>
        <v>1198804.70979243</v>
      </c>
      <c r="AE20" s="192" t="n">
        <f aca="false">IF(Model!AC28=0,"",Model!AC28)</f>
        <v>1094357.27558114</v>
      </c>
      <c r="AF20" s="192" t="n">
        <f aca="false">IF(Model!AD28=0,"",Model!AD28)</f>
        <v>967743.153937676</v>
      </c>
      <c r="AG20" s="192" t="n">
        <f aca="false">IF(Model!AE28=0,"",Model!AE28)</f>
        <v>827718.370996161</v>
      </c>
      <c r="AH20" s="192" t="n">
        <f aca="false">IF(Model!AF28=0,"",Model!AF28)</f>
        <v>683085.791293572</v>
      </c>
      <c r="AI20" s="192" t="n">
        <f aca="false">IF(Model!AG28=0,"",Model!AG28)</f>
        <v>541775.431953637</v>
      </c>
      <c r="AJ20" s="192" t="n">
        <f aca="false">IF(Model!AH28=0,"",Model!AH28)</f>
        <v>297286.165173256</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595</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5120266.58613186</v>
      </c>
      <c r="M21" s="193" t="n">
        <f aca="false">SUM(M7:M20)+SUM(M24:M27)</f>
        <v>5314638.36576529</v>
      </c>
      <c r="N21" s="193" t="n">
        <f aca="false">SUM(N7:N20)+SUM(N24:N27)</f>
        <v>4584134.97988837</v>
      </c>
      <c r="O21" s="193" t="n">
        <f aca="false">SUM(O7:O20)+SUM(O24:O27)</f>
        <v>4851164.39084731</v>
      </c>
      <c r="P21" s="193" t="n">
        <f aca="false">SUM(P7:P20)+SUM(P24:P27)</f>
        <v>5722919.65057148</v>
      </c>
      <c r="Q21" s="193" t="n">
        <f aca="false">SUM(Q7:Q20)+SUM(Q24:Q27)</f>
        <v>5744985.63175644</v>
      </c>
      <c r="R21" s="193" t="n">
        <f aca="false">SUM(R7:R20)+SUM(R24:R27)</f>
        <v>6426342.5905063</v>
      </c>
      <c r="S21" s="193" t="n">
        <f aca="false">SUM(S7:S20)+SUM(S24:S27)</f>
        <v>6824646.96078818</v>
      </c>
      <c r="T21" s="193" t="n">
        <f aca="false">SUM(T7:T20)+SUM(T24:T27)</f>
        <v>7154639.17272873</v>
      </c>
      <c r="U21" s="193" t="n">
        <f aca="false">SUM(U7:U20)+SUM(U24:U27)</f>
        <v>8219184.31290486</v>
      </c>
      <c r="V21" s="193" t="n">
        <f aca="false">SUM(V7:V20)+SUM(V24:V27)</f>
        <v>9473183.15651883</v>
      </c>
      <c r="W21" s="193" t="n">
        <f aca="false">SUM(W7:W20)+SUM(W24:W27)</f>
        <v>9153758.33308217</v>
      </c>
      <c r="X21" s="193" t="n">
        <f aca="false">SUM(X7:X20)+SUM(X24:X27)</f>
        <v>10207947.6278564</v>
      </c>
      <c r="Y21" s="193" t="n">
        <f aca="false">SUM(Y7:Y20)+SUM(Y24:Y27)</f>
        <v>9253714.92538471</v>
      </c>
      <c r="Z21" s="193" t="n">
        <f aca="false">SUM(Z7:Z20)+SUM(Z24:Z27)</f>
        <v>10660543.1605295</v>
      </c>
      <c r="AA21" s="193" t="n">
        <f aca="false">SUM(AA7:AA20)+SUM(AA24:AA27)</f>
        <v>9563575.58773754</v>
      </c>
      <c r="AB21" s="193" t="n">
        <f aca="false">SUM(AB7:AB20)+SUM(AB24:AB27)</f>
        <v>10383826.0381956</v>
      </c>
      <c r="AC21" s="193" t="n">
        <f aca="false">SUM(AC7:AC20)+SUM(AC24:AC27)</f>
        <v>9696764.39704306</v>
      </c>
      <c r="AD21" s="193" t="n">
        <f aca="false">SUM(AD7:AD20)+SUM(AD24:AD27)</f>
        <v>8534642.9816233</v>
      </c>
      <c r="AE21" s="193" t="n">
        <f aca="false">SUM(AE7:AE20)+SUM(AE24:AE27)</f>
        <v>7578806.86959859</v>
      </c>
      <c r="AF21" s="193" t="n">
        <f aca="false">SUM(AF7:AF20)+SUM(AF24:AF27)</f>
        <v>7392043.84727962</v>
      </c>
      <c r="AG21" s="193" t="n">
        <f aca="false">SUM(AG7:AG20)+SUM(AG24:AG27)</f>
        <v>7412234.84212884</v>
      </c>
      <c r="AH21" s="193" t="n">
        <f aca="false">SUM(AH7:AH20)+SUM(AH24:AH27)</f>
        <v>7144495.02833828</v>
      </c>
      <c r="AI21" s="193" t="n">
        <f aca="false">SUM(AI7:AI20)+SUM(AI24:AI27)</f>
        <v>7370572.76169634</v>
      </c>
      <c r="AJ21" s="193" t="n">
        <f aca="false">SUM(AJ7:AJ20)+SUM(AJ24:AJ27)</f>
        <v>6716327.14316186</v>
      </c>
      <c r="AK21" s="193" t="n">
        <f aca="false">SUM(AK7:AK20)+SUM(AK24:AK27)</f>
        <v>6226918.1459976</v>
      </c>
      <c r="AL21" s="193" t="n">
        <f aca="false">SUM(AL7:AL20)+SUM(AL24:AL27)</f>
        <v>4990904.1687151</v>
      </c>
      <c r="AM21" s="193" t="n">
        <f aca="false">SUM(AM7:AM20)+SUM(AM24:AM27)</f>
        <v>4397623.82648349</v>
      </c>
      <c r="AN21" s="193" t="n">
        <f aca="false">SUM(AN7:AN20)+SUM(AN24:AN27)</f>
        <v>4434232.01515349</v>
      </c>
      <c r="AO21" s="193" t="n">
        <f aca="false">SUM(AO7:AO20)+SUM(AO24:AO27)</f>
        <v>4435277.02916249</v>
      </c>
      <c r="AP21" s="193" t="n">
        <f aca="false">SUM(AP7:AP20)+SUM(AP24:AP27)</f>
        <v>3482392.52426374</v>
      </c>
      <c r="AQ21" s="193" t="n">
        <f aca="false">SUM(AQ7:AQ20)+SUM(AQ24:AQ27)</f>
        <v>2963188.28268224</v>
      </c>
      <c r="AR21" s="193" t="n">
        <f aca="false">SUM(AR7:AR20)+SUM(AR24:AR27)</f>
        <v>2912463.46265424</v>
      </c>
      <c r="AS21" s="193" t="n">
        <f aca="false">SUM(AS7:AS20)+SUM(AS24:AS27)</f>
        <v>2842077.84920024</v>
      </c>
      <c r="AT21" s="193" t="n">
        <f aca="false">SUM(AT7:AT20)+SUM(AT24:AT27)</f>
        <v>2753093.26324024</v>
      </c>
      <c r="AU21" s="193" t="n">
        <f aca="false">SUM(AU7:AU20)+SUM(AU24:AU27)</f>
        <v>2646965.51132424</v>
      </c>
      <c r="AV21" s="193" t="n">
        <f aca="false">SUM(AV7:AV20)+SUM(AV24:AV27)</f>
        <v>2525378.96710424</v>
      </c>
      <c r="AW21" s="193" t="n">
        <f aca="false">SUM(AW7:AW20)+SUM(AW24:AW27)</f>
        <v>2390189.56815024</v>
      </c>
      <c r="AX21" s="193" t="n">
        <f aca="false">SUM(AX7:AX20)+SUM(AX24:AX27)</f>
        <v>1971075.03090674</v>
      </c>
      <c r="AY21" s="193" t="n">
        <f aca="false">SUM(AY7:AY20)+SUM(AY24:AY27)</f>
        <v>1632789.15157145</v>
      </c>
      <c r="AZ21" s="193" t="n">
        <f aca="false">SUM(AZ7:AZ20)+SUM(AZ24:AZ27)</f>
        <v>1562651.69569945</v>
      </c>
      <c r="BA21" s="193" t="n">
        <f aca="false">SUM(BA7:BA20)+SUM(BA24:BA27)</f>
        <v>1478825.85663545</v>
      </c>
      <c r="BB21" s="193" t="n">
        <f aca="false">SUM(BB7:BB20)+SUM(BB24:BB27)</f>
        <v>1383586.13913945</v>
      </c>
      <c r="BC21" s="193" t="n">
        <f aca="false">SUM(BC7:BC20)+SUM(BC24:BC27)</f>
        <v>1279496.53039545</v>
      </c>
      <c r="BD21" s="193" t="n">
        <f aca="false">SUM(BD7:BD20)+SUM(BD24:BD27)</f>
        <v>1169079.66295545</v>
      </c>
      <c r="BE21" s="193" t="n">
        <f aca="false">SUM(BE7:BE20)+SUM(BE24:BE27)</f>
        <v>1054982.23326745</v>
      </c>
      <c r="BF21" s="193" t="n">
        <f aca="false">SUM(BF7:BF20)+SUM(BF24:BF27)</f>
        <v>939685.519251453</v>
      </c>
      <c r="BG21" s="193" t="n">
        <f aca="false">SUM(BG7:BG20)+SUM(BG24:BG27)</f>
        <v>825464.025667453</v>
      </c>
      <c r="BH21" s="193" t="n">
        <f aca="false">SUM(BH7:BH20)+SUM(BH24:BH27)</f>
        <v>714385.484115453</v>
      </c>
      <c r="BI21" s="193" t="n">
        <f aca="false">SUM(BI7:BI20)+SUM(BI24:BI27)</f>
        <v>608145.434507453</v>
      </c>
      <c r="BJ21" s="193" t="n">
        <f aca="false">SUM(BJ7:BJ20)+SUM(BJ24:BJ27)</f>
        <v>259255.013907853</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596</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9</v>
      </c>
      <c r="P22" s="194" t="n">
        <f aca="false">COUNT(P7:P20)+COUNT(P24:P27)</f>
        <v>10</v>
      </c>
      <c r="Q22" s="194" t="n">
        <f aca="false">COUNT(Q7:Q20)+COUNT(Q24:Q27)</f>
        <v>11</v>
      </c>
      <c r="R22" s="194" t="n">
        <f aca="false">COUNT(R7:R20)+COUNT(R24:R27)</f>
        <v>11</v>
      </c>
      <c r="S22" s="194" t="n">
        <f aca="false">COUNT(S7:S20)+COUNT(S24:S27)</f>
        <v>12</v>
      </c>
      <c r="T22" s="194" t="n">
        <f aca="false">COUNT(T7:T20)+COUNT(T24:T27)</f>
        <v>13</v>
      </c>
      <c r="U22" s="194" t="n">
        <f aca="false">COUNT(U7:U20)+COUNT(U24:U27)</f>
        <v>14</v>
      </c>
      <c r="V22" s="194" t="n">
        <f aca="false">COUNT(V7:V20)+COUNT(V24:V27)</f>
        <v>13</v>
      </c>
      <c r="W22" s="194" t="n">
        <f aca="false">COUNT(W7:W20)+COUNT(W24:W27)</f>
        <v>13</v>
      </c>
      <c r="X22" s="194" t="n">
        <f aca="false">COUNT(X7:X20)+COUNT(X24:X27)</f>
        <v>13</v>
      </c>
      <c r="Y22" s="194" t="n">
        <f aca="false">COUNT(Y7:Y20)+COUNT(Y24:Y27)</f>
        <v>12</v>
      </c>
      <c r="Z22" s="194" t="n">
        <f aca="false">COUNT(Z7:Z20)+COUNT(Z24:Z27)</f>
        <v>11</v>
      </c>
      <c r="AA22" s="194" t="n">
        <f aca="false">COUNT(AA7:AA20)+COUNT(AA24:AA27)</f>
        <v>11</v>
      </c>
      <c r="AB22" s="194" t="n">
        <f aca="false">COUNT(AB7:AB20)+COUNT(AB24:AB27)</f>
        <v>11</v>
      </c>
      <c r="AC22" s="194" t="n">
        <f aca="false">COUNT(AC7:AC20)+COUNT(AC24:AC27)</f>
        <v>11</v>
      </c>
      <c r="AD22" s="194" t="n">
        <f aca="false">COUNT(AD7:AD20)+COUNT(AD24:AD27)</f>
        <v>10</v>
      </c>
      <c r="AE22" s="194" t="n">
        <f aca="false">COUNT(AE7:AE20)+COUNT(AE24:AE27)</f>
        <v>9</v>
      </c>
      <c r="AF22" s="194" t="n">
        <f aca="false">COUNT(AF7:AF20)+COUNT(AF24:AF27)</f>
        <v>9</v>
      </c>
      <c r="AG22" s="194" t="n">
        <f aca="false">COUNT(AG7:AG20)+COUNT(AG24:AG27)</f>
        <v>10</v>
      </c>
      <c r="AH22" s="194" t="n">
        <f aca="false">COUNT(AH7:AH20)+COUNT(AH24:AH27)</f>
        <v>10</v>
      </c>
      <c r="AI22" s="194" t="n">
        <f aca="false">COUNT(AI7:AI20)+COUNT(AI24:AI27)</f>
        <v>8</v>
      </c>
      <c r="AJ22" s="194" t="n">
        <f aca="false">COUNT(AJ7:AJ20)+COUNT(AJ24:AJ27)</f>
        <v>7</v>
      </c>
      <c r="AK22" s="194" t="n">
        <f aca="false">COUNT(AK7:AK20)+COUNT(AK24:AK27)</f>
        <v>6</v>
      </c>
      <c r="AL22" s="194" t="n">
        <f aca="false">COUNT(AL7:AL20)+COUNT(AL24:AL27)</f>
        <v>6</v>
      </c>
      <c r="AM22" s="194" t="n">
        <f aca="false">COUNT(AM7:AM20)+COUNT(AM24:AM27)</f>
        <v>4</v>
      </c>
      <c r="AN22" s="194" t="n">
        <f aca="false">COUNT(AN7:AN20)+COUNT(AN24:AN27)</f>
        <v>4</v>
      </c>
      <c r="AO22" s="194" t="n">
        <f aca="false">COUNT(AO7:AO20)+COUNT(AO24:AO27)</f>
        <v>4</v>
      </c>
      <c r="AP22" s="194" t="n">
        <f aca="false">COUNT(AP7:AP20)+COUNT(AP24:AP27)</f>
        <v>4</v>
      </c>
      <c r="AQ22" s="194" t="n">
        <f aca="false">COUNT(AQ7:AQ20)+COUNT(AQ24:AQ27)</f>
        <v>2</v>
      </c>
      <c r="AR22" s="194" t="n">
        <f aca="false">COUNT(AR7:AR20)+COUNT(AR24:AR27)</f>
        <v>2</v>
      </c>
      <c r="AS22" s="194" t="n">
        <f aca="false">COUNT(AS7:AS20)+COUNT(AS24:AS27)</f>
        <v>2</v>
      </c>
      <c r="AT22" s="194" t="n">
        <f aca="false">COUNT(AT7:AT20)+COUNT(AT24:AT27)</f>
        <v>2</v>
      </c>
      <c r="AU22" s="194" t="n">
        <f aca="false">COUNT(AU7:AU20)+COUNT(AU24:AU27)</f>
        <v>2</v>
      </c>
      <c r="AV22" s="194" t="n">
        <f aca="false">COUNT(AV7:AV20)+COUNT(AV24:AV27)</f>
        <v>2</v>
      </c>
      <c r="AW22" s="194" t="n">
        <f aca="false">COUNT(AW7:AW20)+COUNT(AW24:AW27)</f>
        <v>2</v>
      </c>
      <c r="AX22" s="194" t="n">
        <f aca="false">COUNT(AX7:AX20)+COUNT(AX24:AX27)</f>
        <v>2</v>
      </c>
      <c r="AY22" s="194" t="n">
        <f aca="false">COUNT(AY7:AY20)+COUNT(AY24:AY27)</f>
        <v>1</v>
      </c>
      <c r="AZ22" s="194" t="n">
        <f aca="false">COUNT(AZ7:AZ20)+COUNT(AZ24:AZ27)</f>
        <v>1</v>
      </c>
      <c r="BA22" s="194" t="n">
        <f aca="false">COUNT(BA7:BA20)+COUNT(BA24:BA27)</f>
        <v>1</v>
      </c>
      <c r="BB22" s="194" t="n">
        <f aca="false">COUNT(BB7:BB20)+COUNT(BB24:BB27)</f>
        <v>1</v>
      </c>
      <c r="BC22" s="194" t="n">
        <f aca="false">COUNT(BC7:BC20)+COUNT(BC24:BC27)</f>
        <v>1</v>
      </c>
      <c r="BD22" s="194" t="n">
        <f aca="false">COUNT(BD7:BD20)+COUNT(BD24:BD27)</f>
        <v>1</v>
      </c>
      <c r="BE22" s="194" t="n">
        <f aca="false">COUNT(BE7:BE20)+COUNT(BE24:BE27)</f>
        <v>1</v>
      </c>
      <c r="BF22" s="194" t="n">
        <f aca="false">COUNT(BF7:BF20)+COUNT(BF24:BF27)</f>
        <v>1</v>
      </c>
      <c r="BG22" s="194" t="n">
        <f aca="false">COUNT(BG7:BG20)+COUNT(BG24:BG27)</f>
        <v>1</v>
      </c>
      <c r="BH22" s="194" t="n">
        <f aca="false">COUNT(BH7:BH20)+COUNT(BH24:BH27)</f>
        <v>1</v>
      </c>
      <c r="BI22" s="194" t="n">
        <f aca="false">COUNT(BI7:BI20)+COUNT(BI24:BI27)</f>
        <v>1</v>
      </c>
      <c r="BJ22" s="194" t="n">
        <f aca="false">COUNT(BJ7:BJ20)+COUNT(BJ24:BJ27)</f>
        <v>1</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597</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0</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str">
        <f aca="false">IF(Model!X29=0,"",Model!X29)</f>
        <v/>
      </c>
      <c r="AA26" s="192" t="str">
        <f aca="false">IF(Model!Y29=0,"",Model!Y29)</f>
        <v/>
      </c>
      <c r="AB26" s="192" t="str">
        <f aca="false">IF(Model!Z29=0,"",Model!Z29)</f>
        <v/>
      </c>
      <c r="AC26" s="192" t="str">
        <f aca="false">IF(Model!AA29=0,"",Model!AA29)</f>
        <v/>
      </c>
      <c r="AD26" s="192" t="str">
        <f aca="false">IF(Model!AB29=0,"",Model!AB29)</f>
        <v/>
      </c>
      <c r="AE26" s="192" t="str">
        <f aca="false">IF(Model!AC29=0,"",Model!AC29)</f>
        <v/>
      </c>
      <c r="AF26" s="192" t="str">
        <f aca="false">IF(Model!AD29=0,"",Model!AD29)</f>
        <v/>
      </c>
      <c r="AG26" s="192" t="str">
        <f aca="false">IF(Model!AE29=0,"",Model!AE29)</f>
        <v/>
      </c>
      <c r="AH26" s="192" t="str">
        <f aca="false">IF(Model!AF29=0,"",Model!AF29)</f>
        <v/>
      </c>
      <c r="AI26" s="192" t="str">
        <f aca="false">IF(Model!AG29=0,"",Model!AG29)</f>
        <v/>
      </c>
      <c r="AJ26" s="192" t="str">
        <f aca="false">IF(Model!AH29=0,"",Model!AH29)</f>
        <v/>
      </c>
      <c r="AK26" s="192" t="str">
        <f aca="false">IF(Model!AI29=0,"",Model!AI29)</f>
        <v/>
      </c>
      <c r="AL26" s="192" t="str">
        <f aca="false">IF(Model!AJ29=0,"",Model!AJ29)</f>
        <v/>
      </c>
      <c r="AM26" s="192" t="str">
        <f aca="false">IF(Model!AK29=0,"",Model!AK29)</f>
        <v/>
      </c>
      <c r="AN26" s="192" t="str">
        <f aca="false">IF(Model!AL29=0,"",Model!AL29)</f>
        <v/>
      </c>
      <c r="AO26" s="192" t="str">
        <f aca="false">IF(Model!AM29=0,"",Model!AM29)</f>
        <v/>
      </c>
      <c r="AP26" s="192" t="str">
        <f aca="false">IF(Model!AN29=0,"",Model!AN29)</f>
        <v/>
      </c>
      <c r="AQ26" s="192" t="str">
        <f aca="false">IF(Model!AO29=0,"",Model!AO29)</f>
        <v/>
      </c>
      <c r="AR26" s="192" t="str">
        <f aca="false">IF(Model!AP29=0,"",Model!AP29)</f>
        <v/>
      </c>
      <c r="AS26" s="192" t="str">
        <f aca="false">IF(Model!AQ29=0,"",Model!AQ29)</f>
        <v/>
      </c>
      <c r="AT26" s="192" t="str">
        <f aca="false">IF(Model!AR29=0,"",Model!AR29)</f>
        <v/>
      </c>
      <c r="AU26" s="192" t="str">
        <f aca="false">IF(Model!AS29=0,"",Model!AS29)</f>
        <v/>
      </c>
      <c r="AV26" s="192" t="str">
        <f aca="false">IF(Model!AT29=0,"",Model!AT29)</f>
        <v/>
      </c>
      <c r="AW26" s="192" t="str">
        <f aca="false">IF(Model!AU29=0,"",Model!AU29)</f>
        <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12055920.954</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n">
        <f aca="false">IF(Model!W31=0,"",Model!W31)</f>
        <v>280938.0497</v>
      </c>
      <c r="Z28" s="192" t="n">
        <f aca="false">IF(Model!X31=0,"",Model!X31)</f>
        <v>366518.3137</v>
      </c>
      <c r="AA28" s="192" t="n">
        <f aca="false">IF(Model!Y31=0,"",Model!Y31)</f>
        <v>458636.3397</v>
      </c>
      <c r="AB28" s="192" t="n">
        <f aca="false">IF(Model!Z31=0,"",Model!Z31)</f>
        <v>553618.9197</v>
      </c>
      <c r="AC28" s="192" t="n">
        <f aca="false">IF(Model!AA31=0,"",Model!AA31)</f>
        <v>646901.9557</v>
      </c>
      <c r="AD28" s="192" t="n">
        <f aca="false">IF(Model!AB31=0,"",Model!AB31)</f>
        <v>733304.5797</v>
      </c>
      <c r="AE28" s="192" t="n">
        <f aca="false">IF(Model!AC31=0,"",Model!AC31)</f>
        <v>807522.5697</v>
      </c>
      <c r="AF28" s="192" t="n">
        <f aca="false">IF(Model!AD31=0,"",Model!AD31)</f>
        <v>864635.4717</v>
      </c>
      <c r="AG28" s="192" t="n">
        <f aca="false">IF(Model!AE31=0,"",Model!AE31)</f>
        <v>900654.8397</v>
      </c>
      <c r="AH28" s="192" t="n">
        <f aca="false">IF(Model!AF31=0,"",Model!AF31)</f>
        <v>912962.8277</v>
      </c>
      <c r="AI28" s="192" t="n">
        <f aca="false">IF(Model!AG31=0,"",Model!AG31)</f>
        <v>900654.8397</v>
      </c>
      <c r="AJ28" s="192" t="n">
        <f aca="false">IF(Model!AH31=0,"",Model!AH31)</f>
        <v>864635.4717</v>
      </c>
      <c r="AK28" s="192" t="n">
        <f aca="false">IF(Model!AI31=0,"",Model!AI31)</f>
        <v>807522.5697</v>
      </c>
      <c r="AL28" s="192" t="n">
        <f aca="false">IF(Model!AJ31=0,"",Model!AJ31)</f>
        <v>733304.5797</v>
      </c>
      <c r="AM28" s="192" t="n">
        <f aca="false">IF(Model!AK31=0,"",Model!AK31)</f>
        <v>646901.9557</v>
      </c>
      <c r="AN28" s="192" t="n">
        <f aca="false">IF(Model!AL31=0,"",Model!AL31)</f>
        <v>553618.9197</v>
      </c>
      <c r="AO28" s="192" t="n">
        <f aca="false">IF(Model!AM31=0,"",Model!AM31)</f>
        <v>458636.3397</v>
      </c>
      <c r="AP28" s="192" t="n">
        <f aca="false">IF(Model!AN31=0,"",Model!AN31)</f>
        <v>366518.3137</v>
      </c>
      <c r="AQ28" s="192" t="n">
        <f aca="false">IF(Model!AO31=0,"",Model!AO31)</f>
        <v>198434.0974</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47119</v>
      </c>
      <c r="D29" s="190" t="n">
        <f aca="false">EDATE(Model!$E$2,Projects!$C$23+Projects!$D$23-2)</f>
        <v>47665</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47209</v>
      </c>
      <c r="D30" s="190" t="n">
        <f aca="false">EDATE(Model!$E$2,Projects!$C$24+Projects!$D$24-2)</f>
        <v>47757</v>
      </c>
      <c r="E30" s="191" t="n">
        <f aca="false">Projects!$D$24</f>
        <v>19</v>
      </c>
      <c r="F30" s="189" t="n">
        <f aca="false">SUM(G30:DB30)</f>
        <v>0</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str">
        <f aca="false">IF(Model!AB33=0,"",Model!AB33)</f>
        <v/>
      </c>
      <c r="AE30" s="192" t="str">
        <f aca="false">IF(Model!AC33=0,"",Model!AC33)</f>
        <v/>
      </c>
      <c r="AF30" s="192" t="str">
        <f aca="false">IF(Model!AD33=0,"",Model!AD33)</f>
        <v/>
      </c>
      <c r="AG30" s="192" t="str">
        <f aca="false">IF(Model!AE33=0,"",Model!AE33)</f>
        <v/>
      </c>
      <c r="AH30" s="192" t="str">
        <f aca="false">IF(Model!AF33=0,"",Model!AF33)</f>
        <v/>
      </c>
      <c r="AI30" s="192" t="str">
        <f aca="false">IF(Model!AG33=0,"",Model!AG33)</f>
        <v/>
      </c>
      <c r="AJ30" s="192" t="str">
        <f aca="false">IF(Model!AH33=0,"",Model!AH33)</f>
        <v/>
      </c>
      <c r="AK30" s="192" t="str">
        <f aca="false">IF(Model!AI33=0,"",Model!AI33)</f>
        <v/>
      </c>
      <c r="AL30" s="192" t="str">
        <f aca="false">IF(Model!AJ33=0,"",Model!AJ33)</f>
        <v/>
      </c>
      <c r="AM30" s="192" t="str">
        <f aca="false">IF(Model!AK33=0,"",Model!AK33)</f>
        <v/>
      </c>
      <c r="AN30" s="192" t="str">
        <f aca="false">IF(Model!AL33=0,"",Model!AL33)</f>
        <v/>
      </c>
      <c r="AO30" s="192" t="str">
        <f aca="false">IF(Model!AM33=0,"",Model!AM33)</f>
        <v/>
      </c>
      <c r="AP30" s="192" t="str">
        <f aca="false">IF(Model!AN33=0,"",Model!AN33)</f>
        <v/>
      </c>
      <c r="AQ30" s="192" t="str">
        <f aca="false">IF(Model!AO33=0,"",Model!AO33)</f>
        <v/>
      </c>
      <c r="AR30" s="192" t="str">
        <f aca="false">IF(Model!AP33=0,"",Model!AP33)</f>
        <v/>
      </c>
      <c r="AS30" s="192" t="str">
        <f aca="false">IF(Model!AQ33=0,"",Model!AQ33)</f>
        <v/>
      </c>
      <c r="AT30" s="192" t="str">
        <f aca="false">IF(Model!AR33=0,"",Model!AR33)</f>
        <v/>
      </c>
      <c r="AU30" s="192" t="str">
        <f aca="false">IF(Model!AS33=0,"",Model!AS33)</f>
        <v/>
      </c>
      <c r="AV30" s="192" t="str">
        <f aca="false">IF(Model!AT33=0,"",Model!AT33)</f>
        <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47300</v>
      </c>
      <c r="D31" s="190" t="n">
        <f aca="false">EDATE(Model!$E$2,Projects!$C$25+Projects!$D$25-2)</f>
        <v>47849</v>
      </c>
      <c r="E31" s="191" t="n">
        <f aca="false">Projects!$D$25</f>
        <v>19</v>
      </c>
      <c r="F31" s="189" t="n">
        <f aca="false">SUM(G31:DB31)</f>
        <v>0</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str">
        <f aca="false">IF(Model!AG34=0,"",Model!AG34)</f>
        <v/>
      </c>
      <c r="AJ31" s="192" t="str">
        <f aca="false">IF(Model!AH34=0,"",Model!AH34)</f>
        <v/>
      </c>
      <c r="AK31" s="192" t="str">
        <f aca="false">IF(Model!AI34=0,"",Model!AI34)</f>
        <v/>
      </c>
      <c r="AL31" s="192" t="str">
        <f aca="false">IF(Model!AJ34=0,"",Model!AJ34)</f>
        <v/>
      </c>
      <c r="AM31" s="192" t="str">
        <f aca="false">IF(Model!AK34=0,"",Model!AK34)</f>
        <v/>
      </c>
      <c r="AN31" s="192" t="str">
        <f aca="false">IF(Model!AL34=0,"",Model!AL34)</f>
        <v/>
      </c>
      <c r="AO31" s="192" t="str">
        <f aca="false">IF(Model!AM34=0,"",Model!AM34)</f>
        <v/>
      </c>
      <c r="AP31" s="192" t="str">
        <f aca="false">IF(Model!AN34=0,"",Model!AN34)</f>
        <v/>
      </c>
      <c r="AQ31" s="192" t="str">
        <f aca="false">IF(Model!AO34=0,"",Model!AO34)</f>
        <v/>
      </c>
      <c r="AR31" s="192" t="str">
        <f aca="false">IF(Model!AP34=0,"",Model!AP34)</f>
        <v/>
      </c>
      <c r="AS31" s="192" t="str">
        <f aca="false">IF(Model!AQ34=0,"",Model!AQ34)</f>
        <v/>
      </c>
      <c r="AT31" s="192" t="str">
        <f aca="false">IF(Model!AR34=0,"",Model!AR34)</f>
        <v/>
      </c>
      <c r="AU31" s="192" t="str">
        <f aca="false">IF(Model!AS34=0,"",Model!AS34)</f>
        <v/>
      </c>
      <c r="AV31" s="192" t="str">
        <f aca="false">IF(Model!AT34=0,"",Model!AT34)</f>
        <v/>
      </c>
      <c r="AW31" s="192" t="str">
        <f aca="false">IF(Model!AU34=0,"",Model!AU34)</f>
        <v/>
      </c>
      <c r="AX31" s="192" t="str">
        <f aca="false">IF(Model!AV34=0,"",Model!AV34)</f>
        <v/>
      </c>
      <c r="AY31" s="192" t="str">
        <f aca="false">IF(Model!AW34=0,"",Model!AW34)</f>
        <v/>
      </c>
      <c r="AZ31" s="192" t="str">
        <f aca="false">IF(Model!AX34=0,"",Model!AX34)</f>
        <v/>
      </c>
      <c r="BA31" s="192" t="str">
        <f aca="false">IF(Model!AY34=0,"",Model!AY34)</f>
        <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47362</v>
      </c>
      <c r="D32" s="190" t="n">
        <f aca="false">EDATE(Model!$E$2,Projects!$C$26+Projects!$D$26-2)</f>
        <v>47908</v>
      </c>
      <c r="E32" s="191" t="n">
        <f aca="false">Projects!$D$26</f>
        <v>19</v>
      </c>
      <c r="F32" s="189" t="n">
        <f aca="false">SUM(G32:DB32)</f>
        <v>0</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str">
        <f aca="false">IF(Model!AH35=0,"",Model!AH35)</f>
        <v/>
      </c>
      <c r="AK32" s="192" t="str">
        <f aca="false">IF(Model!AI35=0,"",Model!AI35)</f>
        <v/>
      </c>
      <c r="AL32" s="192" t="str">
        <f aca="false">IF(Model!AJ35=0,"",Model!AJ35)</f>
        <v/>
      </c>
      <c r="AM32" s="192" t="str">
        <f aca="false">IF(Model!AK35=0,"",Model!AK35)</f>
        <v/>
      </c>
      <c r="AN32" s="192" t="str">
        <f aca="false">IF(Model!AL35=0,"",Model!AL35)</f>
        <v/>
      </c>
      <c r="AO32" s="192" t="str">
        <f aca="false">IF(Model!AM35=0,"",Model!AM35)</f>
        <v/>
      </c>
      <c r="AP32" s="192" t="str">
        <f aca="false">IF(Model!AN35=0,"",Model!AN35)</f>
        <v/>
      </c>
      <c r="AQ32" s="192" t="str">
        <f aca="false">IF(Model!AO35=0,"",Model!AO35)</f>
        <v/>
      </c>
      <c r="AR32" s="192" t="str">
        <f aca="false">IF(Model!AP35=0,"",Model!AP35)</f>
        <v/>
      </c>
      <c r="AS32" s="192" t="str">
        <f aca="false">IF(Model!AQ35=0,"",Model!AQ35)</f>
        <v/>
      </c>
      <c r="AT32" s="192" t="str">
        <f aca="false">IF(Model!AR35=0,"",Model!AR35)</f>
        <v/>
      </c>
      <c r="AU32" s="192" t="str">
        <f aca="false">IF(Model!AS35=0,"",Model!AS35)</f>
        <v/>
      </c>
      <c r="AV32" s="192" t="str">
        <f aca="false">IF(Model!AT35=0,"",Model!AT35)</f>
        <v/>
      </c>
      <c r="AW32" s="192" t="str">
        <f aca="false">IF(Model!AU35=0,"",Model!AU35)</f>
        <v/>
      </c>
      <c r="AX32" s="192" t="str">
        <f aca="false">IF(Model!AV35=0,"",Model!AV35)</f>
        <v/>
      </c>
      <c r="AY32" s="192" t="str">
        <f aca="false">IF(Model!AW35=0,"",Model!AW35)</f>
        <v/>
      </c>
      <c r="AZ32" s="192" t="str">
        <f aca="false">IF(Model!AX35=0,"",Model!AX35)</f>
        <v/>
      </c>
      <c r="BA32" s="192" t="str">
        <f aca="false">IF(Model!AY35=0,"",Model!AY35)</f>
        <v/>
      </c>
      <c r="BB32" s="192" t="str">
        <f aca="false">IF(Model!AZ35=0,"",Model!AZ35)</f>
        <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47423</v>
      </c>
      <c r="D33" s="190" t="n">
        <f aca="false">EDATE(Model!$E$2,Projects!$C$27+Projects!$D$27-2)</f>
        <v>47969</v>
      </c>
      <c r="E33" s="191" t="n">
        <f aca="false">Projects!$D$27</f>
        <v>19</v>
      </c>
      <c r="F33" s="189" t="n">
        <f aca="false">SUM(G33:DB33)</f>
        <v>0</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str">
        <f aca="false">IF(Model!AI36=0,"",Model!AI36)</f>
        <v/>
      </c>
      <c r="AL33" s="192" t="str">
        <f aca="false">IF(Model!AJ36=0,"",Model!AJ36)</f>
        <v/>
      </c>
      <c r="AM33" s="192" t="str">
        <f aca="false">IF(Model!AK36=0,"",Model!AK36)</f>
        <v/>
      </c>
      <c r="AN33" s="192" t="str">
        <f aca="false">IF(Model!AL36=0,"",Model!AL36)</f>
        <v/>
      </c>
      <c r="AO33" s="192" t="str">
        <f aca="false">IF(Model!AM36=0,"",Model!AM36)</f>
        <v/>
      </c>
      <c r="AP33" s="192" t="str">
        <f aca="false">IF(Model!AN36=0,"",Model!AN36)</f>
        <v/>
      </c>
      <c r="AQ33" s="192" t="str">
        <f aca="false">IF(Model!AO36=0,"",Model!AO36)</f>
        <v/>
      </c>
      <c r="AR33" s="192" t="str">
        <f aca="false">IF(Model!AP36=0,"",Model!AP36)</f>
        <v/>
      </c>
      <c r="AS33" s="192" t="str">
        <f aca="false">IF(Model!AQ36=0,"",Model!AQ36)</f>
        <v/>
      </c>
      <c r="AT33" s="192" t="str">
        <f aca="false">IF(Model!AR36=0,"",Model!AR36)</f>
        <v/>
      </c>
      <c r="AU33" s="192" t="str">
        <f aca="false">IF(Model!AS36=0,"",Model!AS36)</f>
        <v/>
      </c>
      <c r="AV33" s="192" t="str">
        <f aca="false">IF(Model!AT36=0,"",Model!AT36)</f>
        <v/>
      </c>
      <c r="AW33" s="192" t="str">
        <f aca="false">IF(Model!AU36=0,"",Model!AU36)</f>
        <v/>
      </c>
      <c r="AX33" s="192" t="str">
        <f aca="false">IF(Model!AV36=0,"",Model!AV36)</f>
        <v/>
      </c>
      <c r="AY33" s="192" t="str">
        <f aca="false">IF(Model!AW36=0,"",Model!AW36)</f>
        <v/>
      </c>
      <c r="AZ33" s="192" t="str">
        <f aca="false">IF(Model!AX36=0,"",Model!AX36)</f>
        <v/>
      </c>
      <c r="BA33" s="192" t="str">
        <f aca="false">IF(Model!AY36=0,"",Model!AY36)</f>
        <v/>
      </c>
      <c r="BB33" s="192" t="str">
        <f aca="false">IF(Model!AZ36=0,"",Model!AZ36)</f>
        <v/>
      </c>
      <c r="BC33" s="192" t="str">
        <f aca="false">IF(Model!BA36=0,"",Model!BA36)</f>
        <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47484</v>
      </c>
      <c r="D34" s="190" t="n">
        <f aca="false">EDATE(Model!$E$2,Projects!$C$28+Projects!$D$28-2)</f>
        <v>48030</v>
      </c>
      <c r="E34" s="191" t="n">
        <f aca="false">Projects!$D$28</f>
        <v>19</v>
      </c>
      <c r="F34" s="189" t="n">
        <f aca="false">SUM(G34:DB34)</f>
        <v>0</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str">
        <f aca="false">IF(Model!AJ37=0,"",Model!AJ37)</f>
        <v/>
      </c>
      <c r="AM34" s="192" t="str">
        <f aca="false">IF(Model!AK37=0,"",Model!AK37)</f>
        <v/>
      </c>
      <c r="AN34" s="192" t="str">
        <f aca="false">IF(Model!AL37=0,"",Model!AL37)</f>
        <v/>
      </c>
      <c r="AO34" s="192" t="str">
        <f aca="false">IF(Model!AM37=0,"",Model!AM37)</f>
        <v/>
      </c>
      <c r="AP34" s="192" t="str">
        <f aca="false">IF(Model!AN37=0,"",Model!AN37)</f>
        <v/>
      </c>
      <c r="AQ34" s="192" t="str">
        <f aca="false">IF(Model!AO37=0,"",Model!AO37)</f>
        <v/>
      </c>
      <c r="AR34" s="192" t="str">
        <f aca="false">IF(Model!AP37=0,"",Model!AP37)</f>
        <v/>
      </c>
      <c r="AS34" s="192" t="str">
        <f aca="false">IF(Model!AQ37=0,"",Model!AQ37)</f>
        <v/>
      </c>
      <c r="AT34" s="192" t="str">
        <f aca="false">IF(Model!AR37=0,"",Model!AR37)</f>
        <v/>
      </c>
      <c r="AU34" s="192" t="str">
        <f aca="false">IF(Model!AS37=0,"",Model!AS37)</f>
        <v/>
      </c>
      <c r="AV34" s="192" t="str">
        <f aca="false">IF(Model!AT37=0,"",Model!AT37)</f>
        <v/>
      </c>
      <c r="AW34" s="192" t="str">
        <f aca="false">IF(Model!AU37=0,"",Model!AU37)</f>
        <v/>
      </c>
      <c r="AX34" s="192" t="str">
        <f aca="false">IF(Model!AV37=0,"",Model!AV37)</f>
        <v/>
      </c>
      <c r="AY34" s="192" t="str">
        <f aca="false">IF(Model!AW37=0,"",Model!AW37)</f>
        <v/>
      </c>
      <c r="AZ34" s="192" t="str">
        <f aca="false">IF(Model!AX37=0,"",Model!AX37)</f>
        <v/>
      </c>
      <c r="BA34" s="192" t="str">
        <f aca="false">IF(Model!AY37=0,"",Model!AY37)</f>
        <v/>
      </c>
      <c r="BB34" s="192" t="str">
        <f aca="false">IF(Model!AZ37=0,"",Model!AZ37)</f>
        <v/>
      </c>
      <c r="BC34" s="192" t="str">
        <f aca="false">IF(Model!BA37=0,"",Model!BA37)</f>
        <v/>
      </c>
      <c r="BD34" s="192" t="str">
        <f aca="false">IF(Model!BB37=0,"",Model!BB37)</f>
        <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47543</v>
      </c>
      <c r="D35" s="190" t="n">
        <f aca="false">EDATE(Model!$E$2,Projects!$C$29+Projects!$D$29-2)</f>
        <v>48092</v>
      </c>
      <c r="E35" s="191" t="n">
        <f aca="false">Projects!$D$29</f>
        <v>19</v>
      </c>
      <c r="F35" s="189" t="n">
        <f aca="false">SUM(G35:DB35)</f>
        <v>0</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str">
        <f aca="false">IF(Model!AK38=0,"",Model!AK38)</f>
        <v/>
      </c>
      <c r="AN35" s="192" t="str">
        <f aca="false">IF(Model!AL38=0,"",Model!AL38)</f>
        <v/>
      </c>
      <c r="AO35" s="192" t="str">
        <f aca="false">IF(Model!AM38=0,"",Model!AM38)</f>
        <v/>
      </c>
      <c r="AP35" s="192" t="str">
        <f aca="false">IF(Model!AN38=0,"",Model!AN38)</f>
        <v/>
      </c>
      <c r="AQ35" s="192" t="str">
        <f aca="false">IF(Model!AO38=0,"",Model!AO38)</f>
        <v/>
      </c>
      <c r="AR35" s="192" t="str">
        <f aca="false">IF(Model!AP38=0,"",Model!AP38)</f>
        <v/>
      </c>
      <c r="AS35" s="192" t="str">
        <f aca="false">IF(Model!AQ38=0,"",Model!AQ38)</f>
        <v/>
      </c>
      <c r="AT35" s="192" t="str">
        <f aca="false">IF(Model!AR38=0,"",Model!AR38)</f>
        <v/>
      </c>
      <c r="AU35" s="192" t="str">
        <f aca="false">IF(Model!AS38=0,"",Model!AS38)</f>
        <v/>
      </c>
      <c r="AV35" s="192" t="str">
        <f aca="false">IF(Model!AT38=0,"",Model!AT38)</f>
        <v/>
      </c>
      <c r="AW35" s="192" t="str">
        <f aca="false">IF(Model!AU38=0,"",Model!AU38)</f>
        <v/>
      </c>
      <c r="AX35" s="192" t="str">
        <f aca="false">IF(Model!AV38=0,"",Model!AV38)</f>
        <v/>
      </c>
      <c r="AY35" s="192" t="str">
        <f aca="false">IF(Model!AW38=0,"",Model!AW38)</f>
        <v/>
      </c>
      <c r="AZ35" s="192" t="str">
        <f aca="false">IF(Model!AX38=0,"",Model!AX38)</f>
        <v/>
      </c>
      <c r="BA35" s="192" t="str">
        <f aca="false">IF(Model!AY38=0,"",Model!AY38)</f>
        <v/>
      </c>
      <c r="BB35" s="192" t="str">
        <f aca="false">IF(Model!AZ38=0,"",Model!AZ38)</f>
        <v/>
      </c>
      <c r="BC35" s="192" t="str">
        <f aca="false">IF(Model!BA38=0,"",Model!BA38)</f>
        <v/>
      </c>
      <c r="BD35" s="192" t="str">
        <f aca="false">IF(Model!BB38=0,"",Model!BB38)</f>
        <v/>
      </c>
      <c r="BE35" s="192" t="str">
        <f aca="false">IF(Model!BC38=0,"",Model!BC38)</f>
        <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47604</v>
      </c>
      <c r="D36" s="190" t="n">
        <f aca="false">EDATE(Model!$E$2,Projects!$C$30+Projects!$D$30-2)</f>
        <v>48153</v>
      </c>
      <c r="E36" s="191" t="n">
        <f aca="false">Projects!$D$30</f>
        <v>19</v>
      </c>
      <c r="F36" s="189" t="n">
        <f aca="false">SUM(G36:DB36)</f>
        <v>0</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str">
        <f aca="false">IF(Model!AL39=0,"",Model!AL39)</f>
        <v/>
      </c>
      <c r="AO36" s="192" t="str">
        <f aca="false">IF(Model!AM39=0,"",Model!AM39)</f>
        <v/>
      </c>
      <c r="AP36" s="192" t="str">
        <f aca="false">IF(Model!AN39=0,"",Model!AN39)</f>
        <v/>
      </c>
      <c r="AQ36" s="192" t="str">
        <f aca="false">IF(Model!AO39=0,"",Model!AO39)</f>
        <v/>
      </c>
      <c r="AR36" s="192" t="str">
        <f aca="false">IF(Model!AP39=0,"",Model!AP39)</f>
        <v/>
      </c>
      <c r="AS36" s="192" t="str">
        <f aca="false">IF(Model!AQ39=0,"",Model!AQ39)</f>
        <v/>
      </c>
      <c r="AT36" s="192" t="str">
        <f aca="false">IF(Model!AR39=0,"",Model!AR39)</f>
        <v/>
      </c>
      <c r="AU36" s="192" t="str">
        <f aca="false">IF(Model!AS39=0,"",Model!AS39)</f>
        <v/>
      </c>
      <c r="AV36" s="192" t="str">
        <f aca="false">IF(Model!AT39=0,"",Model!AT39)</f>
        <v/>
      </c>
      <c r="AW36" s="192" t="str">
        <f aca="false">IF(Model!AU39=0,"",Model!AU39)</f>
        <v/>
      </c>
      <c r="AX36" s="192" t="str">
        <f aca="false">IF(Model!AV39=0,"",Model!AV39)</f>
        <v/>
      </c>
      <c r="AY36" s="192" t="str">
        <f aca="false">IF(Model!AW39=0,"",Model!AW39)</f>
        <v/>
      </c>
      <c r="AZ36" s="192" t="str">
        <f aca="false">IF(Model!AX39=0,"",Model!AX39)</f>
        <v/>
      </c>
      <c r="BA36" s="192" t="str">
        <f aca="false">IF(Model!AY39=0,"",Model!AY39)</f>
        <v/>
      </c>
      <c r="BB36" s="192" t="str">
        <f aca="false">IF(Model!AZ39=0,"",Model!AZ39)</f>
        <v/>
      </c>
      <c r="BC36" s="192" t="str">
        <f aca="false">IF(Model!BA39=0,"",Model!BA39)</f>
        <v/>
      </c>
      <c r="BD36" s="192" t="str">
        <f aca="false">IF(Model!BB39=0,"",Model!BB39)</f>
        <v/>
      </c>
      <c r="BE36" s="192" t="str">
        <f aca="false">IF(Model!BC39=0,"",Model!BC39)</f>
        <v/>
      </c>
      <c r="BF36" s="192" t="str">
        <f aca="false">IF(Model!BD39=0,"",Model!BD39)</f>
        <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47665</v>
      </c>
      <c r="D37" s="190" t="n">
        <f aca="false">EDATE(Model!$E$2,Projects!$C$31+Projects!$D$31-2)</f>
        <v>48214</v>
      </c>
      <c r="E37" s="191" t="n">
        <f aca="false">Projects!$D$31</f>
        <v>19</v>
      </c>
      <c r="F37" s="189" t="n">
        <f aca="false">SUM(G37:DB37)</f>
        <v>0</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str">
        <f aca="false">IF(Model!AM40=0,"",Model!AM40)</f>
        <v/>
      </c>
      <c r="AP37" s="192" t="str">
        <f aca="false">IF(Model!AN40=0,"",Model!AN40)</f>
        <v/>
      </c>
      <c r="AQ37" s="192" t="str">
        <f aca="false">IF(Model!AO40=0,"",Model!AO40)</f>
        <v/>
      </c>
      <c r="AR37" s="192" t="str">
        <f aca="false">IF(Model!AP40=0,"",Model!AP40)</f>
        <v/>
      </c>
      <c r="AS37" s="192" t="str">
        <f aca="false">IF(Model!AQ40=0,"",Model!AQ40)</f>
        <v/>
      </c>
      <c r="AT37" s="192" t="str">
        <f aca="false">IF(Model!AR40=0,"",Model!AR40)</f>
        <v/>
      </c>
      <c r="AU37" s="192" t="str">
        <f aca="false">IF(Model!AS40=0,"",Model!AS40)</f>
        <v/>
      </c>
      <c r="AV37" s="192" t="str">
        <f aca="false">IF(Model!AT40=0,"",Model!AT40)</f>
        <v/>
      </c>
      <c r="AW37" s="192" t="str">
        <f aca="false">IF(Model!AU40=0,"",Model!AU40)</f>
        <v/>
      </c>
      <c r="AX37" s="192" t="str">
        <f aca="false">IF(Model!AV40=0,"",Model!AV40)</f>
        <v/>
      </c>
      <c r="AY37" s="192" t="str">
        <f aca="false">IF(Model!AW40=0,"",Model!AW40)</f>
        <v/>
      </c>
      <c r="AZ37" s="192" t="str">
        <f aca="false">IF(Model!AX40=0,"",Model!AX40)</f>
        <v/>
      </c>
      <c r="BA37" s="192" t="str">
        <f aca="false">IF(Model!AY40=0,"",Model!AY40)</f>
        <v/>
      </c>
      <c r="BB37" s="192" t="str">
        <f aca="false">IF(Model!AZ40=0,"",Model!AZ40)</f>
        <v/>
      </c>
      <c r="BC37" s="192" t="str">
        <f aca="false">IF(Model!BA40=0,"",Model!BA40)</f>
        <v/>
      </c>
      <c r="BD37" s="192" t="str">
        <f aca="false">IF(Model!BB40=0,"",Model!BB40)</f>
        <v/>
      </c>
      <c r="BE37" s="192" t="str">
        <f aca="false">IF(Model!BC40=0,"",Model!BC40)</f>
        <v/>
      </c>
      <c r="BF37" s="192" t="str">
        <f aca="false">IF(Model!BD40=0,"",Model!BD40)</f>
        <v/>
      </c>
      <c r="BG37" s="192" t="str">
        <f aca="false">IF(Model!BE40=0,"",Model!BE40)</f>
        <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47727</v>
      </c>
      <c r="D38" s="190" t="n">
        <f aca="false">EDATE(Model!$E$2,Projects!$C$32+Projects!$D$32-2)</f>
        <v>48274</v>
      </c>
      <c r="E38" s="191" t="n">
        <f aca="false">Projects!$D$32</f>
        <v>19</v>
      </c>
      <c r="F38" s="189" t="n">
        <f aca="false">SUM(G38:DB38)</f>
        <v>0</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str">
        <f aca="false">IF(Model!AN41=0,"",Model!AN41)</f>
        <v/>
      </c>
      <c r="AQ38" s="192" t="str">
        <f aca="false">IF(Model!AO41=0,"",Model!AO41)</f>
        <v/>
      </c>
      <c r="AR38" s="192" t="str">
        <f aca="false">IF(Model!AP41=0,"",Model!AP41)</f>
        <v/>
      </c>
      <c r="AS38" s="192" t="str">
        <f aca="false">IF(Model!AQ41=0,"",Model!AQ41)</f>
        <v/>
      </c>
      <c r="AT38" s="192" t="str">
        <f aca="false">IF(Model!AR41=0,"",Model!AR41)</f>
        <v/>
      </c>
      <c r="AU38" s="192" t="str">
        <f aca="false">IF(Model!AS41=0,"",Model!AS41)</f>
        <v/>
      </c>
      <c r="AV38" s="192" t="str">
        <f aca="false">IF(Model!AT41=0,"",Model!AT41)</f>
        <v/>
      </c>
      <c r="AW38" s="192" t="str">
        <f aca="false">IF(Model!AU41=0,"",Model!AU41)</f>
        <v/>
      </c>
      <c r="AX38" s="192" t="str">
        <f aca="false">IF(Model!AV41=0,"",Model!AV41)</f>
        <v/>
      </c>
      <c r="AY38" s="192" t="str">
        <f aca="false">IF(Model!AW41=0,"",Model!AW41)</f>
        <v/>
      </c>
      <c r="AZ38" s="192" t="str">
        <f aca="false">IF(Model!AX41=0,"",Model!AX41)</f>
        <v/>
      </c>
      <c r="BA38" s="192" t="str">
        <f aca="false">IF(Model!AY41=0,"",Model!AY41)</f>
        <v/>
      </c>
      <c r="BB38" s="192" t="str">
        <f aca="false">IF(Model!AZ41=0,"",Model!AZ41)</f>
        <v/>
      </c>
      <c r="BC38" s="192" t="str">
        <f aca="false">IF(Model!BA41=0,"",Model!BA41)</f>
        <v/>
      </c>
      <c r="BD38" s="192" t="str">
        <f aca="false">IF(Model!BB41=0,"",Model!BB41)</f>
        <v/>
      </c>
      <c r="BE38" s="192" t="str">
        <f aca="false">IF(Model!BC41=0,"",Model!BC41)</f>
        <v/>
      </c>
      <c r="BF38" s="192" t="str">
        <f aca="false">IF(Model!BD41=0,"",Model!BD41)</f>
        <v/>
      </c>
      <c r="BG38" s="192" t="str">
        <f aca="false">IF(Model!BE41=0,"",Model!BE41)</f>
        <v/>
      </c>
      <c r="BH38" s="192" t="str">
        <f aca="false">IF(Model!BF41=0,"",Model!BF41)</f>
        <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47788</v>
      </c>
      <c r="D39" s="190" t="n">
        <f aca="false">EDATE(Model!$E$2,Projects!$C$33+Projects!$D$33-2)</f>
        <v>48335</v>
      </c>
      <c r="E39" s="191" t="n">
        <f aca="false">Projects!$D$33</f>
        <v>19</v>
      </c>
      <c r="F39" s="189" t="n">
        <f aca="false">SUM(G39:DB39)</f>
        <v>0</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str">
        <f aca="false">IF(Model!AO42=0,"",Model!AO42)</f>
        <v/>
      </c>
      <c r="AR39" s="192" t="str">
        <f aca="false">IF(Model!AP42=0,"",Model!AP42)</f>
        <v/>
      </c>
      <c r="AS39" s="192" t="str">
        <f aca="false">IF(Model!AQ42=0,"",Model!AQ42)</f>
        <v/>
      </c>
      <c r="AT39" s="192" t="str">
        <f aca="false">IF(Model!AR42=0,"",Model!AR42)</f>
        <v/>
      </c>
      <c r="AU39" s="192" t="str">
        <f aca="false">IF(Model!AS42=0,"",Model!AS42)</f>
        <v/>
      </c>
      <c r="AV39" s="192" t="str">
        <f aca="false">IF(Model!AT42=0,"",Model!AT42)</f>
        <v/>
      </c>
      <c r="AW39" s="192" t="str">
        <f aca="false">IF(Model!AU42=0,"",Model!AU42)</f>
        <v/>
      </c>
      <c r="AX39" s="192" t="str">
        <f aca="false">IF(Model!AV42=0,"",Model!AV42)</f>
        <v/>
      </c>
      <c r="AY39" s="192" t="str">
        <f aca="false">IF(Model!AW42=0,"",Model!AW42)</f>
        <v/>
      </c>
      <c r="AZ39" s="192" t="str">
        <f aca="false">IF(Model!AX42=0,"",Model!AX42)</f>
        <v/>
      </c>
      <c r="BA39" s="192" t="str">
        <f aca="false">IF(Model!AY42=0,"",Model!AY42)</f>
        <v/>
      </c>
      <c r="BB39" s="192" t="str">
        <f aca="false">IF(Model!AZ42=0,"",Model!AZ42)</f>
        <v/>
      </c>
      <c r="BC39" s="192" t="str">
        <f aca="false">IF(Model!BA42=0,"",Model!BA42)</f>
        <v/>
      </c>
      <c r="BD39" s="192" t="str">
        <f aca="false">IF(Model!BB42=0,"",Model!BB42)</f>
        <v/>
      </c>
      <c r="BE39" s="192" t="str">
        <f aca="false">IF(Model!BC42=0,"",Model!BC42)</f>
        <v/>
      </c>
      <c r="BF39" s="192" t="str">
        <f aca="false">IF(Model!BD42=0,"",Model!BD42)</f>
        <v/>
      </c>
      <c r="BG39" s="192" t="str">
        <f aca="false">IF(Model!BE42=0,"",Model!BE42)</f>
        <v/>
      </c>
      <c r="BH39" s="192" t="str">
        <f aca="false">IF(Model!BF42=0,"",Model!BF42)</f>
        <v/>
      </c>
      <c r="BI39" s="192" t="str">
        <f aca="false">IF(Model!BG42=0,"",Model!BG42)</f>
        <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47849</v>
      </c>
      <c r="D40" s="190" t="n">
        <f aca="false">EDATE(Model!$E$2,Projects!$C$34+Projects!$D$34-2)</f>
        <v>48396</v>
      </c>
      <c r="E40" s="191" t="n">
        <f aca="false">Projects!$D$34</f>
        <v>19</v>
      </c>
      <c r="F40" s="189" t="n">
        <f aca="false">SUM(G40:DB40)</f>
        <v>0</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str">
        <f aca="false">IF(Model!AP43=0,"",Model!AP43)</f>
        <v/>
      </c>
      <c r="AS40" s="192" t="str">
        <f aca="false">IF(Model!AQ43=0,"",Model!AQ43)</f>
        <v/>
      </c>
      <c r="AT40" s="192" t="str">
        <f aca="false">IF(Model!AR43=0,"",Model!AR43)</f>
        <v/>
      </c>
      <c r="AU40" s="192" t="str">
        <f aca="false">IF(Model!AS43=0,"",Model!AS43)</f>
        <v/>
      </c>
      <c r="AV40" s="192" t="str">
        <f aca="false">IF(Model!AT43=0,"",Model!AT43)</f>
        <v/>
      </c>
      <c r="AW40" s="192" t="str">
        <f aca="false">IF(Model!AU43=0,"",Model!AU43)</f>
        <v/>
      </c>
      <c r="AX40" s="192" t="str">
        <f aca="false">IF(Model!AV43=0,"",Model!AV43)</f>
        <v/>
      </c>
      <c r="AY40" s="192" t="str">
        <f aca="false">IF(Model!AW43=0,"",Model!AW43)</f>
        <v/>
      </c>
      <c r="AZ40" s="192" t="str">
        <f aca="false">IF(Model!AX43=0,"",Model!AX43)</f>
        <v/>
      </c>
      <c r="BA40" s="192" t="str">
        <f aca="false">IF(Model!AY43=0,"",Model!AY43)</f>
        <v/>
      </c>
      <c r="BB40" s="192" t="str">
        <f aca="false">IF(Model!AZ43=0,"",Model!AZ43)</f>
        <v/>
      </c>
      <c r="BC40" s="192" t="str">
        <f aca="false">IF(Model!BA43=0,"",Model!BA43)</f>
        <v/>
      </c>
      <c r="BD40" s="192" t="str">
        <f aca="false">IF(Model!BB43=0,"",Model!BB43)</f>
        <v/>
      </c>
      <c r="BE40" s="192" t="str">
        <f aca="false">IF(Model!BC43=0,"",Model!BC43)</f>
        <v/>
      </c>
      <c r="BF40" s="192" t="str">
        <f aca="false">IF(Model!BD43=0,"",Model!BD43)</f>
        <v/>
      </c>
      <c r="BG40" s="192" t="str">
        <f aca="false">IF(Model!BE43=0,"",Model!BE43)</f>
        <v/>
      </c>
      <c r="BH40" s="192" t="str">
        <f aca="false">IF(Model!BF43=0,"",Model!BF43)</f>
        <v/>
      </c>
      <c r="BI40" s="192" t="str">
        <f aca="false">IF(Model!BG43=0,"",Model!BG43)</f>
        <v/>
      </c>
      <c r="BJ40" s="192" t="str">
        <f aca="false">IF(Model!BH43=0,"",Model!BH43)</f>
        <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47908</v>
      </c>
      <c r="D41" s="190" t="n">
        <f aca="false">EDATE(Model!$E$2,Projects!$C$35+Projects!$D$35-2)</f>
        <v>48458</v>
      </c>
      <c r="E41" s="191" t="n">
        <f aca="false">Projects!$D$35</f>
        <v>19</v>
      </c>
      <c r="F41" s="189" t="n">
        <f aca="false">SUM(G41:DB41)</f>
        <v>0</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str">
        <f aca="false">IF(Model!AQ44=0,"",Model!AQ44)</f>
        <v/>
      </c>
      <c r="AT41" s="192" t="str">
        <f aca="false">IF(Model!AR44=0,"",Model!AR44)</f>
        <v/>
      </c>
      <c r="AU41" s="192" t="str">
        <f aca="false">IF(Model!AS44=0,"",Model!AS44)</f>
        <v/>
      </c>
      <c r="AV41" s="192" t="str">
        <f aca="false">IF(Model!AT44=0,"",Model!AT44)</f>
        <v/>
      </c>
      <c r="AW41" s="192" t="str">
        <f aca="false">IF(Model!AU44=0,"",Model!AU44)</f>
        <v/>
      </c>
      <c r="AX41" s="192" t="str">
        <f aca="false">IF(Model!AV44=0,"",Model!AV44)</f>
        <v/>
      </c>
      <c r="AY41" s="192" t="str">
        <f aca="false">IF(Model!AW44=0,"",Model!AW44)</f>
        <v/>
      </c>
      <c r="AZ41" s="192" t="str">
        <f aca="false">IF(Model!AX44=0,"",Model!AX44)</f>
        <v/>
      </c>
      <c r="BA41" s="192" t="str">
        <f aca="false">IF(Model!AY44=0,"",Model!AY44)</f>
        <v/>
      </c>
      <c r="BB41" s="192" t="str">
        <f aca="false">IF(Model!AZ44=0,"",Model!AZ44)</f>
        <v/>
      </c>
      <c r="BC41" s="192" t="str">
        <f aca="false">IF(Model!BA44=0,"",Model!BA44)</f>
        <v/>
      </c>
      <c r="BD41" s="192" t="str">
        <f aca="false">IF(Model!BB44=0,"",Model!BB44)</f>
        <v/>
      </c>
      <c r="BE41" s="192" t="str">
        <f aca="false">IF(Model!BC44=0,"",Model!BC44)</f>
        <v/>
      </c>
      <c r="BF41" s="192" t="str">
        <f aca="false">IF(Model!BD44=0,"",Model!BD44)</f>
        <v/>
      </c>
      <c r="BG41" s="192" t="str">
        <f aca="false">IF(Model!BE44=0,"",Model!BE44)</f>
        <v/>
      </c>
      <c r="BH41" s="192" t="str">
        <f aca="false">IF(Model!BF44=0,"",Model!BF44)</f>
        <v/>
      </c>
      <c r="BI41" s="192" t="str">
        <f aca="false">IF(Model!BG44=0,"",Model!BG44)</f>
        <v/>
      </c>
      <c r="BJ41" s="192" t="str">
        <f aca="false">IF(Model!BH44=0,"",Model!BH44)</f>
        <v/>
      </c>
      <c r="BK41" s="192" t="str">
        <f aca="false">IF(Model!BI44=0,"",Model!BI44)</f>
        <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47969</v>
      </c>
      <c r="D42" s="190" t="n">
        <f aca="false">EDATE(Model!$E$2,Projects!$C$36+Projects!$D$36-2)</f>
        <v>48519</v>
      </c>
      <c r="E42" s="191" t="n">
        <f aca="false">Projects!$D$36</f>
        <v>19</v>
      </c>
      <c r="F42" s="189" t="n">
        <f aca="false">SUM(G42:DB42)</f>
        <v>0</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str">
        <f aca="false">IF(Model!AU45=0,"",Model!AU45)</f>
        <v/>
      </c>
      <c r="AX42" s="192" t="str">
        <f aca="false">IF(Model!AV45=0,"",Model!AV45)</f>
        <v/>
      </c>
      <c r="AY42" s="192" t="str">
        <f aca="false">IF(Model!AW45=0,"",Model!AW45)</f>
        <v/>
      </c>
      <c r="AZ42" s="192" t="str">
        <f aca="false">IF(Model!AX45=0,"",Model!AX45)</f>
        <v/>
      </c>
      <c r="BA42" s="192" t="str">
        <f aca="false">IF(Model!AY45=0,"",Model!AY45)</f>
        <v/>
      </c>
      <c r="BB42" s="192" t="str">
        <f aca="false">IF(Model!AZ45=0,"",Model!AZ45)</f>
        <v/>
      </c>
      <c r="BC42" s="192" t="str">
        <f aca="false">IF(Model!BA45=0,"",Model!BA45)</f>
        <v/>
      </c>
      <c r="BD42" s="192" t="str">
        <f aca="false">IF(Model!BB45=0,"",Model!BB45)</f>
        <v/>
      </c>
      <c r="BE42" s="192" t="str">
        <f aca="false">IF(Model!BC45=0,"",Model!BC45)</f>
        <v/>
      </c>
      <c r="BF42" s="192" t="str">
        <f aca="false">IF(Model!BD45=0,"",Model!BD45)</f>
        <v/>
      </c>
      <c r="BG42" s="192" t="str">
        <f aca="false">IF(Model!BE45=0,"",Model!BE45)</f>
        <v/>
      </c>
      <c r="BH42" s="192" t="str">
        <f aca="false">IF(Model!BF45=0,"",Model!BF45)</f>
        <v/>
      </c>
      <c r="BI42" s="192" t="str">
        <f aca="false">IF(Model!BG45=0,"",Model!BG45)</f>
        <v/>
      </c>
      <c r="BJ42" s="192" t="str">
        <f aca="false">IF(Model!BH45=0,"",Model!BH45)</f>
        <v/>
      </c>
      <c r="BK42" s="192" t="str">
        <f aca="false">IF(Model!BI45=0,"",Model!BI45)</f>
        <v/>
      </c>
      <c r="BL42" s="192" t="str">
        <f aca="false">IF(Model!BJ45=0,"",Model!BJ45)</f>
        <v/>
      </c>
      <c r="BM42" s="192" t="str">
        <f aca="false">IF(Model!BK45=0,"",Model!BK45)</f>
        <v/>
      </c>
      <c r="BN42" s="192" t="str">
        <f aca="false">IF(Model!BL45=0,"",Model!BL45)</f>
        <v/>
      </c>
      <c r="BO42" s="192" t="str">
        <f aca="false">IF(Model!BM45=0,"",Model!BM45)</f>
        <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48030</v>
      </c>
      <c r="D43" s="190" t="n">
        <f aca="false">EDATE(Model!$E$2,Projects!$C$37+Projects!$D$37-2)</f>
        <v>48580</v>
      </c>
      <c r="E43" s="191" t="n">
        <f aca="false">Projects!$D$37</f>
        <v>19</v>
      </c>
      <c r="F43" s="189" t="n">
        <f aca="false">SUM(G43:DB43)</f>
        <v>0</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str">
        <f aca="false">IF(Model!AV46=0,"",Model!AV46)</f>
        <v/>
      </c>
      <c r="AY43" s="192" t="str">
        <f aca="false">IF(Model!AW46=0,"",Model!AW46)</f>
        <v/>
      </c>
      <c r="AZ43" s="192" t="str">
        <f aca="false">IF(Model!AX46=0,"",Model!AX46)</f>
        <v/>
      </c>
      <c r="BA43" s="192" t="str">
        <f aca="false">IF(Model!AY46=0,"",Model!AY46)</f>
        <v/>
      </c>
      <c r="BB43" s="192" t="str">
        <f aca="false">IF(Model!AZ46=0,"",Model!AZ46)</f>
        <v/>
      </c>
      <c r="BC43" s="192" t="str">
        <f aca="false">IF(Model!BA46=0,"",Model!BA46)</f>
        <v/>
      </c>
      <c r="BD43" s="192" t="str">
        <f aca="false">IF(Model!BB46=0,"",Model!BB46)</f>
        <v/>
      </c>
      <c r="BE43" s="192" t="str">
        <f aca="false">IF(Model!BC46=0,"",Model!BC46)</f>
        <v/>
      </c>
      <c r="BF43" s="192" t="str">
        <f aca="false">IF(Model!BD46=0,"",Model!BD46)</f>
        <v/>
      </c>
      <c r="BG43" s="192" t="str">
        <f aca="false">IF(Model!BE46=0,"",Model!BE46)</f>
        <v/>
      </c>
      <c r="BH43" s="192" t="str">
        <f aca="false">IF(Model!BF46=0,"",Model!BF46)</f>
        <v/>
      </c>
      <c r="BI43" s="192" t="str">
        <f aca="false">IF(Model!BG46=0,"",Model!BG46)</f>
        <v/>
      </c>
      <c r="BJ43" s="192" t="str">
        <f aca="false">IF(Model!BH46=0,"",Model!BH46)</f>
        <v/>
      </c>
      <c r="BK43" s="192" t="str">
        <f aca="false">IF(Model!BI46=0,"",Model!BI46)</f>
        <v/>
      </c>
      <c r="BL43" s="192" t="str">
        <f aca="false">IF(Model!BJ46=0,"",Model!BJ46)</f>
        <v/>
      </c>
      <c r="BM43" s="192" t="str">
        <f aca="false">IF(Model!BK46=0,"",Model!BK46)</f>
        <v/>
      </c>
      <c r="BN43" s="192" t="str">
        <f aca="false">IF(Model!BL46=0,"",Model!BL46)</f>
        <v/>
      </c>
      <c r="BO43" s="192" t="str">
        <f aca="false">IF(Model!BM46=0,"",Model!BM46)</f>
        <v/>
      </c>
      <c r="BP43" s="192" t="str">
        <f aca="false">IF(Model!BN46=0,"",Model!BN46)</f>
        <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48092</v>
      </c>
      <c r="D44" s="190" t="n">
        <f aca="false">EDATE(Model!$E$2,Projects!$C$38+Projects!$D$38-2)</f>
        <v>48639</v>
      </c>
      <c r="E44" s="191" t="n">
        <f aca="false">Projects!$D$38</f>
        <v>19</v>
      </c>
      <c r="F44" s="189" t="n">
        <f aca="false">SUM(G44:DB44)</f>
        <v>0</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str">
        <f aca="false">IF(Model!AZ47=0,"",Model!AZ47)</f>
        <v/>
      </c>
      <c r="BC44" s="192" t="str">
        <f aca="false">IF(Model!BA47=0,"",Model!BA47)</f>
        <v/>
      </c>
      <c r="BD44" s="192" t="str">
        <f aca="false">IF(Model!BB47=0,"",Model!BB47)</f>
        <v/>
      </c>
      <c r="BE44" s="192" t="str">
        <f aca="false">IF(Model!BC47=0,"",Model!BC47)</f>
        <v/>
      </c>
      <c r="BF44" s="192" t="str">
        <f aca="false">IF(Model!BD47=0,"",Model!BD47)</f>
        <v/>
      </c>
      <c r="BG44" s="192" t="str">
        <f aca="false">IF(Model!BE47=0,"",Model!BE47)</f>
        <v/>
      </c>
      <c r="BH44" s="192" t="str">
        <f aca="false">IF(Model!BF47=0,"",Model!BF47)</f>
        <v/>
      </c>
      <c r="BI44" s="192" t="str">
        <f aca="false">IF(Model!BG47=0,"",Model!BG47)</f>
        <v/>
      </c>
      <c r="BJ44" s="192" t="str">
        <f aca="false">IF(Model!BH47=0,"",Model!BH47)</f>
        <v/>
      </c>
      <c r="BK44" s="192" t="str">
        <f aca="false">IF(Model!BI47=0,"",Model!BI47)</f>
        <v/>
      </c>
      <c r="BL44" s="192" t="str">
        <f aca="false">IF(Model!BJ47=0,"",Model!BJ47)</f>
        <v/>
      </c>
      <c r="BM44" s="192" t="str">
        <f aca="false">IF(Model!BK47=0,"",Model!BK47)</f>
        <v/>
      </c>
      <c r="BN44" s="192" t="str">
        <f aca="false">IF(Model!BL47=0,"",Model!BL47)</f>
        <v/>
      </c>
      <c r="BO44" s="192" t="str">
        <f aca="false">IF(Model!BM47=0,"",Model!BM47)</f>
        <v/>
      </c>
      <c r="BP44" s="192" t="str">
        <f aca="false">IF(Model!BN47=0,"",Model!BN47)</f>
        <v/>
      </c>
      <c r="BQ44" s="192" t="str">
        <f aca="false">IF(Model!BO47=0,"",Model!BO47)</f>
        <v/>
      </c>
      <c r="BR44" s="192" t="str">
        <f aca="false">IF(Model!BP47=0,"",Model!BP47)</f>
        <v/>
      </c>
      <c r="BS44" s="192" t="str">
        <f aca="false">IF(Model!BQ47=0,"",Model!BQ47)</f>
        <v/>
      </c>
      <c r="BT44" s="192" t="str">
        <f aca="false">IF(Model!BR47=0,"",Model!BR47)</f>
        <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48153</v>
      </c>
      <c r="D45" s="190" t="n">
        <f aca="false">EDATE(Model!$E$2,Projects!$C$39+Projects!$D$39-2)</f>
        <v>48700</v>
      </c>
      <c r="E45" s="191" t="n">
        <f aca="false">Projects!$D$39</f>
        <v>19</v>
      </c>
      <c r="F45" s="189" t="n">
        <f aca="false">SUM(G45:DB45)</f>
        <v>0</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str">
        <f aca="false">IF(Model!BA48=0,"",Model!BA48)</f>
        <v/>
      </c>
      <c r="BD45" s="192" t="str">
        <f aca="false">IF(Model!BB48=0,"",Model!BB48)</f>
        <v/>
      </c>
      <c r="BE45" s="192" t="str">
        <f aca="false">IF(Model!BC48=0,"",Model!BC48)</f>
        <v/>
      </c>
      <c r="BF45" s="192" t="str">
        <f aca="false">IF(Model!BD48=0,"",Model!BD48)</f>
        <v/>
      </c>
      <c r="BG45" s="192" t="str">
        <f aca="false">IF(Model!BE48=0,"",Model!BE48)</f>
        <v/>
      </c>
      <c r="BH45" s="192" t="str">
        <f aca="false">IF(Model!BF48=0,"",Model!BF48)</f>
        <v/>
      </c>
      <c r="BI45" s="192" t="str">
        <f aca="false">IF(Model!BG48=0,"",Model!BG48)</f>
        <v/>
      </c>
      <c r="BJ45" s="192" t="str">
        <f aca="false">IF(Model!BH48=0,"",Model!BH48)</f>
        <v/>
      </c>
      <c r="BK45" s="192" t="str">
        <f aca="false">IF(Model!BI48=0,"",Model!BI48)</f>
        <v/>
      </c>
      <c r="BL45" s="192" t="str">
        <f aca="false">IF(Model!BJ48=0,"",Model!BJ48)</f>
        <v/>
      </c>
      <c r="BM45" s="192" t="str">
        <f aca="false">IF(Model!BK48=0,"",Model!BK48)</f>
        <v/>
      </c>
      <c r="BN45" s="192" t="str">
        <f aca="false">IF(Model!BL48=0,"",Model!BL48)</f>
        <v/>
      </c>
      <c r="BO45" s="192" t="str">
        <f aca="false">IF(Model!BM48=0,"",Model!BM48)</f>
        <v/>
      </c>
      <c r="BP45" s="192" t="str">
        <f aca="false">IF(Model!BN48=0,"",Model!BN48)</f>
        <v/>
      </c>
      <c r="BQ45" s="192" t="str">
        <f aca="false">IF(Model!BO48=0,"",Model!BO48)</f>
        <v/>
      </c>
      <c r="BR45" s="192" t="str">
        <f aca="false">IF(Model!BP48=0,"",Model!BP48)</f>
        <v/>
      </c>
      <c r="BS45" s="192" t="str">
        <f aca="false">IF(Model!BQ48=0,"",Model!BQ48)</f>
        <v/>
      </c>
      <c r="BT45" s="192" t="str">
        <f aca="false">IF(Model!BR48=0,"",Model!BR48)</f>
        <v/>
      </c>
      <c r="BU45" s="192" t="str">
        <f aca="false">IF(Model!BS48=0,"",Model!BS48)</f>
        <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48214</v>
      </c>
      <c r="D46" s="190" t="n">
        <f aca="false">EDATE(Model!$E$2,Projects!$C$40+Projects!$D$40-2)</f>
        <v>48761</v>
      </c>
      <c r="E46" s="191" t="n">
        <f aca="false">Projects!$D$40</f>
        <v>19</v>
      </c>
      <c r="F46" s="189" t="n">
        <f aca="false">SUM(G46:DB46)</f>
        <v>0</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str">
        <f aca="false">IF(Model!BB49=0,"",Model!BB49)</f>
        <v/>
      </c>
      <c r="BE46" s="192" t="str">
        <f aca="false">IF(Model!BC49=0,"",Model!BC49)</f>
        <v/>
      </c>
      <c r="BF46" s="192" t="str">
        <f aca="false">IF(Model!BD49=0,"",Model!BD49)</f>
        <v/>
      </c>
      <c r="BG46" s="192" t="str">
        <f aca="false">IF(Model!BE49=0,"",Model!BE49)</f>
        <v/>
      </c>
      <c r="BH46" s="192" t="str">
        <f aca="false">IF(Model!BF49=0,"",Model!BF49)</f>
        <v/>
      </c>
      <c r="BI46" s="192" t="str">
        <f aca="false">IF(Model!BG49=0,"",Model!BG49)</f>
        <v/>
      </c>
      <c r="BJ46" s="192" t="str">
        <f aca="false">IF(Model!BH49=0,"",Model!BH49)</f>
        <v/>
      </c>
      <c r="BK46" s="192" t="str">
        <f aca="false">IF(Model!BI49=0,"",Model!BI49)</f>
        <v/>
      </c>
      <c r="BL46" s="192" t="str">
        <f aca="false">IF(Model!BJ49=0,"",Model!BJ49)</f>
        <v/>
      </c>
      <c r="BM46" s="192" t="str">
        <f aca="false">IF(Model!BK49=0,"",Model!BK49)</f>
        <v/>
      </c>
      <c r="BN46" s="192" t="str">
        <f aca="false">IF(Model!BL49=0,"",Model!BL49)</f>
        <v/>
      </c>
      <c r="BO46" s="192" t="str">
        <f aca="false">IF(Model!BM49=0,"",Model!BM49)</f>
        <v/>
      </c>
      <c r="BP46" s="192" t="str">
        <f aca="false">IF(Model!BN49=0,"",Model!BN49)</f>
        <v/>
      </c>
      <c r="BQ46" s="192" t="str">
        <f aca="false">IF(Model!BO49=0,"",Model!BO49)</f>
        <v/>
      </c>
      <c r="BR46" s="192" t="str">
        <f aca="false">IF(Model!BP49=0,"",Model!BP49)</f>
        <v/>
      </c>
      <c r="BS46" s="192" t="str">
        <f aca="false">IF(Model!BQ49=0,"",Model!BQ49)</f>
        <v/>
      </c>
      <c r="BT46" s="192" t="str">
        <f aca="false">IF(Model!BR49=0,"",Model!BR49)</f>
        <v/>
      </c>
      <c r="BU46" s="192" t="str">
        <f aca="false">IF(Model!BS49=0,"",Model!BS49)</f>
        <v/>
      </c>
      <c r="BV46" s="192" t="str">
        <f aca="false">IF(Model!BT49=0,"",Model!BT49)</f>
        <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48274</v>
      </c>
      <c r="D47" s="190" t="n">
        <f aca="false">EDATE(Model!$E$2,Projects!$C$41+Projects!$D$41-2)</f>
        <v>48823</v>
      </c>
      <c r="E47" s="191" t="n">
        <f aca="false">Projects!$D$41</f>
        <v>19</v>
      </c>
      <c r="F47" s="189" t="n">
        <f aca="false">SUM(G47:DB47)</f>
        <v>0</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str">
        <f aca="false">IF(Model!BC50=0,"",Model!BC50)</f>
        <v/>
      </c>
      <c r="BF47" s="192" t="str">
        <f aca="false">IF(Model!BD50=0,"",Model!BD50)</f>
        <v/>
      </c>
      <c r="BG47" s="192" t="str">
        <f aca="false">IF(Model!BE50=0,"",Model!BE50)</f>
        <v/>
      </c>
      <c r="BH47" s="192" t="str">
        <f aca="false">IF(Model!BF50=0,"",Model!BF50)</f>
        <v/>
      </c>
      <c r="BI47" s="192" t="str">
        <f aca="false">IF(Model!BG50=0,"",Model!BG50)</f>
        <v/>
      </c>
      <c r="BJ47" s="192" t="str">
        <f aca="false">IF(Model!BH50=0,"",Model!BH50)</f>
        <v/>
      </c>
      <c r="BK47" s="192" t="str">
        <f aca="false">IF(Model!BI50=0,"",Model!BI50)</f>
        <v/>
      </c>
      <c r="BL47" s="192" t="str">
        <f aca="false">IF(Model!BJ50=0,"",Model!BJ50)</f>
        <v/>
      </c>
      <c r="BM47" s="192" t="str">
        <f aca="false">IF(Model!BK50=0,"",Model!BK50)</f>
        <v/>
      </c>
      <c r="BN47" s="192" t="str">
        <f aca="false">IF(Model!BL50=0,"",Model!BL50)</f>
        <v/>
      </c>
      <c r="BO47" s="192" t="str">
        <f aca="false">IF(Model!BM50=0,"",Model!BM50)</f>
        <v/>
      </c>
      <c r="BP47" s="192" t="str">
        <f aca="false">IF(Model!BN50=0,"",Model!BN50)</f>
        <v/>
      </c>
      <c r="BQ47" s="192" t="str">
        <f aca="false">IF(Model!BO50=0,"",Model!BO50)</f>
        <v/>
      </c>
      <c r="BR47" s="192" t="str">
        <f aca="false">IF(Model!BP50=0,"",Model!BP50)</f>
        <v/>
      </c>
      <c r="BS47" s="192" t="str">
        <f aca="false">IF(Model!BQ50=0,"",Model!BQ50)</f>
        <v/>
      </c>
      <c r="BT47" s="192" t="str">
        <f aca="false">IF(Model!BR50=0,"",Model!BR50)</f>
        <v/>
      </c>
      <c r="BU47" s="192" t="str">
        <f aca="false">IF(Model!BS50=0,"",Model!BS50)</f>
        <v/>
      </c>
      <c r="BV47" s="192" t="str">
        <f aca="false">IF(Model!BT50=0,"",Model!BT50)</f>
        <v/>
      </c>
      <c r="BW47" s="192" t="str">
        <f aca="false">IF(Model!BU50=0,"",Model!BU50)</f>
        <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48335</v>
      </c>
      <c r="D48" s="190" t="n">
        <f aca="false">EDATE(Model!$E$2,Projects!$C$42+Projects!$D$42-2)</f>
        <v>48884</v>
      </c>
      <c r="E48" s="191" t="n">
        <f aca="false">Projects!$D$42</f>
        <v>19</v>
      </c>
      <c r="F48" s="189" t="n">
        <f aca="false">SUM(G48:DB48)</f>
        <v>0</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str">
        <f aca="false">IF(Model!BD51=0,"",Model!BD51)</f>
        <v/>
      </c>
      <c r="BG48" s="192" t="str">
        <f aca="false">IF(Model!BE51=0,"",Model!BE51)</f>
        <v/>
      </c>
      <c r="BH48" s="192" t="str">
        <f aca="false">IF(Model!BF51=0,"",Model!BF51)</f>
        <v/>
      </c>
      <c r="BI48" s="192" t="str">
        <f aca="false">IF(Model!BG51=0,"",Model!BG51)</f>
        <v/>
      </c>
      <c r="BJ48" s="192" t="str">
        <f aca="false">IF(Model!BH51=0,"",Model!BH51)</f>
        <v/>
      </c>
      <c r="BK48" s="192" t="str">
        <f aca="false">IF(Model!BI51=0,"",Model!BI51)</f>
        <v/>
      </c>
      <c r="BL48" s="192" t="str">
        <f aca="false">IF(Model!BJ51=0,"",Model!BJ51)</f>
        <v/>
      </c>
      <c r="BM48" s="192" t="str">
        <f aca="false">IF(Model!BK51=0,"",Model!BK51)</f>
        <v/>
      </c>
      <c r="BN48" s="192" t="str">
        <f aca="false">IF(Model!BL51=0,"",Model!BL51)</f>
        <v/>
      </c>
      <c r="BO48" s="192" t="str">
        <f aca="false">IF(Model!BM51=0,"",Model!BM51)</f>
        <v/>
      </c>
      <c r="BP48" s="192" t="str">
        <f aca="false">IF(Model!BN51=0,"",Model!BN51)</f>
        <v/>
      </c>
      <c r="BQ48" s="192" t="str">
        <f aca="false">IF(Model!BO51=0,"",Model!BO51)</f>
        <v/>
      </c>
      <c r="BR48" s="192" t="str">
        <f aca="false">IF(Model!BP51=0,"",Model!BP51)</f>
        <v/>
      </c>
      <c r="BS48" s="192" t="str">
        <f aca="false">IF(Model!BQ51=0,"",Model!BQ51)</f>
        <v/>
      </c>
      <c r="BT48" s="192" t="str">
        <f aca="false">IF(Model!BR51=0,"",Model!BR51)</f>
        <v/>
      </c>
      <c r="BU48" s="192" t="str">
        <f aca="false">IF(Model!BS51=0,"",Model!BS51)</f>
        <v/>
      </c>
      <c r="BV48" s="192" t="str">
        <f aca="false">IF(Model!BT51=0,"",Model!BT51)</f>
        <v/>
      </c>
      <c r="BW48" s="192" t="str">
        <f aca="false">IF(Model!BU51=0,"",Model!BU51)</f>
        <v/>
      </c>
      <c r="BX48" s="192" t="str">
        <f aca="false">IF(Model!BV51=0,"",Model!BV51)</f>
        <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48396</v>
      </c>
      <c r="D49" s="190" t="n">
        <f aca="false">EDATE(Model!$E$2,Projects!$C$43+Projects!$D$43-2)</f>
        <v>48945</v>
      </c>
      <c r="E49" s="191" t="n">
        <f aca="false">Projects!$D$43</f>
        <v>19</v>
      </c>
      <c r="F49" s="189" t="n">
        <f aca="false">SUM(G49:DB49)</f>
        <v>0</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str">
        <f aca="false">IF(Model!BE52=0,"",Model!BE52)</f>
        <v/>
      </c>
      <c r="BH49" s="192" t="str">
        <f aca="false">IF(Model!BF52=0,"",Model!BF52)</f>
        <v/>
      </c>
      <c r="BI49" s="192" t="str">
        <f aca="false">IF(Model!BG52=0,"",Model!BG52)</f>
        <v/>
      </c>
      <c r="BJ49" s="192" t="str">
        <f aca="false">IF(Model!BH52=0,"",Model!BH52)</f>
        <v/>
      </c>
      <c r="BK49" s="192" t="str">
        <f aca="false">IF(Model!BI52=0,"",Model!BI52)</f>
        <v/>
      </c>
      <c r="BL49" s="192" t="str">
        <f aca="false">IF(Model!BJ52=0,"",Model!BJ52)</f>
        <v/>
      </c>
      <c r="BM49" s="192" t="str">
        <f aca="false">IF(Model!BK52=0,"",Model!BK52)</f>
        <v/>
      </c>
      <c r="BN49" s="192" t="str">
        <f aca="false">IF(Model!BL52=0,"",Model!BL52)</f>
        <v/>
      </c>
      <c r="BO49" s="192" t="str">
        <f aca="false">IF(Model!BM52=0,"",Model!BM52)</f>
        <v/>
      </c>
      <c r="BP49" s="192" t="str">
        <f aca="false">IF(Model!BN52=0,"",Model!BN52)</f>
        <v/>
      </c>
      <c r="BQ49" s="192" t="str">
        <f aca="false">IF(Model!BO52=0,"",Model!BO52)</f>
        <v/>
      </c>
      <c r="BR49" s="192" t="str">
        <f aca="false">IF(Model!BP52=0,"",Model!BP52)</f>
        <v/>
      </c>
      <c r="BS49" s="192" t="str">
        <f aca="false">IF(Model!BQ52=0,"",Model!BQ52)</f>
        <v/>
      </c>
      <c r="BT49" s="192" t="str">
        <f aca="false">IF(Model!BR52=0,"",Model!BR52)</f>
        <v/>
      </c>
      <c r="BU49" s="192" t="str">
        <f aca="false">IF(Model!BS52=0,"",Model!BS52)</f>
        <v/>
      </c>
      <c r="BV49" s="192" t="str">
        <f aca="false">IF(Model!BT52=0,"",Model!BT52)</f>
        <v/>
      </c>
      <c r="BW49" s="192" t="str">
        <f aca="false">IF(Model!BU52=0,"",Model!BU52)</f>
        <v/>
      </c>
      <c r="BX49" s="192" t="str">
        <f aca="false">IF(Model!BV52=0,"",Model!BV52)</f>
        <v/>
      </c>
      <c r="BY49" s="192" t="str">
        <f aca="false">IF(Model!BW52=0,"",Model!BW52)</f>
        <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48458</v>
      </c>
      <c r="D50" s="190" t="n">
        <f aca="false">EDATE(Model!$E$2,Projects!$C$44+Projects!$D$44-2)</f>
        <v>49004</v>
      </c>
      <c r="E50" s="191" t="n">
        <f aca="false">Projects!$D$44</f>
        <v>19</v>
      </c>
      <c r="F50" s="189" t="n">
        <f aca="false">SUM(G50:DB50)</f>
        <v>0</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str">
        <f aca="false">IF(Model!BF53=0,"",Model!BF53)</f>
        <v/>
      </c>
      <c r="BI50" s="192" t="str">
        <f aca="false">IF(Model!BG53=0,"",Model!BG53)</f>
        <v/>
      </c>
      <c r="BJ50" s="192" t="str">
        <f aca="false">IF(Model!BH53=0,"",Model!BH53)</f>
        <v/>
      </c>
      <c r="BK50" s="192" t="str">
        <f aca="false">IF(Model!BI53=0,"",Model!BI53)</f>
        <v/>
      </c>
      <c r="BL50" s="192" t="str">
        <f aca="false">IF(Model!BJ53=0,"",Model!BJ53)</f>
        <v/>
      </c>
      <c r="BM50" s="192" t="str">
        <f aca="false">IF(Model!BK53=0,"",Model!BK53)</f>
        <v/>
      </c>
      <c r="BN50" s="192" t="str">
        <f aca="false">IF(Model!BL53=0,"",Model!BL53)</f>
        <v/>
      </c>
      <c r="BO50" s="192" t="str">
        <f aca="false">IF(Model!BM53=0,"",Model!BM53)</f>
        <v/>
      </c>
      <c r="BP50" s="192" t="str">
        <f aca="false">IF(Model!BN53=0,"",Model!BN53)</f>
        <v/>
      </c>
      <c r="BQ50" s="192" t="str">
        <f aca="false">IF(Model!BO53=0,"",Model!BO53)</f>
        <v/>
      </c>
      <c r="BR50" s="192" t="str">
        <f aca="false">IF(Model!BP53=0,"",Model!BP53)</f>
        <v/>
      </c>
      <c r="BS50" s="192" t="str">
        <f aca="false">IF(Model!BQ53=0,"",Model!BQ53)</f>
        <v/>
      </c>
      <c r="BT50" s="192" t="str">
        <f aca="false">IF(Model!BR53=0,"",Model!BR53)</f>
        <v/>
      </c>
      <c r="BU50" s="192" t="str">
        <f aca="false">IF(Model!BS53=0,"",Model!BS53)</f>
        <v/>
      </c>
      <c r="BV50" s="192" t="str">
        <f aca="false">IF(Model!BT53=0,"",Model!BT53)</f>
        <v/>
      </c>
      <c r="BW50" s="192" t="str">
        <f aca="false">IF(Model!BU53=0,"",Model!BU53)</f>
        <v/>
      </c>
      <c r="BX50" s="192" t="str">
        <f aca="false">IF(Model!BV53=0,"",Model!BV53)</f>
        <v/>
      </c>
      <c r="BY50" s="192" t="str">
        <f aca="false">IF(Model!BW53=0,"",Model!BW53)</f>
        <v/>
      </c>
      <c r="BZ50" s="192" t="str">
        <f aca="false">IF(Model!BX53=0,"",Model!BX53)</f>
        <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48519</v>
      </c>
      <c r="D51" s="190" t="n">
        <f aca="false">EDATE(Model!$E$2,Projects!$C$45+Projects!$D$45-2)</f>
        <v>49065</v>
      </c>
      <c r="E51" s="191" t="n">
        <f aca="false">Projects!$D$45</f>
        <v>19</v>
      </c>
      <c r="F51" s="189" t="n">
        <f aca="false">SUM(G51:DB51)</f>
        <v>0</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str">
        <f aca="false">IF(Model!BG54=0,"",Model!BG54)</f>
        <v/>
      </c>
      <c r="BJ51" s="192" t="str">
        <f aca="false">IF(Model!BH54=0,"",Model!BH54)</f>
        <v/>
      </c>
      <c r="BK51" s="192" t="str">
        <f aca="false">IF(Model!BI54=0,"",Model!BI54)</f>
        <v/>
      </c>
      <c r="BL51" s="192" t="str">
        <f aca="false">IF(Model!BJ54=0,"",Model!BJ54)</f>
        <v/>
      </c>
      <c r="BM51" s="192" t="str">
        <f aca="false">IF(Model!BK54=0,"",Model!BK54)</f>
        <v/>
      </c>
      <c r="BN51" s="192" t="str">
        <f aca="false">IF(Model!BL54=0,"",Model!BL54)</f>
        <v/>
      </c>
      <c r="BO51" s="192" t="str">
        <f aca="false">IF(Model!BM54=0,"",Model!BM54)</f>
        <v/>
      </c>
      <c r="BP51" s="192" t="str">
        <f aca="false">IF(Model!BN54=0,"",Model!BN54)</f>
        <v/>
      </c>
      <c r="BQ51" s="192" t="str">
        <f aca="false">IF(Model!BO54=0,"",Model!BO54)</f>
        <v/>
      </c>
      <c r="BR51" s="192" t="str">
        <f aca="false">IF(Model!BP54=0,"",Model!BP54)</f>
        <v/>
      </c>
      <c r="BS51" s="192" t="str">
        <f aca="false">IF(Model!BQ54=0,"",Model!BQ54)</f>
        <v/>
      </c>
      <c r="BT51" s="192" t="str">
        <f aca="false">IF(Model!BR54=0,"",Model!BR54)</f>
        <v/>
      </c>
      <c r="BU51" s="192" t="str">
        <f aca="false">IF(Model!BS54=0,"",Model!BS54)</f>
        <v/>
      </c>
      <c r="BV51" s="192" t="str">
        <f aca="false">IF(Model!BT54=0,"",Model!BT54)</f>
        <v/>
      </c>
      <c r="BW51" s="192" t="str">
        <f aca="false">IF(Model!BU54=0,"",Model!BU54)</f>
        <v/>
      </c>
      <c r="BX51" s="192" t="str">
        <f aca="false">IF(Model!BV54=0,"",Model!BV54)</f>
        <v/>
      </c>
      <c r="BY51" s="192" t="str">
        <f aca="false">IF(Model!BW54=0,"",Model!BW54)</f>
        <v/>
      </c>
      <c r="BZ51" s="192" t="str">
        <f aca="false">IF(Model!BX54=0,"",Model!BX54)</f>
        <v/>
      </c>
      <c r="CA51" s="192" t="str">
        <f aca="false">IF(Model!BY54=0,"",Model!BY54)</f>
        <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48580</v>
      </c>
      <c r="D52" s="190" t="n">
        <f aca="false">EDATE(Model!$E$2,Projects!$C$46+Projects!$D$46-2)</f>
        <v>49126</v>
      </c>
      <c r="E52" s="191" t="n">
        <f aca="false">Projects!$D$46</f>
        <v>19</v>
      </c>
      <c r="F52" s="189" t="n">
        <f aca="false">SUM(G52:DB52)</f>
        <v>0</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str">
        <f aca="false">IF(Model!BH55=0,"",Model!BH55)</f>
        <v/>
      </c>
      <c r="BK52" s="192" t="str">
        <f aca="false">IF(Model!BI55=0,"",Model!BI55)</f>
        <v/>
      </c>
      <c r="BL52" s="192" t="str">
        <f aca="false">IF(Model!BJ55=0,"",Model!BJ55)</f>
        <v/>
      </c>
      <c r="BM52" s="192" t="str">
        <f aca="false">IF(Model!BK55=0,"",Model!BK55)</f>
        <v/>
      </c>
      <c r="BN52" s="192" t="str">
        <f aca="false">IF(Model!BL55=0,"",Model!BL55)</f>
        <v/>
      </c>
      <c r="BO52" s="192" t="str">
        <f aca="false">IF(Model!BM55=0,"",Model!BM55)</f>
        <v/>
      </c>
      <c r="BP52" s="192" t="str">
        <f aca="false">IF(Model!BN55=0,"",Model!BN55)</f>
        <v/>
      </c>
      <c r="BQ52" s="192" t="str">
        <f aca="false">IF(Model!BO55=0,"",Model!BO55)</f>
        <v/>
      </c>
      <c r="BR52" s="192" t="str">
        <f aca="false">IF(Model!BP55=0,"",Model!BP55)</f>
        <v/>
      </c>
      <c r="BS52" s="192" t="str">
        <f aca="false">IF(Model!BQ55=0,"",Model!BQ55)</f>
        <v/>
      </c>
      <c r="BT52" s="192" t="str">
        <f aca="false">IF(Model!BR55=0,"",Model!BR55)</f>
        <v/>
      </c>
      <c r="BU52" s="192" t="str">
        <f aca="false">IF(Model!BS55=0,"",Model!BS55)</f>
        <v/>
      </c>
      <c r="BV52" s="192" t="str">
        <f aca="false">IF(Model!BT55=0,"",Model!BT55)</f>
        <v/>
      </c>
      <c r="BW52" s="192" t="str">
        <f aca="false">IF(Model!BU55=0,"",Model!BU55)</f>
        <v/>
      </c>
      <c r="BX52" s="192" t="str">
        <f aca="false">IF(Model!BV55=0,"",Model!BV55)</f>
        <v/>
      </c>
      <c r="BY52" s="192" t="str">
        <f aca="false">IF(Model!BW55=0,"",Model!BW55)</f>
        <v/>
      </c>
      <c r="BZ52" s="192" t="str">
        <f aca="false">IF(Model!BX55=0,"",Model!BX55)</f>
        <v/>
      </c>
      <c r="CA52" s="192" t="str">
        <f aca="false">IF(Model!BY55=0,"",Model!BY55)</f>
        <v/>
      </c>
      <c r="CB52" s="192" t="str">
        <f aca="false">IF(Model!BZ55=0,"",Model!BZ55)</f>
        <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598</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280938.0497</v>
      </c>
      <c r="Z53" s="193" t="n">
        <f aca="false">SUM(Z28:Z52)</f>
        <v>366518.3137</v>
      </c>
      <c r="AA53" s="193" t="n">
        <f aca="false">SUM(AA28:AA52)</f>
        <v>458636.3397</v>
      </c>
      <c r="AB53" s="193" t="n">
        <f aca="false">SUM(AB28:AB52)</f>
        <v>553618.9197</v>
      </c>
      <c r="AC53" s="193" t="n">
        <f aca="false">SUM(AC28:AC52)</f>
        <v>646901.9557</v>
      </c>
      <c r="AD53" s="193" t="n">
        <f aca="false">SUM(AD28:AD52)</f>
        <v>733304.5797</v>
      </c>
      <c r="AE53" s="193" t="n">
        <f aca="false">SUM(AE28:AE52)</f>
        <v>807522.5697</v>
      </c>
      <c r="AF53" s="193" t="n">
        <f aca="false">SUM(AF28:AF52)</f>
        <v>864635.4717</v>
      </c>
      <c r="AG53" s="193" t="n">
        <f aca="false">SUM(AG28:AG52)</f>
        <v>900654.8397</v>
      </c>
      <c r="AH53" s="193" t="n">
        <f aca="false">SUM(AH28:AH52)</f>
        <v>912962.8277</v>
      </c>
      <c r="AI53" s="193" t="n">
        <f aca="false">SUM(AI28:AI52)</f>
        <v>900654.8397</v>
      </c>
      <c r="AJ53" s="193" t="n">
        <f aca="false">SUM(AJ28:AJ52)</f>
        <v>864635.4717</v>
      </c>
      <c r="AK53" s="193" t="n">
        <f aca="false">SUM(AK28:AK52)</f>
        <v>807522.5697</v>
      </c>
      <c r="AL53" s="193" t="n">
        <f aca="false">SUM(AL28:AL52)</f>
        <v>733304.5797</v>
      </c>
      <c r="AM53" s="193" t="n">
        <f aca="false">SUM(AM28:AM52)</f>
        <v>646901.9557</v>
      </c>
      <c r="AN53" s="193" t="n">
        <f aca="false">SUM(AN28:AN52)</f>
        <v>553618.9197</v>
      </c>
      <c r="AO53" s="193" t="n">
        <f aca="false">SUM(AO28:AO52)</f>
        <v>458636.3397</v>
      </c>
      <c r="AP53" s="193" t="n">
        <f aca="false">SUM(AP28:AP52)</f>
        <v>366518.3137</v>
      </c>
      <c r="AQ53" s="193" t="n">
        <f aca="false">SUM(AQ28:AQ52)</f>
        <v>198434.0974</v>
      </c>
      <c r="AR53" s="193" t="n">
        <f aca="false">SUM(AR28:AR52)</f>
        <v>0</v>
      </c>
      <c r="AS53" s="193" t="n">
        <f aca="false">SUM(AS28:AS52)</f>
        <v>0</v>
      </c>
      <c r="AT53" s="193" t="n">
        <f aca="false">SUM(AT28:AT52)</f>
        <v>0</v>
      </c>
      <c r="AU53" s="193" t="n">
        <f aca="false">SUM(AU28:AU52)</f>
        <v>0</v>
      </c>
      <c r="AV53" s="193" t="n">
        <f aca="false">SUM(AV28:AV52)</f>
        <v>0</v>
      </c>
      <c r="AW53" s="193" t="n">
        <f aca="false">SUM(AW28:AW52)</f>
        <v>0</v>
      </c>
      <c r="AX53" s="193" t="n">
        <f aca="false">SUM(AX28:AX52)</f>
        <v>0</v>
      </c>
      <c r="AY53" s="193" t="n">
        <f aca="false">SUM(AY28:AY52)</f>
        <v>0</v>
      </c>
      <c r="AZ53" s="193" t="n">
        <f aca="false">SUM(AZ28:AZ52)</f>
        <v>0</v>
      </c>
      <c r="BA53" s="193" t="n">
        <f aca="false">SUM(BA28:BA52)</f>
        <v>0</v>
      </c>
      <c r="BB53" s="193" t="n">
        <f aca="false">SUM(BB28:BB52)</f>
        <v>0</v>
      </c>
      <c r="BC53" s="193" t="n">
        <f aca="false">SUM(BC28:BC52)</f>
        <v>0</v>
      </c>
      <c r="BD53" s="193" t="n">
        <f aca="false">SUM(BD28:BD52)</f>
        <v>0</v>
      </c>
      <c r="BE53" s="193" t="n">
        <f aca="false">SUM(BE28:BE52)</f>
        <v>0</v>
      </c>
      <c r="BF53" s="193" t="n">
        <f aca="false">SUM(BF28:BF52)</f>
        <v>0</v>
      </c>
      <c r="BG53" s="193" t="n">
        <f aca="false">SUM(BG28:BG52)</f>
        <v>0</v>
      </c>
      <c r="BH53" s="193" t="n">
        <f aca="false">SUM(BH28:BH52)</f>
        <v>0</v>
      </c>
      <c r="BI53" s="193" t="n">
        <f aca="false">SUM(BI28:BI52)</f>
        <v>0</v>
      </c>
      <c r="BJ53" s="193" t="n">
        <f aca="false">SUM(BJ28:BJ52)</f>
        <v>0</v>
      </c>
      <c r="BK53" s="193" t="n">
        <f aca="false">SUM(BK28:BK52)</f>
        <v>0</v>
      </c>
      <c r="BL53" s="193" t="n">
        <f aca="false">SUM(BL28:BL52)</f>
        <v>0</v>
      </c>
      <c r="BM53" s="193" t="n">
        <f aca="false">SUM(BM28:BM52)</f>
        <v>0</v>
      </c>
      <c r="BN53" s="193" t="n">
        <f aca="false">SUM(BN28:BN52)</f>
        <v>0</v>
      </c>
      <c r="BO53" s="193" t="n">
        <f aca="false">SUM(BO28:BO52)</f>
        <v>0</v>
      </c>
      <c r="BP53" s="193" t="n">
        <f aca="false">SUM(BP28:BP52)</f>
        <v>0</v>
      </c>
      <c r="BQ53" s="193" t="n">
        <f aca="false">SUM(BQ28:BQ52)</f>
        <v>0</v>
      </c>
      <c r="BR53" s="193" t="n">
        <f aca="false">SUM(BR28:BR52)</f>
        <v>0</v>
      </c>
      <c r="BS53" s="193" t="n">
        <f aca="false">SUM(BS28:BS52)</f>
        <v>0</v>
      </c>
      <c r="BT53" s="193" t="n">
        <f aca="false">SUM(BT28:BT52)</f>
        <v>0</v>
      </c>
      <c r="BU53" s="193" t="n">
        <f aca="false">SUM(BU28:BU52)</f>
        <v>0</v>
      </c>
      <c r="BV53" s="193" t="n">
        <f aca="false">SUM(BV28:BV52)</f>
        <v>0</v>
      </c>
      <c r="BW53" s="193" t="n">
        <f aca="false">SUM(BW28:BW52)</f>
        <v>0</v>
      </c>
      <c r="BX53" s="193" t="n">
        <f aca="false">SUM(BX28:BX52)</f>
        <v>0</v>
      </c>
      <c r="BY53" s="193" t="n">
        <f aca="false">SUM(BY28:BY52)</f>
        <v>0</v>
      </c>
      <c r="BZ53" s="193" t="n">
        <f aca="false">SUM(BZ28:BZ52)</f>
        <v>0</v>
      </c>
      <c r="CA53" s="193" t="n">
        <f aca="false">SUM(CA28:CA52)</f>
        <v>0</v>
      </c>
      <c r="CB53" s="193" t="n">
        <f aca="false">SUM(CB28:CB52)</f>
        <v>0</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599</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1</v>
      </c>
      <c r="Z54" s="194" t="n">
        <f aca="false">COUNT(Z28:Z52)</f>
        <v>1</v>
      </c>
      <c r="AA54" s="194" t="n">
        <f aca="false">COUNT(AA28:AA52)</f>
        <v>1</v>
      </c>
      <c r="AB54" s="194" t="n">
        <f aca="false">COUNT(AB28:AB52)</f>
        <v>1</v>
      </c>
      <c r="AC54" s="194" t="n">
        <f aca="false">COUNT(AC28:AC52)</f>
        <v>1</v>
      </c>
      <c r="AD54" s="194" t="n">
        <f aca="false">COUNT(AD28:AD52)</f>
        <v>1</v>
      </c>
      <c r="AE54" s="194" t="n">
        <f aca="false">COUNT(AE28:AE52)</f>
        <v>1</v>
      </c>
      <c r="AF54" s="194" t="n">
        <f aca="false">COUNT(AF28:AF52)</f>
        <v>1</v>
      </c>
      <c r="AG54" s="194" t="n">
        <f aca="false">COUNT(AG28:AG52)</f>
        <v>1</v>
      </c>
      <c r="AH54" s="194" t="n">
        <f aca="false">COUNT(AH28:AH52)</f>
        <v>1</v>
      </c>
      <c r="AI54" s="194" t="n">
        <f aca="false">COUNT(AI28:AI52)</f>
        <v>1</v>
      </c>
      <c r="AJ54" s="194" t="n">
        <f aca="false">COUNT(AJ28:AJ52)</f>
        <v>1</v>
      </c>
      <c r="AK54" s="194" t="n">
        <f aca="false">COUNT(AK28:AK52)</f>
        <v>1</v>
      </c>
      <c r="AL54" s="194" t="n">
        <f aca="false">COUNT(AL28:AL52)</f>
        <v>1</v>
      </c>
      <c r="AM54" s="194" t="n">
        <f aca="false">COUNT(AM28:AM52)</f>
        <v>1</v>
      </c>
      <c r="AN54" s="194" t="n">
        <f aca="false">COUNT(AN28:AN52)</f>
        <v>1</v>
      </c>
      <c r="AO54" s="194" t="n">
        <f aca="false">COUNT(AO28:AO52)</f>
        <v>1</v>
      </c>
      <c r="AP54" s="194" t="n">
        <f aca="false">COUNT(AP28:AP52)</f>
        <v>1</v>
      </c>
      <c r="AQ54" s="194" t="n">
        <f aca="false">COUNT(AQ28:AQ52)</f>
        <v>1</v>
      </c>
      <c r="AR54" s="194" t="n">
        <f aca="false">COUNT(AR28:AR52)</f>
        <v>0</v>
      </c>
      <c r="AS54" s="194" t="n">
        <f aca="false">COUNT(AS28:AS52)</f>
        <v>0</v>
      </c>
      <c r="AT54" s="194" t="n">
        <f aca="false">COUNT(AT28:AT52)</f>
        <v>0</v>
      </c>
      <c r="AU54" s="194" t="n">
        <f aca="false">COUNT(AU28:AU52)</f>
        <v>0</v>
      </c>
      <c r="AV54" s="194" t="n">
        <f aca="false">COUNT(AV28:AV52)</f>
        <v>0</v>
      </c>
      <c r="AW54" s="194" t="n">
        <f aca="false">COUNT(AW28:AW52)</f>
        <v>0</v>
      </c>
      <c r="AX54" s="194" t="n">
        <f aca="false">COUNT(AX28:AX52)</f>
        <v>0</v>
      </c>
      <c r="AY54" s="194" t="n">
        <f aca="false">COUNT(AY28:AY52)</f>
        <v>0</v>
      </c>
      <c r="AZ54" s="194" t="n">
        <f aca="false">COUNT(AZ28:AZ52)</f>
        <v>0</v>
      </c>
      <c r="BA54" s="194" t="n">
        <f aca="false">COUNT(BA28:BA52)</f>
        <v>0</v>
      </c>
      <c r="BB54" s="194" t="n">
        <f aca="false">COUNT(BB28:BB52)</f>
        <v>0</v>
      </c>
      <c r="BC54" s="194" t="n">
        <f aca="false">COUNT(BC28:BC52)</f>
        <v>0</v>
      </c>
      <c r="BD54" s="194" t="n">
        <f aca="false">COUNT(BD28:BD52)</f>
        <v>0</v>
      </c>
      <c r="BE54" s="194" t="n">
        <f aca="false">COUNT(BE28:BE52)</f>
        <v>0</v>
      </c>
      <c r="BF54" s="194" t="n">
        <f aca="false">COUNT(BF28:BF52)</f>
        <v>0</v>
      </c>
      <c r="BG54" s="194" t="n">
        <f aca="false">COUNT(BG28:BG52)</f>
        <v>0</v>
      </c>
      <c r="BH54" s="194" t="n">
        <f aca="false">COUNT(BH28:BH52)</f>
        <v>0</v>
      </c>
      <c r="BI54" s="194" t="n">
        <f aca="false">COUNT(BI28:BI52)</f>
        <v>0</v>
      </c>
      <c r="BJ54" s="194" t="n">
        <f aca="false">COUNT(BJ28:BJ52)</f>
        <v>0</v>
      </c>
      <c r="BK54" s="194" t="n">
        <f aca="false">COUNT(BK28:BK52)</f>
        <v>0</v>
      </c>
      <c r="BL54" s="194" t="n">
        <f aca="false">COUNT(BL28:BL52)</f>
        <v>0</v>
      </c>
      <c r="BM54" s="194" t="n">
        <f aca="false">COUNT(BM28:BM52)</f>
        <v>0</v>
      </c>
      <c r="BN54" s="194" t="n">
        <f aca="false">COUNT(BN28:BN52)</f>
        <v>0</v>
      </c>
      <c r="BO54" s="194" t="n">
        <f aca="false">COUNT(BO28:BO52)</f>
        <v>0</v>
      </c>
      <c r="BP54" s="194" t="n">
        <f aca="false">COUNT(BP28:BP52)</f>
        <v>0</v>
      </c>
      <c r="BQ54" s="194" t="n">
        <f aca="false">COUNT(BQ28:BQ52)</f>
        <v>0</v>
      </c>
      <c r="BR54" s="194" t="n">
        <f aca="false">COUNT(BR28:BR52)</f>
        <v>0</v>
      </c>
      <c r="BS54" s="194" t="n">
        <f aca="false">COUNT(BS28:BS52)</f>
        <v>0</v>
      </c>
      <c r="BT54" s="194" t="n">
        <f aca="false">COUNT(BT28:BT52)</f>
        <v>0</v>
      </c>
      <c r="BU54" s="194" t="n">
        <f aca="false">COUNT(BU28:BU52)</f>
        <v>0</v>
      </c>
      <c r="BV54" s="194" t="n">
        <f aca="false">COUNT(BV28:BV52)</f>
        <v>0</v>
      </c>
      <c r="BW54" s="194" t="n">
        <f aca="false">COUNT(BW28:BW52)</f>
        <v>0</v>
      </c>
      <c r="BX54" s="194" t="n">
        <f aca="false">COUNT(BX28:BX52)</f>
        <v>0</v>
      </c>
      <c r="BY54" s="194" t="n">
        <f aca="false">COUNT(BY28:BY52)</f>
        <v>0</v>
      </c>
      <c r="BZ54" s="194" t="n">
        <f aca="false">COUNT(BZ28:BZ52)</f>
        <v>0</v>
      </c>
      <c r="CA54" s="194" t="n">
        <f aca="false">COUNT(CA28:CA52)</f>
        <v>0</v>
      </c>
      <c r="CB54" s="194" t="n">
        <f aca="false">COUNT(CB28:CB52)</f>
        <v>0</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600</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721911.521852589</v>
      </c>
      <c r="M55" s="196" t="n">
        <f aca="false">Model!K10+Model!K11+Model!K56</f>
        <v>760111.762712477</v>
      </c>
      <c r="N55" s="196" t="n">
        <f aca="false">Model!L10+Model!L11+Model!L56</f>
        <v>639055.760459158</v>
      </c>
      <c r="O55" s="196" t="n">
        <f aca="false">Model!M10+Model!M11+Model!M56</f>
        <v>750812.177224053</v>
      </c>
      <c r="P55" s="196" t="n">
        <f aca="false">Model!N10+Model!N11+Model!N56</f>
        <v>831655.703942703</v>
      </c>
      <c r="Q55" s="196" t="n">
        <f aca="false">Model!O10+Model!O11+Model!O56</f>
        <v>826472.050423653</v>
      </c>
      <c r="R55" s="196" t="n">
        <f aca="false">Model!P10+Model!P11+Model!P56</f>
        <v>853869.630423653</v>
      </c>
      <c r="S55" s="196" t="n">
        <f aca="false">Model!Q10+Model!Q11+Model!Q56</f>
        <v>921638.860151334</v>
      </c>
      <c r="T55" s="196" t="n">
        <f aca="false">Model!R10+Model!R11+Model!R56</f>
        <v>947770.539547083</v>
      </c>
      <c r="U55" s="196" t="n">
        <f aca="false">Model!S10+Model!S11+Model!S56</f>
        <v>1132727.3336043</v>
      </c>
      <c r="V55" s="196" t="n">
        <f aca="false">Model!T10+Model!T11+Model!T56</f>
        <v>1226802.1336043</v>
      </c>
      <c r="W55" s="196" t="n">
        <f aca="false">Model!U10+Model!U11+Model!U56</f>
        <v>1118361.1636043</v>
      </c>
      <c r="X55" s="196" t="n">
        <f aca="false">Model!V10+Model!V11+Model!V56</f>
        <v>1278243.79570905</v>
      </c>
      <c r="Y55" s="196" t="n">
        <f aca="false">Model!W10+Model!W11+Model!W56</f>
        <v>1181690.17800905</v>
      </c>
      <c r="Z55" s="196" t="n">
        <f aca="false">Model!X10+Model!X11+Model!X56</f>
        <v>1356305.71800905</v>
      </c>
      <c r="AA55" s="196" t="n">
        <f aca="false">Model!Y10+Model!Y11+Model!Y56</f>
        <v>1194544.89800905</v>
      </c>
      <c r="AB55" s="196" t="n">
        <f aca="false">Model!Z10+Model!Z11+Model!Z56</f>
        <v>1320891.07800905</v>
      </c>
      <c r="AC55" s="196" t="n">
        <f aca="false">Model!AA10+Model!AA11+Model!AA56</f>
        <v>1350129.73137019</v>
      </c>
      <c r="AD55" s="196" t="n">
        <f aca="false">Model!AB10+Model!AB11+Model!AB56</f>
        <v>1163798.00926969</v>
      </c>
      <c r="AE55" s="196" t="n">
        <f aca="false">Model!AC10+Model!AC11+Model!AC56</f>
        <v>935072.540026133</v>
      </c>
      <c r="AF55" s="196" t="n">
        <f aca="false">Model!AD10+Model!AD11+Model!AD56</f>
        <v>958022.450026133</v>
      </c>
      <c r="AG55" s="196" t="n">
        <f aca="false">Model!AE10+Model!AE11+Model!AE56</f>
        <v>1106614.10089468</v>
      </c>
      <c r="AH55" s="196" t="n">
        <f aca="false">Model!AF10+Model!AF11+Model!AF56</f>
        <v>1265546.30761333</v>
      </c>
      <c r="AI55" s="196" t="n">
        <f aca="false">Model!AG10+Model!AG11+Model!AG56</f>
        <v>1201055.93065698</v>
      </c>
      <c r="AJ55" s="196" t="n">
        <f aca="false">Model!AH10+Model!AH11+Model!AH56</f>
        <v>1177316.96533183</v>
      </c>
      <c r="AK55" s="196" t="n">
        <f aca="false">Model!AI10+Model!AI11+Model!AI56</f>
        <v>938966.137967399</v>
      </c>
      <c r="AL55" s="196" t="n">
        <f aca="false">Model!AJ10+Model!AJ11+Model!AJ56</f>
        <v>1013788.1869309</v>
      </c>
      <c r="AM55" s="196" t="n">
        <f aca="false">Model!AK10+Model!AK11+Model!AK56</f>
        <v>620551.869330513</v>
      </c>
      <c r="AN55" s="196" t="n">
        <f aca="false">Model!AL10+Model!AL11+Model!AL56</f>
        <v>634861.939330513</v>
      </c>
      <c r="AO55" s="196" t="n">
        <f aca="false">Model!AM10+Model!AM11+Model!AM56</f>
        <v>646743.719330513</v>
      </c>
      <c r="AP55" s="196" t="n">
        <f aca="false">Model!AN10+Model!AN11+Model!AN56</f>
        <v>623856.931435263</v>
      </c>
      <c r="AQ55" s="196" t="n">
        <f aca="false">Model!AO10+Model!AO11+Model!AO56</f>
        <v>495241.749525763</v>
      </c>
      <c r="AR55" s="196" t="n">
        <f aca="false">Model!AP10+Model!AP11+Model!AP56</f>
        <v>330233.844925763</v>
      </c>
      <c r="AS55" s="196" t="n">
        <f aca="false">Model!AQ10+Model!AQ11+Model!AQ56</f>
        <v>330233.844925763</v>
      </c>
      <c r="AT55" s="196" t="n">
        <f aca="false">Model!AR10+Model!AR11+Model!AR56</f>
        <v>330233.844925763</v>
      </c>
      <c r="AU55" s="196" t="n">
        <f aca="false">Model!AS10+Model!AS11+Model!AS56</f>
        <v>330233.844925763</v>
      </c>
      <c r="AV55" s="196" t="n">
        <f aca="false">Model!AT10+Model!AT11+Model!AT56</f>
        <v>330233.844925763</v>
      </c>
      <c r="AW55" s="196" t="n">
        <f aca="false">Model!AU10+Model!AU11+Model!AU56</f>
        <v>330233.844925763</v>
      </c>
      <c r="AX55" s="196" t="n">
        <f aca="false">Model!AV10+Model!AV11+Model!AV56</f>
        <v>602719.430279263</v>
      </c>
      <c r="AY55" s="196" t="n">
        <f aca="false">Model!AW10+Model!AW11+Model!AW56</f>
        <v>157659.640868547</v>
      </c>
      <c r="AZ55" s="196" t="n">
        <f aca="false">Model!AX10+Model!AX11+Model!AX56</f>
        <v>157659.640868547</v>
      </c>
      <c r="BA55" s="196" t="n">
        <f aca="false">Model!AY10+Model!AY11+Model!AY56</f>
        <v>157659.640868547</v>
      </c>
      <c r="BB55" s="196" t="n">
        <f aca="false">Model!AZ10+Model!AZ11+Model!AZ56</f>
        <v>157659.640868547</v>
      </c>
      <c r="BC55" s="196" t="n">
        <f aca="false">Model!BA10+Model!BA11+Model!BA56</f>
        <v>157659.640868547</v>
      </c>
      <c r="BD55" s="196" t="n">
        <f aca="false">Model!BB10+Model!BB11+Model!BB56</f>
        <v>157659.640868547</v>
      </c>
      <c r="BE55" s="196" t="n">
        <f aca="false">Model!BC10+Model!BC11+Model!BC56</f>
        <v>157659.640868547</v>
      </c>
      <c r="BF55" s="196" t="n">
        <f aca="false">Model!BD10+Model!BD11+Model!BD56</f>
        <v>157659.640868547</v>
      </c>
      <c r="BG55" s="196" t="n">
        <f aca="false">Model!BE10+Model!BE11+Model!BE56</f>
        <v>157659.640868547</v>
      </c>
      <c r="BH55" s="196" t="n">
        <f aca="false">Model!BF10+Model!BF11+Model!BF56</f>
        <v>157659.640868547</v>
      </c>
      <c r="BI55" s="196" t="n">
        <f aca="false">Model!BG10+Model!BG11+Model!BG56</f>
        <v>157659.640868547</v>
      </c>
      <c r="BJ55" s="196" t="n">
        <f aca="false">Model!BH10+Model!BH11+Model!BH56</f>
        <v>406595.915924147</v>
      </c>
      <c r="BK55" s="196" t="n">
        <f aca="false">Model!BI10+Model!BI11+Model!BI56</f>
        <v>0</v>
      </c>
      <c r="BL55" s="196" t="n">
        <f aca="false">Model!BJ10+Model!BJ11+Model!BJ56</f>
        <v>0</v>
      </c>
      <c r="BM55" s="196" t="n">
        <f aca="false">Model!BK10+Model!BK11+Model!BK56</f>
        <v>0</v>
      </c>
      <c r="BN55" s="196" t="n">
        <f aca="false">Model!BL10+Model!BL11+Model!BL56</f>
        <v>0</v>
      </c>
      <c r="BO55" s="196" t="n">
        <f aca="false">Model!BM10+Model!BM11+Model!BM56</f>
        <v>0</v>
      </c>
      <c r="BP55" s="196" t="n">
        <f aca="false">Model!BN10+Model!BN11+Model!BN56</f>
        <v>0</v>
      </c>
      <c r="BQ55" s="196" t="n">
        <f aca="false">Model!BO10+Model!BO11+Model!BO56</f>
        <v>0</v>
      </c>
      <c r="BR55" s="196" t="n">
        <f aca="false">Model!BP10+Model!BP11+Model!BP56</f>
        <v>0</v>
      </c>
      <c r="BS55" s="196" t="n">
        <f aca="false">Model!BQ10+Model!BQ11+Model!BQ56</f>
        <v>0</v>
      </c>
      <c r="BT55" s="196" t="n">
        <f aca="false">Model!BR10+Model!BR11+Model!BR56</f>
        <v>0</v>
      </c>
      <c r="BU55" s="196" t="n">
        <f aca="false">Model!BS10+Model!BS11+Model!BS56</f>
        <v>0</v>
      </c>
      <c r="BV55" s="196" t="n">
        <f aca="false">Model!BT10+Model!BT11+Model!BT56</f>
        <v>0</v>
      </c>
      <c r="BW55" s="196" t="n">
        <f aca="false">Model!BU10+Model!BU11+Model!BU56</f>
        <v>0</v>
      </c>
      <c r="BX55" s="196" t="n">
        <f aca="false">Model!BV10+Model!BV11+Model!BV56</f>
        <v>0</v>
      </c>
      <c r="BY55" s="196" t="n">
        <f aca="false">Model!BW10+Model!BW11+Model!BW56</f>
        <v>0</v>
      </c>
      <c r="BZ55" s="196" t="n">
        <f aca="false">Model!BX10+Model!BX11+Model!BX56</f>
        <v>0</v>
      </c>
      <c r="CA55" s="196" t="n">
        <f aca="false">Model!BY10+Model!BY11+Model!BY56</f>
        <v>0</v>
      </c>
      <c r="CB55" s="196" t="n">
        <f aca="false">Model!BZ10+Model!BZ11+Model!BZ56</f>
        <v>0</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601</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5842178.10798445</v>
      </c>
      <c r="M56" s="199" t="n">
        <f aca="false">M21+M53+M55</f>
        <v>6074750.12847776</v>
      </c>
      <c r="N56" s="199" t="n">
        <f aca="false">N21+N53+N55</f>
        <v>5223190.74034752</v>
      </c>
      <c r="O56" s="199" t="n">
        <f aca="false">O21+O53+O55</f>
        <v>5601976.56807136</v>
      </c>
      <c r="P56" s="199" t="n">
        <f aca="false">P21+P53+P55</f>
        <v>6554575.35451418</v>
      </c>
      <c r="Q56" s="199" t="n">
        <f aca="false">Q21+Q53+Q55</f>
        <v>6571457.6821801</v>
      </c>
      <c r="R56" s="199" t="n">
        <f aca="false">R21+R53+R55</f>
        <v>7280212.22092995</v>
      </c>
      <c r="S56" s="199" t="n">
        <f aca="false">S21+S53+S55</f>
        <v>7746285.82093952</v>
      </c>
      <c r="T56" s="199" t="n">
        <f aca="false">T21+T53+T55</f>
        <v>8102409.71227581</v>
      </c>
      <c r="U56" s="199" t="n">
        <f aca="false">U21+U53+U55</f>
        <v>9351911.64650916</v>
      </c>
      <c r="V56" s="199" t="n">
        <f aca="false">V21+V53+V55</f>
        <v>10699985.2901231</v>
      </c>
      <c r="W56" s="199" t="n">
        <f aca="false">W21+W53+W55</f>
        <v>10272119.4966865</v>
      </c>
      <c r="X56" s="199" t="n">
        <f aca="false">X21+X53+X55</f>
        <v>11486191.4235654</v>
      </c>
      <c r="Y56" s="199" t="n">
        <f aca="false">Y21+Y53+Y55</f>
        <v>10716343.1530938</v>
      </c>
      <c r="Z56" s="199" t="n">
        <f aca="false">Z21+Z53+Z55</f>
        <v>12383367.1922385</v>
      </c>
      <c r="AA56" s="199" t="n">
        <f aca="false">AA21+AA53+AA55</f>
        <v>11216756.8254466</v>
      </c>
      <c r="AB56" s="199" t="n">
        <f aca="false">AB21+AB53+AB55</f>
        <v>12258336.0359046</v>
      </c>
      <c r="AC56" s="199" t="n">
        <f aca="false">AC21+AC53+AC55</f>
        <v>11693796.0841133</v>
      </c>
      <c r="AD56" s="199" t="n">
        <f aca="false">AD21+AD53+AD55</f>
        <v>10431745.570593</v>
      </c>
      <c r="AE56" s="199" t="n">
        <f aca="false">AE21+AE53+AE55</f>
        <v>9321401.97932472</v>
      </c>
      <c r="AF56" s="199" t="n">
        <f aca="false">AF21+AF53+AF55</f>
        <v>9214701.76900575</v>
      </c>
      <c r="AG56" s="199" t="n">
        <f aca="false">AG21+AG53+AG55</f>
        <v>9419503.78272352</v>
      </c>
      <c r="AH56" s="199" t="n">
        <f aca="false">AH21+AH53+AH55</f>
        <v>9323004.16365161</v>
      </c>
      <c r="AI56" s="199" t="n">
        <f aca="false">AI21+AI53+AI55</f>
        <v>9472283.53205332</v>
      </c>
      <c r="AJ56" s="199" t="n">
        <f aca="false">AJ21+AJ53+AJ55</f>
        <v>8758279.58019369</v>
      </c>
      <c r="AK56" s="199" t="n">
        <f aca="false">AK21+AK53+AK55</f>
        <v>7973406.853665</v>
      </c>
      <c r="AL56" s="199" t="n">
        <f aca="false">AL21+AL53+AL55</f>
        <v>6737996.935346</v>
      </c>
      <c r="AM56" s="199" t="n">
        <f aca="false">AM21+AM53+AM55</f>
        <v>5665077.651514</v>
      </c>
      <c r="AN56" s="199" t="n">
        <f aca="false">AN21+AN53+AN55</f>
        <v>5622712.874184</v>
      </c>
      <c r="AO56" s="199" t="n">
        <f aca="false">AO21+AO53+AO55</f>
        <v>5540657.088193</v>
      </c>
      <c r="AP56" s="199" t="n">
        <f aca="false">AP21+AP53+AP55</f>
        <v>4472767.769399</v>
      </c>
      <c r="AQ56" s="199" t="n">
        <f aca="false">AQ21+AQ53+AQ55</f>
        <v>3656864.129608</v>
      </c>
      <c r="AR56" s="199" t="n">
        <f aca="false">AR21+AR53+AR55</f>
        <v>3242697.30758</v>
      </c>
      <c r="AS56" s="199" t="n">
        <f aca="false">AS21+AS53+AS55</f>
        <v>3172311.694126</v>
      </c>
      <c r="AT56" s="199" t="n">
        <f aca="false">AT21+AT53+AT55</f>
        <v>3083327.108166</v>
      </c>
      <c r="AU56" s="199" t="n">
        <f aca="false">AU21+AU53+AU55</f>
        <v>2977199.35625</v>
      </c>
      <c r="AV56" s="199" t="n">
        <f aca="false">AV21+AV53+AV55</f>
        <v>2855612.81203</v>
      </c>
      <c r="AW56" s="199" t="n">
        <f aca="false">AW21+AW53+AW55</f>
        <v>2720423.413076</v>
      </c>
      <c r="AX56" s="199" t="n">
        <f aca="false">AX21+AX53+AX55</f>
        <v>2573794.461186</v>
      </c>
      <c r="AY56" s="199" t="n">
        <f aca="false">AY21+AY53+AY55</f>
        <v>1790448.79244</v>
      </c>
      <c r="AZ56" s="199" t="n">
        <f aca="false">AZ21+AZ53+AZ55</f>
        <v>1720311.336568</v>
      </c>
      <c r="BA56" s="199" t="n">
        <f aca="false">BA21+BA53+BA55</f>
        <v>1636485.497504</v>
      </c>
      <c r="BB56" s="199" t="n">
        <f aca="false">BB21+BB53+BB55</f>
        <v>1541245.780008</v>
      </c>
      <c r="BC56" s="199" t="n">
        <f aca="false">BC21+BC53+BC55</f>
        <v>1437156.171264</v>
      </c>
      <c r="BD56" s="199" t="n">
        <f aca="false">BD21+BD53+BD55</f>
        <v>1326739.303824</v>
      </c>
      <c r="BE56" s="199" t="n">
        <f aca="false">BE21+BE53+BE55</f>
        <v>1212641.874136</v>
      </c>
      <c r="BF56" s="199" t="n">
        <f aca="false">BF21+BF53+BF55</f>
        <v>1097345.16012</v>
      </c>
      <c r="BG56" s="199" t="n">
        <f aca="false">BG21+BG53+BG55</f>
        <v>983123.666536</v>
      </c>
      <c r="BH56" s="199" t="n">
        <f aca="false">BH21+BH53+BH55</f>
        <v>872045.124984</v>
      </c>
      <c r="BI56" s="199" t="n">
        <f aca="false">BI21+BI53+BI55</f>
        <v>765805.075376</v>
      </c>
      <c r="BJ56" s="199" t="n">
        <f aca="false">BJ21+BJ53+BJ55</f>
        <v>665850.929832</v>
      </c>
      <c r="BK56" s="199" t="n">
        <f aca="false">BK21+BK53+BK55</f>
        <v>0</v>
      </c>
      <c r="BL56" s="199" t="n">
        <f aca="false">BL21+BL53+BL55</f>
        <v>0</v>
      </c>
      <c r="BM56" s="199" t="n">
        <f aca="false">BM21+BM53+BM55</f>
        <v>0</v>
      </c>
      <c r="BN56" s="199" t="n">
        <f aca="false">BN21+BN53+BN55</f>
        <v>0</v>
      </c>
      <c r="BO56" s="199" t="n">
        <f aca="false">BO21+BO53+BO55</f>
        <v>0</v>
      </c>
      <c r="BP56" s="199" t="n">
        <f aca="false">BP21+BP53+BP55</f>
        <v>0</v>
      </c>
      <c r="BQ56" s="199" t="n">
        <f aca="false">BQ21+BQ53+BQ55</f>
        <v>0</v>
      </c>
      <c r="BR56" s="199" t="n">
        <f aca="false">BR21+BR53+BR55</f>
        <v>0</v>
      </c>
      <c r="BS56" s="199" t="n">
        <f aca="false">BS21+BS53+BS55</f>
        <v>0</v>
      </c>
      <c r="BT56" s="199" t="n">
        <f aca="false">BT21+BT53+BT55</f>
        <v>0</v>
      </c>
      <c r="BU56" s="199" t="n">
        <f aca="false">BU21+BU53+BU55</f>
        <v>0</v>
      </c>
      <c r="BV56" s="199" t="n">
        <f aca="false">BV21+BV53+BV55</f>
        <v>0</v>
      </c>
      <c r="BW56" s="199" t="n">
        <f aca="false">BW21+BW53+BW55</f>
        <v>0</v>
      </c>
      <c r="BX56" s="199" t="n">
        <f aca="false">BX21+BX53+BX55</f>
        <v>0</v>
      </c>
      <c r="BY56" s="199" t="n">
        <f aca="false">BY21+BY53+BY55</f>
        <v>0</v>
      </c>
      <c r="BZ56" s="199" t="n">
        <f aca="false">BZ21+BZ53+BZ55</f>
        <v>0</v>
      </c>
      <c r="CA56" s="199" t="n">
        <f aca="false">CA21+CA53+CA55</f>
        <v>0</v>
      </c>
      <c r="CB56" s="199" t="n">
        <f aca="false">CB21+CB53+CB55</f>
        <v>0</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602</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9</v>
      </c>
      <c r="P57" s="200" t="n">
        <f aca="false">P22+P54</f>
        <v>10</v>
      </c>
      <c r="Q57" s="200" t="n">
        <f aca="false">Q22+Q54</f>
        <v>11</v>
      </c>
      <c r="R57" s="200" t="n">
        <f aca="false">R22+R54</f>
        <v>11</v>
      </c>
      <c r="S57" s="200" t="n">
        <f aca="false">S22+S54</f>
        <v>12</v>
      </c>
      <c r="T57" s="200" t="n">
        <f aca="false">T22+T54</f>
        <v>13</v>
      </c>
      <c r="U57" s="200" t="n">
        <f aca="false">U22+U54</f>
        <v>14</v>
      </c>
      <c r="V57" s="200" t="n">
        <f aca="false">V22+V54</f>
        <v>13</v>
      </c>
      <c r="W57" s="200" t="n">
        <f aca="false">W22+W54</f>
        <v>13</v>
      </c>
      <c r="X57" s="200" t="n">
        <f aca="false">X22+X54</f>
        <v>13</v>
      </c>
      <c r="Y57" s="200" t="n">
        <f aca="false">Y22+Y54</f>
        <v>13</v>
      </c>
      <c r="Z57" s="200" t="n">
        <f aca="false">Z22+Z54</f>
        <v>12</v>
      </c>
      <c r="AA57" s="200" t="n">
        <f aca="false">AA22+AA54</f>
        <v>12</v>
      </c>
      <c r="AB57" s="200" t="n">
        <f aca="false">AB22+AB54</f>
        <v>12</v>
      </c>
      <c r="AC57" s="200" t="n">
        <f aca="false">AC22+AC54</f>
        <v>12</v>
      </c>
      <c r="AD57" s="200" t="n">
        <f aca="false">AD22+AD54</f>
        <v>11</v>
      </c>
      <c r="AE57" s="200" t="n">
        <f aca="false">AE22+AE54</f>
        <v>10</v>
      </c>
      <c r="AF57" s="200" t="n">
        <f aca="false">AF22+AF54</f>
        <v>10</v>
      </c>
      <c r="AG57" s="200" t="n">
        <f aca="false">AG22+AG54</f>
        <v>11</v>
      </c>
      <c r="AH57" s="200" t="n">
        <f aca="false">AH22+AH54</f>
        <v>11</v>
      </c>
      <c r="AI57" s="200" t="n">
        <f aca="false">AI22+AI54</f>
        <v>9</v>
      </c>
      <c r="AJ57" s="200" t="n">
        <f aca="false">AJ22+AJ54</f>
        <v>8</v>
      </c>
      <c r="AK57" s="200" t="n">
        <f aca="false">AK22+AK54</f>
        <v>7</v>
      </c>
      <c r="AL57" s="200" t="n">
        <f aca="false">AL22+AL54</f>
        <v>7</v>
      </c>
      <c r="AM57" s="200" t="n">
        <f aca="false">AM22+AM54</f>
        <v>5</v>
      </c>
      <c r="AN57" s="200" t="n">
        <f aca="false">AN22+AN54</f>
        <v>5</v>
      </c>
      <c r="AO57" s="200" t="n">
        <f aca="false">AO22+AO54</f>
        <v>5</v>
      </c>
      <c r="AP57" s="200" t="n">
        <f aca="false">AP22+AP54</f>
        <v>5</v>
      </c>
      <c r="AQ57" s="200" t="n">
        <f aca="false">AQ22+AQ54</f>
        <v>3</v>
      </c>
      <c r="AR57" s="200" t="n">
        <f aca="false">AR22+AR54</f>
        <v>2</v>
      </c>
      <c r="AS57" s="200" t="n">
        <f aca="false">AS22+AS54</f>
        <v>2</v>
      </c>
      <c r="AT57" s="200" t="n">
        <f aca="false">AT22+AT54</f>
        <v>2</v>
      </c>
      <c r="AU57" s="200" t="n">
        <f aca="false">AU22+AU54</f>
        <v>2</v>
      </c>
      <c r="AV57" s="200" t="n">
        <f aca="false">AV22+AV54</f>
        <v>2</v>
      </c>
      <c r="AW57" s="200" t="n">
        <f aca="false">AW22+AW54</f>
        <v>2</v>
      </c>
      <c r="AX57" s="200" t="n">
        <f aca="false">AX22+AX54</f>
        <v>2</v>
      </c>
      <c r="AY57" s="200" t="n">
        <f aca="false">AY22+AY54</f>
        <v>1</v>
      </c>
      <c r="AZ57" s="200" t="n">
        <f aca="false">AZ22+AZ54</f>
        <v>1</v>
      </c>
      <c r="BA57" s="200" t="n">
        <f aca="false">BA22+BA54</f>
        <v>1</v>
      </c>
      <c r="BB57" s="200" t="n">
        <f aca="false">BB22+BB54</f>
        <v>1</v>
      </c>
      <c r="BC57" s="200" t="n">
        <f aca="false">BC22+BC54</f>
        <v>1</v>
      </c>
      <c r="BD57" s="200" t="n">
        <f aca="false">BD22+BD54</f>
        <v>1</v>
      </c>
      <c r="BE57" s="200" t="n">
        <f aca="false">BE22+BE54</f>
        <v>1</v>
      </c>
      <c r="BF57" s="200" t="n">
        <f aca="false">BF22+BF54</f>
        <v>1</v>
      </c>
      <c r="BG57" s="200" t="n">
        <f aca="false">BG22+BG54</f>
        <v>1</v>
      </c>
      <c r="BH57" s="200" t="n">
        <f aca="false">BH22+BH54</f>
        <v>1</v>
      </c>
      <c r="BI57" s="200" t="n">
        <f aca="false">BI22+BI54</f>
        <v>1</v>
      </c>
      <c r="BJ57" s="200" t="n">
        <f aca="false">BJ22+BJ54</f>
        <v>1</v>
      </c>
      <c r="BK57" s="200" t="n">
        <f aca="false">BK22+BK54</f>
        <v>0</v>
      </c>
      <c r="BL57" s="200" t="n">
        <f aca="false">BL22+BL54</f>
        <v>0</v>
      </c>
      <c r="BM57" s="200" t="n">
        <f aca="false">BM22+BM54</f>
        <v>0</v>
      </c>
      <c r="BN57" s="200" t="n">
        <f aca="false">BN22+BN54</f>
        <v>0</v>
      </c>
      <c r="BO57" s="200" t="n">
        <f aca="false">BO22+BO54</f>
        <v>0</v>
      </c>
      <c r="BP57" s="200" t="n">
        <f aca="false">BP22+BP54</f>
        <v>0</v>
      </c>
      <c r="BQ57" s="200" t="n">
        <f aca="false">BQ22+BQ54</f>
        <v>0</v>
      </c>
      <c r="BR57" s="200" t="n">
        <f aca="false">BR22+BR54</f>
        <v>0</v>
      </c>
      <c r="BS57" s="200" t="n">
        <f aca="false">BS22+BS54</f>
        <v>0</v>
      </c>
      <c r="BT57" s="200" t="n">
        <f aca="false">BT22+BT54</f>
        <v>0</v>
      </c>
      <c r="BU57" s="200" t="n">
        <f aca="false">BU22+BU54</f>
        <v>0</v>
      </c>
      <c r="BV57" s="200" t="n">
        <f aca="false">BV22+BV54</f>
        <v>0</v>
      </c>
      <c r="BW57" s="200" t="n">
        <f aca="false">BW22+BW54</f>
        <v>0</v>
      </c>
      <c r="BX57" s="200" t="n">
        <f aca="false">BX22+BX54</f>
        <v>0</v>
      </c>
      <c r="BY57" s="200" t="n">
        <f aca="false">BY22+BY54</f>
        <v>0</v>
      </c>
      <c r="BZ57" s="200" t="n">
        <f aca="false">BZ22+BZ54</f>
        <v>0</v>
      </c>
      <c r="CA57" s="200" t="n">
        <f aca="false">CA22+CA54</f>
        <v>0</v>
      </c>
      <c r="CB57" s="200" t="n">
        <f aca="false">CB22+CB54</f>
        <v>0</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603</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594018.429666667</v>
      </c>
      <c r="M59" s="196" t="n">
        <f aca="false">-(Model!K236+Model!K292)</f>
        <v>584018.429666667</v>
      </c>
      <c r="N59" s="196" t="n">
        <f aca="false">-(Model!L236+Model!L292)</f>
        <v>584018.429666667</v>
      </c>
      <c r="O59" s="196" t="n">
        <f aca="false">-(Model!M236+Model!M292)</f>
        <v>676974.679666667</v>
      </c>
      <c r="P59" s="196" t="n">
        <f aca="false">-(Model!N236+Model!N292)</f>
        <v>628330.583</v>
      </c>
      <c r="Q59" s="196" t="n">
        <f aca="false">-(Model!O236+Model!O292)</f>
        <v>713004.333</v>
      </c>
      <c r="R59" s="196" t="n">
        <f aca="false">-(Model!P236+Model!P292)</f>
        <v>672129.333</v>
      </c>
      <c r="S59" s="196" t="n">
        <f aca="false">-(Model!Q236+Model!Q292)</f>
        <v>712065.95966</v>
      </c>
      <c r="T59" s="196" t="n">
        <f aca="false">-(Model!R236+Model!R292)</f>
        <v>761971.78466</v>
      </c>
      <c r="U59" s="196" t="n">
        <f aca="false">-(Model!S236+Model!S292)</f>
        <v>777846.05966</v>
      </c>
      <c r="V59" s="196" t="n">
        <f aca="false">-(Model!T236+Model!T292)</f>
        <v>758721.05966</v>
      </c>
      <c r="W59" s="196" t="n">
        <f aca="false">-(Model!U236+Model!U292)</f>
        <v>758721.05966</v>
      </c>
      <c r="X59" s="196" t="n">
        <f aca="false">-(Model!V236+Model!V292)</f>
        <v>758721.05966</v>
      </c>
      <c r="Y59" s="196" t="n">
        <f aca="false">-(Model!W236+Model!W292)</f>
        <v>758721.05966</v>
      </c>
      <c r="Z59" s="196" t="n">
        <f aca="false">-(Model!X236+Model!X292)</f>
        <v>758721.05966</v>
      </c>
      <c r="AA59" s="196" t="n">
        <f aca="false">-(Model!Y236+Model!Y292)</f>
        <v>758721.05966</v>
      </c>
      <c r="AB59" s="196" t="n">
        <f aca="false">-(Model!Z236+Model!Z292)</f>
        <v>758721.05966</v>
      </c>
      <c r="AC59" s="196" t="n">
        <f aca="false">-(Model!AA236+Model!AA292)</f>
        <v>758721.05966</v>
      </c>
      <c r="AD59" s="196" t="n">
        <f aca="false">-(Model!AB236+Model!AB292)</f>
        <v>758721.05966</v>
      </c>
      <c r="AE59" s="196" t="n">
        <f aca="false">-(Model!AC236+Model!AC292)</f>
        <v>769240.046122431</v>
      </c>
      <c r="AF59" s="196" t="n">
        <f aca="false">-(Model!AD236+Model!AD292)</f>
        <v>747794.348660892</v>
      </c>
      <c r="AG59" s="196" t="n">
        <f aca="false">-(Model!AE236+Model!AE292)</f>
        <v>725486.6563532</v>
      </c>
      <c r="AH59" s="196" t="n">
        <f aca="false">-(Model!AF236+Model!AF292)</f>
        <v>725486.6563532</v>
      </c>
      <c r="AI59" s="196" t="n">
        <f aca="false">-(Model!AG236+Model!AG292)</f>
        <v>725486.6563532</v>
      </c>
      <c r="AJ59" s="196" t="n">
        <f aca="false">-(Model!AH236+Model!AH292)</f>
        <v>722354.812660892</v>
      </c>
      <c r="AK59" s="196" t="n">
        <f aca="false">-(Model!AI236+Model!AI292)</f>
        <v>706523.796199354</v>
      </c>
      <c r="AL59" s="196" t="n">
        <f aca="false">-(Model!AJ236+Model!AJ292)</f>
        <v>692677.6423532</v>
      </c>
      <c r="AM59" s="196" t="n">
        <f aca="false">-(Model!AK236+Model!AK292)</f>
        <v>692677.6423532</v>
      </c>
      <c r="AN59" s="196" t="n">
        <f aca="false">-(Model!AL236+Model!AL292)</f>
        <v>691111.720507046</v>
      </c>
      <c r="AO59" s="196" t="n">
        <f aca="false">-(Model!AM236+Model!AM292)</f>
        <v>676247.434083969</v>
      </c>
      <c r="AP59" s="196" t="n">
        <f aca="false">-(Model!AN236+Model!AN292)</f>
        <v>638884.821160892</v>
      </c>
      <c r="AQ59" s="196" t="n">
        <f aca="false">-(Model!AO236+Model!AO292)</f>
        <v>632982.400335649</v>
      </c>
      <c r="AR59" s="196" t="n">
        <f aca="false">-(Model!AP236+Model!AP292)</f>
        <v>613367.015720264</v>
      </c>
      <c r="AS59" s="196" t="n">
        <f aca="false">-(Model!AQ236+Model!AQ292)</f>
        <v>610679.020085649</v>
      </c>
      <c r="AT59" s="196" t="n">
        <f aca="false">-(Model!AR236+Model!AR292)</f>
        <v>601063.635470264</v>
      </c>
      <c r="AU59" s="196" t="n">
        <f aca="false">-(Model!AS236+Model!AS292)</f>
        <v>601063.635470264</v>
      </c>
      <c r="AV59" s="196" t="n">
        <f aca="false">-(Model!AT236+Model!AT292)</f>
        <v>682746.635470264</v>
      </c>
      <c r="AW59" s="196" t="n">
        <f aca="false">-(Model!AU236+Model!AU292)</f>
        <v>601063.635470264</v>
      </c>
      <c r="AX59" s="196" t="n">
        <f aca="false">-(Model!AV236+Model!AV292)</f>
        <v>601063.635470264</v>
      </c>
      <c r="AY59" s="196" t="n">
        <f aca="false">-(Model!AW236+Model!AW292)</f>
        <v>682745.635470264</v>
      </c>
      <c r="AZ59" s="196" t="n">
        <f aca="false">-(Model!AX236+Model!AX292)</f>
        <v>601063.635470264</v>
      </c>
      <c r="BA59" s="196" t="n">
        <f aca="false">-(Model!AY236+Model!AY292)</f>
        <v>601063.635470264</v>
      </c>
      <c r="BB59" s="196" t="n">
        <f aca="false">-(Model!AZ236+Model!AZ292)</f>
        <v>682745.635470264</v>
      </c>
      <c r="BC59" s="196" t="n">
        <f aca="false">-(Model!BA236+Model!BA292)</f>
        <v>612442.148179669</v>
      </c>
      <c r="BD59" s="196" t="n">
        <f aca="false">-(Model!BB236+Model!BB292)</f>
        <v>612442.148179669</v>
      </c>
      <c r="BE59" s="196" t="n">
        <f aca="false">-(Model!BC236+Model!BC292)</f>
        <v>1545963.14817967</v>
      </c>
      <c r="BF59" s="196" t="n">
        <f aca="false">-(Model!BD236+Model!BD292)</f>
        <v>612442.148179669</v>
      </c>
      <c r="BG59" s="196" t="n">
        <f aca="false">-(Model!BE236+Model!BE292)</f>
        <v>612442.148179669</v>
      </c>
      <c r="BH59" s="196" t="n">
        <f aca="false">-(Model!BF236+Model!BF292)</f>
        <v>743320.148179669</v>
      </c>
      <c r="BI59" s="196" t="n">
        <f aca="false">-(Model!BG236+Model!BG292)</f>
        <v>612442.148179669</v>
      </c>
      <c r="BJ59" s="196" t="n">
        <f aca="false">-(Model!BH236+Model!BH292)</f>
        <v>612442.148179669</v>
      </c>
      <c r="BK59" s="196" t="n">
        <f aca="false">-(Model!BI236+Model!BI292)</f>
        <v>743318.148179669</v>
      </c>
      <c r="BL59" s="196" t="n">
        <f aca="false">-(Model!BJ236+Model!BJ292)</f>
        <v>612442.148179669</v>
      </c>
      <c r="BM59" s="196" t="n">
        <f aca="false">-(Model!BK236+Model!BK292)</f>
        <v>612442.148179669</v>
      </c>
      <c r="BN59" s="196" t="n">
        <f aca="false">-(Model!BL236+Model!BL292)</f>
        <v>743318.148179669</v>
      </c>
      <c r="BO59" s="196" t="n">
        <f aca="false">-(Model!BM236+Model!BM292)</f>
        <v>624048.231143263</v>
      </c>
      <c r="BP59" s="196" t="n">
        <f aca="false">-(Model!BN236+Model!BN292)</f>
        <v>624048.231143263</v>
      </c>
      <c r="BQ59" s="196" t="n">
        <f aca="false">-(Model!BO236+Model!BO292)</f>
        <v>754924.231143263</v>
      </c>
      <c r="BR59" s="196" t="n">
        <f aca="false">-(Model!BP236+Model!BP292)</f>
        <v>624048.231143263</v>
      </c>
      <c r="BS59" s="196" t="n">
        <f aca="false">-(Model!BQ236+Model!BQ292)</f>
        <v>624048.231143263</v>
      </c>
      <c r="BT59" s="196" t="n">
        <f aca="false">-(Model!BR236+Model!BR292)</f>
        <v>713203.881143263</v>
      </c>
      <c r="BU59" s="196" t="n">
        <f aca="false">-(Model!BS236+Model!BS292)</f>
        <v>624048.231143263</v>
      </c>
      <c r="BV59" s="196" t="n">
        <f aca="false">-(Model!BT236+Model!BT292)</f>
        <v>624048.231143263</v>
      </c>
      <c r="BW59" s="196" t="n">
        <f aca="false">-(Model!BU236+Model!BU292)</f>
        <v>698688.231143263</v>
      </c>
      <c r="BX59" s="196" t="n">
        <f aca="false">-(Model!BV236+Model!BV292)</f>
        <v>624048.231143263</v>
      </c>
      <c r="BY59" s="196" t="n">
        <f aca="false">-(Model!BW236+Model!BW292)</f>
        <v>624048.231143263</v>
      </c>
      <c r="BZ59" s="196" t="n">
        <f aca="false">-(Model!BX236+Model!BX292)</f>
        <v>698688.231143263</v>
      </c>
      <c r="CA59" s="196" t="n">
        <f aca="false">-(Model!BY236+Model!BY292)</f>
        <v>635886.435766128</v>
      </c>
      <c r="CB59" s="196" t="n">
        <f aca="false">-(Model!BZ236+Model!BZ292)</f>
        <v>635886.435766128</v>
      </c>
      <c r="CC59" s="196" t="n">
        <f aca="false">-(Model!CA236+Model!CA292)</f>
        <v>783682.435766128</v>
      </c>
      <c r="CD59" s="196" t="n">
        <f aca="false">-(Model!CB236+Model!CB292)</f>
        <v>635886.435766128</v>
      </c>
      <c r="CE59" s="196" t="n">
        <f aca="false">-(Model!CC236+Model!CC292)</f>
        <v>635886.435766128</v>
      </c>
      <c r="CF59" s="196" t="n">
        <f aca="false">-(Model!CD236+Model!CD292)</f>
        <v>790404.435766128</v>
      </c>
      <c r="CG59" s="196" t="n">
        <f aca="false">-(Model!CE236+Model!CE292)</f>
        <v>635886.435766128</v>
      </c>
      <c r="CH59" s="196" t="n">
        <f aca="false">-(Model!CF236+Model!CF292)</f>
        <v>635886.435766128</v>
      </c>
      <c r="CI59" s="196" t="n">
        <f aca="false">-(Model!CG236+Model!CG292)</f>
        <v>790403.435766128</v>
      </c>
      <c r="CJ59" s="196" t="n">
        <f aca="false">-(Model!CH236+Model!CH292)</f>
        <v>635886.435766128</v>
      </c>
      <c r="CK59" s="196" t="n">
        <f aca="false">-(Model!CI236+Model!CI292)</f>
        <v>635886.435766128</v>
      </c>
      <c r="CL59" s="196" t="n">
        <f aca="false">-(Model!CJ236+Model!CJ292)</f>
        <v>783795.409159649</v>
      </c>
      <c r="CM59" s="196" t="n">
        <f aca="false">-(Model!CK236+Model!CK292)</f>
        <v>721116.404481451</v>
      </c>
      <c r="CN59" s="196" t="n">
        <f aca="false">-(Model!CL236+Model!CL292)</f>
        <v>721116.404481451</v>
      </c>
      <c r="CO59" s="196" t="n">
        <f aca="false">-(Model!CM236+Model!CM292)</f>
        <v>721116.404481451</v>
      </c>
      <c r="CP59" s="196" t="n">
        <f aca="false">-(Model!CN236+Model!CN292)</f>
        <v>721116.404481451</v>
      </c>
      <c r="CQ59" s="196" t="n">
        <f aca="false">-(Model!CO236+Model!CO292)</f>
        <v>721116.404481451</v>
      </c>
      <c r="CR59" s="196" t="n">
        <f aca="false">-(Model!CP236+Model!CP292)</f>
        <v>721116.404481451</v>
      </c>
      <c r="CS59" s="196" t="n">
        <f aca="false">-(Model!CQ236+Model!CQ292)</f>
        <v>721116.404481451</v>
      </c>
      <c r="CT59" s="196" t="n">
        <f aca="false">-(Model!CR236+Model!CR292)</f>
        <v>721116.404481451</v>
      </c>
      <c r="CU59" s="196" t="n">
        <f aca="false">-(Model!CS236+Model!CS292)</f>
        <v>721116.404481451</v>
      </c>
      <c r="CV59" s="196" t="n">
        <f aca="false">-(Model!CT236+Model!CT292)</f>
        <v>674852.645441313</v>
      </c>
      <c r="CW59" s="196" t="n">
        <f aca="false">-(Model!CU236+Model!CU292)</f>
        <v>674852.645441313</v>
      </c>
      <c r="CX59" s="196" t="n">
        <f aca="false">-(Model!CV236+Model!CV292)</f>
        <v>674852.645441313</v>
      </c>
      <c r="CY59" s="196" t="n">
        <f aca="false">-(Model!CW236+Model!CW292)</f>
        <v>630535.687286546</v>
      </c>
      <c r="CZ59" s="196" t="n">
        <f aca="false">-(Model!CX236+Model!CX292)</f>
        <v>613088.838350139</v>
      </c>
      <c r="DA59" s="196" t="n">
        <f aca="false">-(Model!CY236+Model!CY292)</f>
        <v>613088.838350139</v>
      </c>
      <c r="DB59" s="196" t="n">
        <f aca="false">-(Model!CZ236+Model!CZ292)</f>
        <v>613088.838350139</v>
      </c>
    </row>
    <row r="60" customFormat="false" ht="15" hidden="false" customHeight="true" outlineLevel="0" collapsed="false">
      <c r="A60" s="94" t="s">
        <v>604</v>
      </c>
      <c r="G60" s="196" t="n">
        <f aca="false">Model!E199</f>
        <v>447358.25</v>
      </c>
      <c r="H60" s="196" t="n">
        <f aca="false">Model!F199</f>
        <v>465536.7</v>
      </c>
      <c r="I60" s="196" t="n">
        <f aca="false">Model!G199</f>
        <v>641351.13</v>
      </c>
      <c r="J60" s="196" t="n">
        <f aca="false">Model!H199</f>
        <v>1766649.51</v>
      </c>
      <c r="K60" s="196" t="n">
        <f aca="false">Model!I199</f>
        <v>-132141.505125</v>
      </c>
      <c r="L60" s="196" t="n">
        <f aca="false">Model!J199</f>
        <v>702607.028396964</v>
      </c>
      <c r="M60" s="196" t="n">
        <f aca="false">Model!K199</f>
        <v>770495.389718767</v>
      </c>
      <c r="N60" s="196" t="n">
        <f aca="false">Model!L199</f>
        <v>609302.628116041</v>
      </c>
      <c r="O60" s="196" t="n">
        <f aca="false">Model!M199</f>
        <v>279259.311435549</v>
      </c>
      <c r="P60" s="196" t="n">
        <f aca="false">Model!N199</f>
        <v>906473.093942704</v>
      </c>
      <c r="Q60" s="196" t="n">
        <f aca="false">Model!O199</f>
        <v>817258.570423652</v>
      </c>
      <c r="R60" s="196" t="n">
        <f aca="false">Model!P199</f>
        <v>838082.060423654</v>
      </c>
      <c r="S60" s="196" t="n">
        <f aca="false">Model!Q199</f>
        <v>571021.255582368</v>
      </c>
      <c r="T60" s="196" t="n">
        <f aca="false">Model!R199</f>
        <v>712629.063746591</v>
      </c>
      <c r="U60" s="196" t="n">
        <f aca="false">Model!S199</f>
        <v>273246.202939276</v>
      </c>
      <c r="V60" s="196" t="n">
        <f aca="false">Model!T199</f>
        <v>1152427.4636043</v>
      </c>
      <c r="W60" s="196" t="n">
        <f aca="false">Model!U199</f>
        <v>1046698.1736043</v>
      </c>
      <c r="X60" s="196" t="n">
        <f aca="false">Model!V199</f>
        <v>958878.372322348</v>
      </c>
      <c r="Y60" s="196" t="n">
        <f aca="false">Model!W199</f>
        <v>938796.902146981</v>
      </c>
      <c r="Z60" s="196" t="n">
        <f aca="false">Model!X199</f>
        <v>1356305.71800905</v>
      </c>
      <c r="AA60" s="196" t="n">
        <f aca="false">Model!Y199</f>
        <v>1194544.89800905</v>
      </c>
      <c r="AB60" s="196" t="n">
        <f aca="false">Model!Z199</f>
        <v>1320891.07800905</v>
      </c>
      <c r="AC60" s="196" t="n">
        <f aca="false">Model!AA199</f>
        <v>1350129.73137019</v>
      </c>
      <c r="AD60" s="196" t="n">
        <f aca="false">Model!AB199</f>
        <v>1163798.00926969</v>
      </c>
      <c r="AE60" s="196" t="n">
        <f aca="false">Model!AC199</f>
        <v>935072.540026132</v>
      </c>
      <c r="AF60" s="196" t="n">
        <f aca="false">Model!AD199</f>
        <v>958022.450026133</v>
      </c>
      <c r="AG60" s="196" t="n">
        <f aca="false">Model!AE199</f>
        <v>373740.757939015</v>
      </c>
      <c r="AH60" s="196" t="n">
        <f aca="false">Model!AF199</f>
        <v>1265546.30761333</v>
      </c>
      <c r="AI60" s="196" t="n">
        <f aca="false">Model!AG199</f>
        <v>1201055.93065698</v>
      </c>
      <c r="AJ60" s="196" t="n">
        <f aca="false">Model!AH199</f>
        <v>1177316.96533183</v>
      </c>
      <c r="AK60" s="196" t="n">
        <f aca="false">Model!AI199</f>
        <v>938966.137967398</v>
      </c>
      <c r="AL60" s="196" t="n">
        <f aca="false">Model!AJ199</f>
        <v>1013788.1869309</v>
      </c>
      <c r="AM60" s="196" t="n">
        <f aca="false">Model!AK199</f>
        <v>620551.869330513</v>
      </c>
      <c r="AN60" s="196" t="n">
        <f aca="false">Model!AL199</f>
        <v>634861.939330514</v>
      </c>
      <c r="AO60" s="196" t="n">
        <f aca="false">Model!AM199</f>
        <v>646743.719330514</v>
      </c>
      <c r="AP60" s="196" t="n">
        <f aca="false">Model!AN199</f>
        <v>623856.931435263</v>
      </c>
      <c r="AQ60" s="196" t="n">
        <f aca="false">Model!AO199</f>
        <v>495241.749525764</v>
      </c>
      <c r="AR60" s="196" t="n">
        <f aca="false">Model!AP199</f>
        <v>330233.844925763</v>
      </c>
      <c r="AS60" s="196" t="n">
        <f aca="false">Model!AQ199</f>
        <v>330233.844925763</v>
      </c>
      <c r="AT60" s="196" t="n">
        <f aca="false">Model!AR199</f>
        <v>330233.844925763</v>
      </c>
      <c r="AU60" s="196" t="n">
        <f aca="false">Model!AS199</f>
        <v>330233.844925763</v>
      </c>
      <c r="AV60" s="196" t="n">
        <f aca="false">Model!AT199</f>
        <v>330233.844925763</v>
      </c>
      <c r="AW60" s="196" t="n">
        <f aca="false">Model!AU199</f>
        <v>330233.844925764</v>
      </c>
      <c r="AX60" s="196" t="n">
        <f aca="false">Model!AV199</f>
        <v>602719.430279263</v>
      </c>
      <c r="AY60" s="196" t="n">
        <f aca="false">Model!AW199</f>
        <v>157659.640868547</v>
      </c>
      <c r="AZ60" s="196" t="n">
        <f aca="false">Model!AX199</f>
        <v>157659.640868547</v>
      </c>
      <c r="BA60" s="196" t="n">
        <f aca="false">Model!AY199</f>
        <v>157659.640868547</v>
      </c>
      <c r="BB60" s="196" t="n">
        <f aca="false">Model!AZ199</f>
        <v>157659.640868547</v>
      </c>
      <c r="BC60" s="196" t="n">
        <f aca="false">Model!BA199</f>
        <v>157659.640868547</v>
      </c>
      <c r="BD60" s="196" t="n">
        <f aca="false">Model!BB199</f>
        <v>157659.640868547</v>
      </c>
      <c r="BE60" s="196" t="n">
        <f aca="false">Model!BC199</f>
        <v>157659.640868547</v>
      </c>
      <c r="BF60" s="196" t="n">
        <f aca="false">Model!BD199</f>
        <v>157659.640868547</v>
      </c>
      <c r="BG60" s="196" t="n">
        <f aca="false">Model!BE199</f>
        <v>157659.640868547</v>
      </c>
      <c r="BH60" s="196" t="n">
        <f aca="false">Model!BF199</f>
        <v>157659.640868547</v>
      </c>
      <c r="BI60" s="196" t="n">
        <f aca="false">Model!BG199</f>
        <v>157659.640868547</v>
      </c>
      <c r="BJ60" s="196" t="n">
        <f aca="false">Model!BH199</f>
        <v>406595.915924147</v>
      </c>
      <c r="BK60" s="196" t="n">
        <f aca="false">Model!BI199</f>
        <v>0</v>
      </c>
      <c r="BL60" s="196" t="n">
        <f aca="false">Model!BJ199</f>
        <v>0</v>
      </c>
      <c r="BM60" s="196" t="n">
        <f aca="false">Model!BK199</f>
        <v>0</v>
      </c>
      <c r="BN60" s="196" t="n">
        <f aca="false">Model!BL199</f>
        <v>0</v>
      </c>
      <c r="BO60" s="196" t="n">
        <f aca="false">Model!BM199</f>
        <v>0</v>
      </c>
      <c r="BP60" s="196" t="n">
        <f aca="false">Model!BN199</f>
        <v>0</v>
      </c>
      <c r="BQ60" s="196" t="n">
        <f aca="false">Model!BO199</f>
        <v>0</v>
      </c>
      <c r="BR60" s="196" t="n">
        <f aca="false">Model!BP199</f>
        <v>0</v>
      </c>
      <c r="BS60" s="196" t="n">
        <f aca="false">Model!BQ199</f>
        <v>0</v>
      </c>
      <c r="BT60" s="196" t="n">
        <f aca="false">Model!BR199</f>
        <v>0</v>
      </c>
      <c r="BU60" s="196" t="n">
        <f aca="false">Model!BS199</f>
        <v>0</v>
      </c>
      <c r="BV60" s="196" t="n">
        <f aca="false">Model!BT199</f>
        <v>0</v>
      </c>
      <c r="BW60" s="196" t="n">
        <f aca="false">Model!BU199</f>
        <v>0</v>
      </c>
      <c r="BX60" s="196" t="n">
        <f aca="false">Model!BV199</f>
        <v>0</v>
      </c>
      <c r="BY60" s="196" t="n">
        <f aca="false">Model!BW199</f>
        <v>0</v>
      </c>
      <c r="BZ60" s="196" t="n">
        <f aca="false">Model!BX199</f>
        <v>0</v>
      </c>
      <c r="CA60" s="196" t="n">
        <f aca="false">Model!BY199</f>
        <v>0</v>
      </c>
      <c r="CB60" s="196" t="n">
        <f aca="false">Model!BZ199</f>
        <v>0</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605</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-0.0217885116394688</v>
      </c>
      <c r="L61" s="201" t="n">
        <f aca="false">IFERROR(L60/L56,0)</f>
        <v>0.120264568352806</v>
      </c>
      <c r="M61" s="201" t="n">
        <f aca="false">IFERROR(M60/M56,0)</f>
        <v>0.126835733721255</v>
      </c>
      <c r="N61" s="201" t="n">
        <f aca="false">IFERROR(N60/N56,0)</f>
        <v>0.116653336706502</v>
      </c>
      <c r="O61" s="201" t="n">
        <f aca="false">IFERROR(O60/O56,0)</f>
        <v>0.0498501391503842</v>
      </c>
      <c r="P61" s="201" t="n">
        <f aca="false">IFERROR(P60/P56,0)</f>
        <v>0.13829623505944</v>
      </c>
      <c r="Q61" s="201" t="n">
        <f aca="false">IFERROR(Q60/Q56,0)</f>
        <v>0.124364883706065</v>
      </c>
      <c r="R61" s="201" t="n">
        <f aca="false">IFERROR(R60/R56,0)</f>
        <v>0.115117806320844</v>
      </c>
      <c r="S61" s="201" t="n">
        <f aca="false">IFERROR(S60/S56,0)</f>
        <v>0.0737154900789745</v>
      </c>
      <c r="T61" s="201" t="n">
        <f aca="false">IFERROR(T60/T56,0)</f>
        <v>0.0879527312309201</v>
      </c>
      <c r="U61" s="201" t="n">
        <f aca="false">IFERROR(U60/U56,0)</f>
        <v>0.0292182190409458</v>
      </c>
      <c r="V61" s="201" t="n">
        <f aca="false">IFERROR(V60/V56,0)</f>
        <v>0.107703649337544</v>
      </c>
      <c r="W61" s="201" t="n">
        <f aca="false">IFERROR(W60/W56,0)</f>
        <v>0.101897001289942</v>
      </c>
      <c r="X61" s="201" t="n">
        <f aca="false">IFERROR(X60/X56,0)</f>
        <v>0.0834809674471457</v>
      </c>
      <c r="Y61" s="201" t="n">
        <f aca="false">IFERROR(Y60/Y56,0)</f>
        <v>0.0876042217699939</v>
      </c>
      <c r="Z61" s="201" t="n">
        <f aca="false">IFERROR(Z60/Z56,0)</f>
        <v>0.10952640723269</v>
      </c>
      <c r="AA61" s="201" t="n">
        <f aca="false">IFERROR(AA60/AA56,0)</f>
        <v>0.106496460304736</v>
      </c>
      <c r="AB61" s="201" t="n">
        <f aca="false">IFERROR(AB60/AB56,0)</f>
        <v>0.107754516937712</v>
      </c>
      <c r="AC61" s="201" t="n">
        <f aca="false">IFERROR(AC60/AC56,0)</f>
        <v>0.115456924480189</v>
      </c>
      <c r="AD61" s="201" t="n">
        <f aca="false">IFERROR(AD60/AD56,0)</f>
        <v>0.11156311294156</v>
      </c>
      <c r="AE61" s="201" t="n">
        <f aca="false">IFERROR(AE60/AE56,0)</f>
        <v>0.100314581658442</v>
      </c>
      <c r="AF61" s="201" t="n">
        <f aca="false">IFERROR(AF60/AF56,0)</f>
        <v>0.103966734251618</v>
      </c>
      <c r="AG61" s="201" t="n">
        <f aca="false">IFERROR(AG60/AG56,0)</f>
        <v>0.0396773297787193</v>
      </c>
      <c r="AH61" s="201" t="n">
        <f aca="false">IFERROR(AH60/AH56,0)</f>
        <v>0.135744475214054</v>
      </c>
      <c r="AI61" s="201" t="n">
        <f aca="false">IFERROR(AI60/AI56,0)</f>
        <v>0.126796872854652</v>
      </c>
      <c r="AJ61" s="201" t="n">
        <f aca="false">IFERROR(AJ60/AJ56,0)</f>
        <v>0.13442331391136</v>
      </c>
      <c r="AK61" s="201" t="n">
        <f aca="false">IFERROR(AK60/AK56,0)</f>
        <v>0.117762225758717</v>
      </c>
      <c r="AL61" s="201" t="n">
        <f aca="false">IFERROR(AL60/AL56,0)</f>
        <v>0.150458392406324</v>
      </c>
      <c r="AM61" s="201" t="n">
        <f aca="false">IFERROR(AM60/AM56,0)</f>
        <v>0.109539869972421</v>
      </c>
      <c r="AN61" s="201" t="n">
        <f aca="false">IFERROR(AN60/AN56,0)</f>
        <v>0.112910254095564</v>
      </c>
      <c r="AO61" s="201" t="n">
        <f aca="false">IFERROR(AO60/AO56,0)</f>
        <v>0.116726898820125</v>
      </c>
      <c r="AP61" s="201" t="n">
        <f aca="false">IFERROR(AP60/AP56,0)</f>
        <v>0.139478945386671</v>
      </c>
      <c r="AQ61" s="201" t="n">
        <f aca="false">IFERROR(AQ60/AQ56,0)</f>
        <v>0.13542798747047</v>
      </c>
      <c r="AR61" s="201" t="n">
        <f aca="false">IFERROR(AR60/AR56,0)</f>
        <v>0.101839244802104</v>
      </c>
      <c r="AS61" s="201" t="n">
        <f aca="false">IFERROR(AS60/AS56,0)</f>
        <v>0.104098801368491</v>
      </c>
      <c r="AT61" s="201" t="n">
        <f aca="false">IFERROR(AT60/AT56,0)</f>
        <v>0.107103084862829</v>
      </c>
      <c r="AU61" s="201" t="n">
        <f aca="false">IFERROR(AU60/AU56,0)</f>
        <v>0.110920971493732</v>
      </c>
      <c r="AV61" s="201" t="n">
        <f aca="false">IFERROR(AV60/AV56,0)</f>
        <v>0.115643774791375</v>
      </c>
      <c r="AW61" s="201" t="n">
        <f aca="false">IFERROR(AW60/AW56,0)</f>
        <v>0.121390605351527</v>
      </c>
      <c r="AX61" s="201" t="n">
        <f aca="false">IFERROR(AX60/AX56,0)</f>
        <v>0.234175432175548</v>
      </c>
      <c r="AY61" s="201" t="n">
        <f aca="false">IFERROR(AY60/AY56,0)</f>
        <v>0.0880559340955461</v>
      </c>
      <c r="AZ61" s="201" t="n">
        <f aca="false">IFERROR(AZ60/AZ56,0)</f>
        <v>0.0916459930927827</v>
      </c>
      <c r="BA61" s="201" t="n">
        <f aca="false">IFERROR(BA60/BA56,0)</f>
        <v>0.0963403837730382</v>
      </c>
      <c r="BB61" s="201" t="n">
        <f aca="false">IFERROR(BB60/BB56,0)</f>
        <v>0.102293639933099</v>
      </c>
      <c r="BC61" s="201" t="n">
        <f aca="false">IFERROR(BC60/BC56,0)</f>
        <v>0.109702511126458</v>
      </c>
      <c r="BD61" s="201" t="n">
        <f aca="false">IFERROR(BD60/BD56,0)</f>
        <v>0.118832419009621</v>
      </c>
      <c r="BE61" s="201" t="n">
        <f aca="false">IFERROR(BE60/BE56,0)</f>
        <v>0.130013356978026</v>
      </c>
      <c r="BF61" s="201" t="n">
        <f aca="false">IFERROR(BF60/BF56,0)</f>
        <v>0.143673701400666</v>
      </c>
      <c r="BG61" s="201" t="n">
        <f aca="false">IFERROR(BG60/BG56,0)</f>
        <v>0.160366031492309</v>
      </c>
      <c r="BH61" s="201" t="n">
        <f aca="false">IFERROR(BH60/BH56,0)</f>
        <v>0.180792984619276</v>
      </c>
      <c r="BI61" s="201" t="n">
        <f aca="false">IFERROR(BI60/BI56,0)</f>
        <v>0.205874374482486</v>
      </c>
      <c r="BJ61" s="201" t="n">
        <f aca="false">IFERROR(BJ60/BJ56,0)</f>
        <v>0.610641057491253</v>
      </c>
      <c r="BK61" s="201" t="n">
        <f aca="false">IFERROR(BK60/BK56,0)</f>
        <v>0</v>
      </c>
      <c r="BL61" s="201" t="n">
        <f aca="false">IFERROR(BL60/BL56,0)</f>
        <v>0</v>
      </c>
      <c r="BM61" s="201" t="n">
        <f aca="false">IFERROR(BM60/BM56,0)</f>
        <v>0</v>
      </c>
      <c r="BN61" s="201" t="n">
        <f aca="false">IFERROR(BN60/BN56,0)</f>
        <v>0</v>
      </c>
      <c r="BO61" s="201" t="n">
        <f aca="false">IFERROR(BO60/BO56,0)</f>
        <v>0</v>
      </c>
      <c r="BP61" s="201" t="n">
        <f aca="false">IFERROR(BP60/BP56,0)</f>
        <v>0</v>
      </c>
      <c r="BQ61" s="201" t="n">
        <f aca="false">IFERROR(BQ60/BQ56,0)</f>
        <v>0</v>
      </c>
      <c r="BR61" s="201" t="n">
        <f aca="false">IFERROR(BR60/BR56,0)</f>
        <v>0</v>
      </c>
      <c r="BS61" s="201" t="n">
        <f aca="false">IFERROR(BS60/BS56,0)</f>
        <v>0</v>
      </c>
      <c r="BT61" s="201" t="n">
        <f aca="false">IFERROR(BT60/BT56,0)</f>
        <v>0</v>
      </c>
      <c r="BU61" s="201" t="n">
        <f aca="false">IFERROR(BU60/BU56,0)</f>
        <v>0</v>
      </c>
      <c r="BV61" s="201" t="n">
        <f aca="false">IFERROR(BV60/BV56,0)</f>
        <v>0</v>
      </c>
      <c r="BW61" s="201" t="n">
        <f aca="false">IFERROR(BW60/BW56,0)</f>
        <v>0</v>
      </c>
      <c r="BX61" s="201" t="n">
        <f aca="false">IFERROR(BX60/BX56,0)</f>
        <v>0</v>
      </c>
      <c r="BY61" s="201" t="n">
        <f aca="false">IFERROR(BY60/BY56,0)</f>
        <v>0</v>
      </c>
      <c r="BZ61" s="201" t="n">
        <f aca="false">IFERROR(BZ60/BZ56,0)</f>
        <v>0</v>
      </c>
      <c r="CA61" s="201" t="n">
        <f aca="false">IFERROR(CA60/CA56,0)</f>
        <v>0</v>
      </c>
      <c r="CB61" s="201" t="n">
        <f aca="false">IFERROR(CB60/CB56,0)</f>
        <v>0</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606</v>
      </c>
      <c r="G62" s="196" t="n">
        <f aca="false">IF(G61&gt;0,G59/G61,"n/m")</f>
        <v>2223019.11547314</v>
      </c>
      <c r="H62" s="196" t="n">
        <f aca="false">IF(H61&gt;0,H59/H61,"n/m")</f>
        <v>6525811.46863721</v>
      </c>
      <c r="I62" s="196" t="n">
        <f aca="false">IF(I61&gt;0,I59/I61,"n/m")</f>
        <v>4595428.88266674</v>
      </c>
      <c r="J62" s="196" t="n">
        <f aca="false">IF(J61&gt;0,J59/J61,"n/m")</f>
        <v>2060015.49232854</v>
      </c>
      <c r="K62" s="196" t="str">
        <f aca="false">IF(K61&gt;0,K59/K61,"n/m")</f>
        <v>n/m</v>
      </c>
      <c r="L62" s="196" t="n">
        <f aca="false">IF(L61&gt;0,L59/L61,"n/m")</f>
        <v>4939263.8064776</v>
      </c>
      <c r="M62" s="196" t="n">
        <f aca="false">IF(M61&gt;0,M59/M61,"n/m")</f>
        <v>4604525.96860561</v>
      </c>
      <c r="N62" s="196" t="n">
        <f aca="false">IF(N61&gt;0,N59/N61,"n/m")</f>
        <v>5006444.27459499</v>
      </c>
      <c r="O62" s="196" t="n">
        <f aca="false">IF(O61&gt;0,O59/O61,"n/m")</f>
        <v>13580196.3887086</v>
      </c>
      <c r="P62" s="196" t="n">
        <f aca="false">IF(P61&gt;0,P59/P61,"n/m")</f>
        <v>4543367.23432813</v>
      </c>
      <c r="Q62" s="196" t="n">
        <f aca="false">IF(Q61&gt;0,Q59/Q61,"n/m")</f>
        <v>5733164.47338286</v>
      </c>
      <c r="R62" s="196" t="n">
        <f aca="false">IF(R61&gt;0,R59/R61,"n/m")</f>
        <v>5838621.79519574</v>
      </c>
      <c r="S62" s="196" t="n">
        <f aca="false">IF(S61&gt;0,S59/S61,"n/m")</f>
        <v>9659651.70817061</v>
      </c>
      <c r="T62" s="196" t="n">
        <f aca="false">IF(T61&gt;0,T59/T61,"n/m")</f>
        <v>8663423.79589602</v>
      </c>
      <c r="U62" s="196" t="n">
        <f aca="false">IF(U61&gt;0,U59/U61,"n/m")</f>
        <v>26621953.1919431</v>
      </c>
      <c r="V62" s="196" t="n">
        <f aca="false">IF(V61&gt;0,V59/V61,"n/m")</f>
        <v>7044525.08644497</v>
      </c>
      <c r="W62" s="196" t="n">
        <f aca="false">IF(W61&gt;0,W59/W61,"n/m")</f>
        <v>7445960.62744872</v>
      </c>
      <c r="X62" s="196" t="n">
        <f aca="false">IF(X61&gt;0,X59/X61,"n/m")</f>
        <v>9088551.35322155</v>
      </c>
      <c r="Y62" s="196" t="n">
        <f aca="false">IF(Y61&gt;0,Y59/Y61,"n/m")</f>
        <v>8660781.91587653</v>
      </c>
      <c r="Z62" s="196" t="n">
        <f aca="false">IF(Z61&gt;0,Z59/Z61,"n/m")</f>
        <v>6927288.85051518</v>
      </c>
      <c r="AA62" s="196" t="n">
        <f aca="false">IF(AA61&gt;0,AA59/AA61,"n/m")</f>
        <v>7124378.1951902</v>
      </c>
      <c r="AB62" s="196" t="n">
        <f aca="false">IF(AB61&gt;0,AB59/AB61,"n/m")</f>
        <v>7041199.58236722</v>
      </c>
      <c r="AC62" s="196" t="n">
        <f aca="false">IF(AC61&gt;0,AC59/AC61,"n/m")</f>
        <v>6571464.31949337</v>
      </c>
      <c r="AD62" s="196" t="n">
        <f aca="false">IF(AD61&gt;0,AD59/AD61,"n/m")</f>
        <v>6800823.67419631</v>
      </c>
      <c r="AE62" s="196" t="n">
        <f aca="false">IF(AE61&gt;0,AE59/AE61,"n/m")</f>
        <v>7668277.46679534</v>
      </c>
      <c r="AF62" s="196" t="n">
        <f aca="false">IF(AF61&gt;0,AF59/AF61,"n/m")</f>
        <v>7192630.93184305</v>
      </c>
      <c r="AG62" s="196" t="n">
        <f aca="false">IF(AG61&gt;0,AG59/AG61,"n/m")</f>
        <v>18284664.3259323</v>
      </c>
      <c r="AH62" s="196" t="n">
        <f aca="false">IF(AH61&gt;0,AH59/AH61,"n/m")</f>
        <v>5344502.27318045</v>
      </c>
      <c r="AI62" s="196" t="n">
        <f aca="false">IF(AI61&gt;0,AI59/AI61,"n/m")</f>
        <v>5721644.70637087</v>
      </c>
      <c r="AJ62" s="196" t="n">
        <f aca="false">IF(AJ61&gt;0,AJ59/AJ61,"n/m")</f>
        <v>5373731.62171273</v>
      </c>
      <c r="AK62" s="196" t="n">
        <f aca="false">IF(AK61&gt;0,AK59/AK61,"n/m")</f>
        <v>5999579.16596236</v>
      </c>
      <c r="AL62" s="196" t="n">
        <f aca="false">IF(AL61&gt;0,AL59/AL61,"n/m")</f>
        <v>4603782.02421951</v>
      </c>
      <c r="AM62" s="196" t="n">
        <f aca="false">IF(AM61&gt;0,AM59/AM61,"n/m")</f>
        <v>6323520.76488309</v>
      </c>
      <c r="AN62" s="196" t="n">
        <f aca="false">IF(AN61&gt;0,AN59/AN61,"n/m")</f>
        <v>6120894.20968011</v>
      </c>
      <c r="AO62" s="196" t="n">
        <f aca="false">IF(AO61&gt;0,AO59/AO61,"n/m")</f>
        <v>5793415.57875241</v>
      </c>
      <c r="AP62" s="196" t="n">
        <f aca="false">IF(AP61&gt;0,AP59/AP61,"n/m")</f>
        <v>4580510.83903555</v>
      </c>
      <c r="AQ62" s="196" t="n">
        <f aca="false">IF(AQ61&gt;0,AQ59/AQ61,"n/m")</f>
        <v>4673940.83127515</v>
      </c>
      <c r="AR62" s="196" t="n">
        <f aca="false">IF(AR61&gt;0,AR59/AR61,"n/m")</f>
        <v>6022894.38528507</v>
      </c>
      <c r="AS62" s="196" t="n">
        <f aca="false">IF(AS61&gt;0,AS59/AS61,"n/m")</f>
        <v>5866340.55395082</v>
      </c>
      <c r="AT62" s="196" t="n">
        <f aca="false">IF(AT61&gt;0,AT59/AT61,"n/m")</f>
        <v>5612010.48728028</v>
      </c>
      <c r="AU62" s="196" t="n">
        <f aca="false">IF(AU61&gt;0,AU59/AU61,"n/m")</f>
        <v>5418845.75455806</v>
      </c>
      <c r="AV62" s="196" t="n">
        <f aca="false">IF(AV61&gt;0,AV59/AV61,"n/m")</f>
        <v>5903877.11488975</v>
      </c>
      <c r="AW62" s="196" t="n">
        <f aca="false">IF(AW61&gt;0,AW59/AW61,"n/m")</f>
        <v>4951483.96146211</v>
      </c>
      <c r="AX62" s="196" t="n">
        <f aca="false">IF(AX61&gt;0,AX59/AX61,"n/m")</f>
        <v>2566723.71600314</v>
      </c>
      <c r="AY62" s="196" t="n">
        <f aca="false">IF(AY61&gt;0,AY59/AY61,"n/m")</f>
        <v>7753544.86308036</v>
      </c>
      <c r="AZ62" s="196" t="n">
        <f aca="false">IF(AZ61&gt;0,AZ59/AZ61,"n/m")</f>
        <v>6558536.98766454</v>
      </c>
      <c r="BA62" s="196" t="n">
        <f aca="false">IF(BA61&gt;0,BA59/BA61,"n/m")</f>
        <v>6238958.28447466</v>
      </c>
      <c r="BB62" s="196" t="n">
        <f aca="false">IF(BB61&gt;0,BB59/BB61,"n/m")</f>
        <v>6674370.33149652</v>
      </c>
      <c r="BC62" s="196" t="n">
        <f aca="false">IF(BC61&gt;0,BC59/BC61,"n/m")</f>
        <v>5582754.14018268</v>
      </c>
      <c r="BD62" s="196" t="n">
        <f aca="false">IF(BD61&gt;0,BD59/BD61,"n/m")</f>
        <v>5153830.52271353</v>
      </c>
      <c r="BE62" s="196" t="n">
        <f aca="false">IF(BE61&gt;0,BE59/BE61,"n/m")</f>
        <v>11890802.4845551</v>
      </c>
      <c r="BF62" s="196" t="n">
        <f aca="false">IF(BF61&gt;0,BF59/BF61,"n/m")</f>
        <v>4262729.65900516</v>
      </c>
      <c r="BG62" s="196" t="n">
        <f aca="false">IF(BG61&gt;0,BG59/BG61,"n/m")</f>
        <v>3819026.65097153</v>
      </c>
      <c r="BH62" s="196" t="n">
        <f aca="false">IF(BH61&gt;0,BH59/BH61,"n/m")</f>
        <v>4111443.53717594</v>
      </c>
      <c r="BI62" s="196" t="n">
        <f aca="false">IF(BI61&gt;0,BI59/BI61,"n/m")</f>
        <v>2974834.28775043</v>
      </c>
      <c r="BJ62" s="196" t="n">
        <f aca="false">IF(BJ61&gt;0,BJ59/BJ61,"n/m")</f>
        <v>1002949.50800691</v>
      </c>
      <c r="BK62" s="196" t="str">
        <f aca="false">IF(BK61&gt;0,BK59/BK61,"n/m")</f>
        <v>n/m</v>
      </c>
      <c r="BL62" s="196" t="str">
        <f aca="false">IF(BL61&gt;0,BL59/BL61,"n/m")</f>
        <v>n/m</v>
      </c>
      <c r="BM62" s="196" t="str">
        <f aca="false">IF(BM61&gt;0,BM59/BM61,"n/m")</f>
        <v>n/m</v>
      </c>
      <c r="BN62" s="196" t="str">
        <f aca="false">IF(BN61&gt;0,BN59/BN61,"n/m")</f>
        <v>n/m</v>
      </c>
      <c r="BO62" s="196" t="str">
        <f aca="false">IF(BO61&gt;0,BO59/BO61,"n/m")</f>
        <v>n/m</v>
      </c>
      <c r="BP62" s="196" t="str">
        <f aca="false">IF(BP61&gt;0,BP59/BP61,"n/m")</f>
        <v>n/m</v>
      </c>
      <c r="BQ62" s="196" t="str">
        <f aca="false">IF(BQ61&gt;0,BQ59/BQ61,"n/m")</f>
        <v>n/m</v>
      </c>
      <c r="BR62" s="196" t="str">
        <f aca="false">IF(BR61&gt;0,BR59/BR61,"n/m")</f>
        <v>n/m</v>
      </c>
      <c r="BS62" s="196" t="str">
        <f aca="false">IF(BS61&gt;0,BS59/BS61,"n/m")</f>
        <v>n/m</v>
      </c>
      <c r="BT62" s="196" t="str">
        <f aca="false">IF(BT61&gt;0,BT59/BT61,"n/m")</f>
        <v>n/m</v>
      </c>
      <c r="BU62" s="196" t="str">
        <f aca="false">IF(BU61&gt;0,BU59/BU61,"n/m")</f>
        <v>n/m</v>
      </c>
      <c r="BV62" s="196" t="str">
        <f aca="false">IF(BV61&gt;0,BV59/BV61,"n/m")</f>
        <v>n/m</v>
      </c>
      <c r="BW62" s="196" t="str">
        <f aca="false">IF(BW61&gt;0,BW59/BW61,"n/m")</f>
        <v>n/m</v>
      </c>
      <c r="BX62" s="196" t="str">
        <f aca="false">IF(BX61&gt;0,BX59/BX61,"n/m")</f>
        <v>n/m</v>
      </c>
      <c r="BY62" s="196" t="str">
        <f aca="false">IF(BY61&gt;0,BY59/BY61,"n/m")</f>
        <v>n/m</v>
      </c>
      <c r="BZ62" s="196" t="str">
        <f aca="false">IF(BZ61&gt;0,BZ59/BZ61,"n/m")</f>
        <v>n/m</v>
      </c>
      <c r="CA62" s="196" t="str">
        <f aca="false">IF(CA61&gt;0,CA59/CA61,"n/m")</f>
        <v>n/m</v>
      </c>
      <c r="CB62" s="196" t="str">
        <f aca="false">IF(CB61&gt;0,CB59/CB61,"n/m")</f>
        <v>n/m</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607</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-701719.945125</v>
      </c>
      <c r="L63" s="201" t="n">
        <f aca="false">IF(ISNUMBER(L62),L56-L62,L60-L59)</f>
        <v>902914.301506855</v>
      </c>
      <c r="M63" s="201" t="n">
        <f aca="false">IF(ISNUMBER(M62),M56-M62,M60-M59)</f>
        <v>1470224.15987215</v>
      </c>
      <c r="N63" s="201" t="n">
        <f aca="false">IF(ISNUMBER(N62),N56-N62,N60-N59)</f>
        <v>216746.465752528</v>
      </c>
      <c r="O63" s="201" t="n">
        <f aca="false">IF(ISNUMBER(O62),O56-O62,O60-O59)</f>
        <v>-7978219.82063721</v>
      </c>
      <c r="P63" s="201" t="n">
        <f aca="false">IF(ISNUMBER(P62),P56-P62,P60-P59)</f>
        <v>2011208.12018605</v>
      </c>
      <c r="Q63" s="201" t="n">
        <f aca="false">IF(ISNUMBER(Q62),Q56-Q62,Q60-Q59)</f>
        <v>838293.208797239</v>
      </c>
      <c r="R63" s="201" t="n">
        <f aca="false">IF(ISNUMBER(R62),R56-R62,R60-R59)</f>
        <v>1441590.42573421</v>
      </c>
      <c r="S63" s="201" t="n">
        <f aca="false">IF(ISNUMBER(S62),S56-S62,S60-S59)</f>
        <v>-1913365.8872311</v>
      </c>
      <c r="T63" s="201" t="n">
        <f aca="false">IF(ISNUMBER(T62),T56-T62,T60-T59)</f>
        <v>-561014.083620204</v>
      </c>
      <c r="U63" s="201" t="n">
        <f aca="false">IF(ISNUMBER(U62),U56-U62,U60-U59)</f>
        <v>-17270041.545434</v>
      </c>
      <c r="V63" s="201" t="n">
        <f aca="false">IF(ISNUMBER(V62),V56-V62,V60-V59)</f>
        <v>3655460.20367816</v>
      </c>
      <c r="W63" s="201" t="n">
        <f aca="false">IF(ISNUMBER(W62),W56-W62,W60-W59)</f>
        <v>2826158.86923775</v>
      </c>
      <c r="X63" s="201" t="n">
        <f aca="false">IF(ISNUMBER(X62),X56-X62,X60-X59)</f>
        <v>2397640.07034386</v>
      </c>
      <c r="Y63" s="201" t="n">
        <f aca="false">IF(ISNUMBER(Y62),Y56-Y62,Y60-Y59)</f>
        <v>2055561.23721723</v>
      </c>
      <c r="Z63" s="201" t="n">
        <f aca="false">IF(ISNUMBER(Z62),Z56-Z62,Z60-Z59)</f>
        <v>5456078.34172333</v>
      </c>
      <c r="AA63" s="201" t="n">
        <f aca="false">IF(ISNUMBER(AA62),AA56-AA62,AA60-AA59)</f>
        <v>4092378.6302564</v>
      </c>
      <c r="AB63" s="201" t="n">
        <f aca="false">IF(ISNUMBER(AB62),AB56-AB62,AB60-AB59)</f>
        <v>5217136.45353739</v>
      </c>
      <c r="AC63" s="201" t="n">
        <f aca="false">IF(ISNUMBER(AC62),AC56-AC62,AC60-AC59)</f>
        <v>5122331.76461989</v>
      </c>
      <c r="AD63" s="201" t="n">
        <f aca="false">IF(ISNUMBER(AD62),AD56-AD62,AD60-AD59)</f>
        <v>3630921.89639669</v>
      </c>
      <c r="AE63" s="201" t="n">
        <f aca="false">IF(ISNUMBER(AE62),AE56-AE62,AE60-AE59)</f>
        <v>1653124.51252939</v>
      </c>
      <c r="AF63" s="201" t="n">
        <f aca="false">IF(ISNUMBER(AF62),AF56-AF62,AF60-AF59)</f>
        <v>2022070.8371627</v>
      </c>
      <c r="AG63" s="201" t="n">
        <f aca="false">IF(ISNUMBER(AG62),AG56-AG62,AG60-AG59)</f>
        <v>-8865160.54320877</v>
      </c>
      <c r="AH63" s="201" t="n">
        <f aca="false">IF(ISNUMBER(AH62),AH56-AH62,AH60-AH59)</f>
        <v>3978501.89047116</v>
      </c>
      <c r="AI63" s="201" t="n">
        <f aca="false">IF(ISNUMBER(AI62),AI56-AI62,AI60-AI59)</f>
        <v>3750638.82568245</v>
      </c>
      <c r="AJ63" s="201" t="n">
        <f aca="false">IF(ISNUMBER(AJ62),AJ56-AJ62,AJ60-AJ59)</f>
        <v>3384547.95848095</v>
      </c>
      <c r="AK63" s="201" t="n">
        <f aca="false">IF(ISNUMBER(AK62),AK56-AK62,AK60-AK59)</f>
        <v>1973827.68770264</v>
      </c>
      <c r="AL63" s="201" t="n">
        <f aca="false">IF(ISNUMBER(AL62),AL56-AL62,AL60-AL59)</f>
        <v>2134214.9111265</v>
      </c>
      <c r="AM63" s="201" t="n">
        <f aca="false">IF(ISNUMBER(AM62),AM56-AM62,AM60-AM59)</f>
        <v>-658443.113369093</v>
      </c>
      <c r="AN63" s="201" t="n">
        <f aca="false">IF(ISNUMBER(AN62),AN56-AN62,AN60-AN59)</f>
        <v>-498181.335496105</v>
      </c>
      <c r="AO63" s="201" t="n">
        <f aca="false">IF(ISNUMBER(AO62),AO56-AO62,AO60-AO59)</f>
        <v>-252758.490559406</v>
      </c>
      <c r="AP63" s="201" t="n">
        <f aca="false">IF(ISNUMBER(AP62),AP56-AP62,AP60-AP59)</f>
        <v>-107743.069636554</v>
      </c>
      <c r="AQ63" s="201" t="n">
        <f aca="false">IF(ISNUMBER(AQ62),AQ56-AQ62,AQ60-AQ59)</f>
        <v>-1017076.70166714</v>
      </c>
      <c r="AR63" s="201" t="n">
        <f aca="false">IF(ISNUMBER(AR62),AR56-AR62,AR60-AR59)</f>
        <v>-2780197.07770507</v>
      </c>
      <c r="AS63" s="201" t="n">
        <f aca="false">IF(ISNUMBER(AS62),AS56-AS62,AS60-AS59)</f>
        <v>-2694028.85982482</v>
      </c>
      <c r="AT63" s="201" t="n">
        <f aca="false">IF(ISNUMBER(AT62),AT56-AT62,AT60-AT59)</f>
        <v>-2528683.37911428</v>
      </c>
      <c r="AU63" s="201" t="n">
        <f aca="false">IF(ISNUMBER(AU62),AU56-AU62,AU60-AU59)</f>
        <v>-2441646.39830806</v>
      </c>
      <c r="AV63" s="201" t="n">
        <f aca="false">IF(ISNUMBER(AV62),AV56-AV62,AV60-AV59)</f>
        <v>-3048264.30285975</v>
      </c>
      <c r="AW63" s="201" t="n">
        <f aca="false">IF(ISNUMBER(AW62),AW56-AW62,AW60-AW59)</f>
        <v>-2231060.54838611</v>
      </c>
      <c r="AX63" s="201" t="n">
        <f aca="false">IF(ISNUMBER(AX62),AX56-AX62,AX60-AX59)</f>
        <v>7070.74518285925</v>
      </c>
      <c r="AY63" s="201" t="n">
        <f aca="false">IF(ISNUMBER(AY62),AY56-AY62,AY60-AY59)</f>
        <v>-5963096.07064036</v>
      </c>
      <c r="AZ63" s="201" t="n">
        <f aca="false">IF(ISNUMBER(AZ62),AZ56-AZ62,AZ60-AZ59)</f>
        <v>-4838225.65109654</v>
      </c>
      <c r="BA63" s="201" t="n">
        <f aca="false">IF(ISNUMBER(BA62),BA56-BA62,BA60-BA59)</f>
        <v>-4602472.78697065</v>
      </c>
      <c r="BB63" s="201" t="n">
        <f aca="false">IF(ISNUMBER(BB62),BB56-BB62,BB60-BB59)</f>
        <v>-5133124.55148852</v>
      </c>
      <c r="BC63" s="201" t="n">
        <f aca="false">IF(ISNUMBER(BC62),BC56-BC62,BC60-BC59)</f>
        <v>-4145597.96891868</v>
      </c>
      <c r="BD63" s="201" t="n">
        <f aca="false">IF(ISNUMBER(BD62),BD56-BD62,BD60-BD59)</f>
        <v>-3827091.21888953</v>
      </c>
      <c r="BE63" s="201" t="n">
        <f aca="false">IF(ISNUMBER(BE62),BE56-BE62,BE60-BE59)</f>
        <v>-10678160.6104191</v>
      </c>
      <c r="BF63" s="201" t="n">
        <f aca="false">IF(ISNUMBER(BF62),BF56-BF62,BF60-BF59)</f>
        <v>-3165384.49888516</v>
      </c>
      <c r="BG63" s="201" t="n">
        <f aca="false">IF(ISNUMBER(BG62),BG56-BG62,BG60-BG59)</f>
        <v>-2835902.98443553</v>
      </c>
      <c r="BH63" s="201" t="n">
        <f aca="false">IF(ISNUMBER(BH62),BH56-BH62,BH60-BH59)</f>
        <v>-3239398.41219194</v>
      </c>
      <c r="BI63" s="201" t="n">
        <f aca="false">IF(ISNUMBER(BI62),BI56-BI62,BI60-BI59)</f>
        <v>-2209029.21237443</v>
      </c>
      <c r="BJ63" s="201" t="n">
        <f aca="false">IF(ISNUMBER(BJ62),BJ56-BJ62,BJ60-BJ59)</f>
        <v>-337098.578174906</v>
      </c>
      <c r="BK63" s="201" t="n">
        <f aca="false">IF(ISNUMBER(BK62),BK56-BK62,BK60-BK59)</f>
        <v>-743318.148179669</v>
      </c>
      <c r="BL63" s="201" t="n">
        <f aca="false">IF(ISNUMBER(BL62),BL56-BL62,BL60-BL59)</f>
        <v>-612442.148179669</v>
      </c>
      <c r="BM63" s="201" t="n">
        <f aca="false">IF(ISNUMBER(BM62),BM56-BM62,BM60-BM59)</f>
        <v>-612442.148179669</v>
      </c>
      <c r="BN63" s="201" t="n">
        <f aca="false">IF(ISNUMBER(BN62),BN56-BN62,BN60-BN59)</f>
        <v>-743318.148179669</v>
      </c>
      <c r="BO63" s="201" t="n">
        <f aca="false">IF(ISNUMBER(BO62),BO56-BO62,BO60-BO59)</f>
        <v>-624048.231143263</v>
      </c>
      <c r="BP63" s="201" t="n">
        <f aca="false">IF(ISNUMBER(BP62),BP56-BP62,BP60-BP59)</f>
        <v>-624048.231143263</v>
      </c>
      <c r="BQ63" s="201" t="n">
        <f aca="false">IF(ISNUMBER(BQ62),BQ56-BQ62,BQ60-BQ59)</f>
        <v>-754924.231143263</v>
      </c>
      <c r="BR63" s="201" t="n">
        <f aca="false">IF(ISNUMBER(BR62),BR56-BR62,BR60-BR59)</f>
        <v>-624048.231143263</v>
      </c>
      <c r="BS63" s="201" t="n">
        <f aca="false">IF(ISNUMBER(BS62),BS56-BS62,BS60-BS59)</f>
        <v>-624048.231143263</v>
      </c>
      <c r="BT63" s="201" t="n">
        <f aca="false">IF(ISNUMBER(BT62),BT56-BT62,BT60-BT59)</f>
        <v>-713203.881143263</v>
      </c>
      <c r="BU63" s="201" t="n">
        <f aca="false">IF(ISNUMBER(BU62),BU56-BU62,BU60-BU59)</f>
        <v>-624048.231143263</v>
      </c>
      <c r="BV63" s="201" t="n">
        <f aca="false">IF(ISNUMBER(BV62),BV56-BV62,BV60-BV59)</f>
        <v>-624048.231143263</v>
      </c>
      <c r="BW63" s="201" t="n">
        <f aca="false">IF(ISNUMBER(BW62),BW56-BW62,BW60-BW59)</f>
        <v>-698688.231143263</v>
      </c>
      <c r="BX63" s="201" t="n">
        <f aca="false">IF(ISNUMBER(BX62),BX56-BX62,BX60-BX59)</f>
        <v>-624048.231143263</v>
      </c>
      <c r="BY63" s="201" t="n">
        <f aca="false">IF(ISNUMBER(BY62),BY56-BY62,BY60-BY59)</f>
        <v>-624048.231143263</v>
      </c>
      <c r="BZ63" s="201" t="n">
        <f aca="false">IF(ISNUMBER(BZ62),BZ56-BZ62,BZ60-BZ59)</f>
        <v>-698688.231143263</v>
      </c>
      <c r="CA63" s="201" t="n">
        <f aca="false">IF(ISNUMBER(CA62),CA56-CA62,CA60-CA59)</f>
        <v>-635886.435766128</v>
      </c>
      <c r="CB63" s="201" t="n">
        <f aca="false">IF(ISNUMBER(CB62),CB56-CB62,CB60-CB59)</f>
        <v>-635886.435766128</v>
      </c>
      <c r="CC63" s="201" t="n">
        <f aca="false">IF(ISNUMBER(CC62),CC56-CC62,CC60-CC59)</f>
        <v>-783682.435766128</v>
      </c>
      <c r="CD63" s="201" t="n">
        <f aca="false">IF(ISNUMBER(CD62),CD56-CD62,CD60-CD59)</f>
        <v>-635886.435766128</v>
      </c>
      <c r="CE63" s="201" t="n">
        <f aca="false">IF(ISNUMBER(CE62),CE56-CE62,CE60-CE59)</f>
        <v>-635886.435766128</v>
      </c>
      <c r="CF63" s="201" t="n">
        <f aca="false">IF(ISNUMBER(CF62),CF56-CF62,CF60-CF59)</f>
        <v>-790404.435766128</v>
      </c>
      <c r="CG63" s="201" t="n">
        <f aca="false">IF(ISNUMBER(CG62),CG56-CG62,CG60-CG59)</f>
        <v>-635886.435766128</v>
      </c>
      <c r="CH63" s="201" t="n">
        <f aca="false">IF(ISNUMBER(CH62),CH56-CH62,CH60-CH59)</f>
        <v>-635886.435766128</v>
      </c>
      <c r="CI63" s="201" t="n">
        <f aca="false">IF(ISNUMBER(CI62),CI56-CI62,CI60-CI59)</f>
        <v>-790403.435766128</v>
      </c>
      <c r="CJ63" s="201" t="n">
        <f aca="false">IF(ISNUMBER(CJ62),CJ56-CJ62,CJ60-CJ59)</f>
        <v>-635886.435766128</v>
      </c>
      <c r="CK63" s="201" t="n">
        <f aca="false">IF(ISNUMBER(CK62),CK56-CK62,CK60-CK59)</f>
        <v>-635886.435766128</v>
      </c>
      <c r="CL63" s="201" t="n">
        <f aca="false">IF(ISNUMBER(CL62),CL56-CL62,CL60-CL59)</f>
        <v>-783795.409159649</v>
      </c>
      <c r="CM63" s="201" t="n">
        <f aca="false">IF(ISNUMBER(CM62),CM56-CM62,CM60-CM59)</f>
        <v>-721116.404481451</v>
      </c>
      <c r="CN63" s="201" t="n">
        <f aca="false">IF(ISNUMBER(CN62),CN56-CN62,CN60-CN59)</f>
        <v>-721116.404481451</v>
      </c>
      <c r="CO63" s="201" t="n">
        <f aca="false">IF(ISNUMBER(CO62),CO56-CO62,CO60-CO59)</f>
        <v>-721116.404481451</v>
      </c>
      <c r="CP63" s="201" t="n">
        <f aca="false">IF(ISNUMBER(CP62),CP56-CP62,CP60-CP59)</f>
        <v>-721116.404481451</v>
      </c>
      <c r="CQ63" s="201" t="n">
        <f aca="false">IF(ISNUMBER(CQ62),CQ56-CQ62,CQ60-CQ59)</f>
        <v>-721116.404481451</v>
      </c>
      <c r="CR63" s="201" t="n">
        <f aca="false">IF(ISNUMBER(CR62),CR56-CR62,CR60-CR59)</f>
        <v>-721116.404481451</v>
      </c>
      <c r="CS63" s="201" t="n">
        <f aca="false">IF(ISNUMBER(CS62),CS56-CS62,CS60-CS59)</f>
        <v>-721116.404481451</v>
      </c>
      <c r="CT63" s="201" t="n">
        <f aca="false">IF(ISNUMBER(CT62),CT56-CT62,CT60-CT59)</f>
        <v>-721116.404481451</v>
      </c>
      <c r="CU63" s="201" t="n">
        <f aca="false">IF(ISNUMBER(CU62),CU56-CU62,CU60-CU59)</f>
        <v>-721116.404481451</v>
      </c>
      <c r="CV63" s="201" t="n">
        <f aca="false">IF(ISNUMBER(CV62),CV56-CV62,CV60-CV59)</f>
        <v>-674852.645441313</v>
      </c>
      <c r="CW63" s="201" t="n">
        <f aca="false">IF(ISNUMBER(CW62),CW56-CW62,CW60-CW59)</f>
        <v>-674852.645441313</v>
      </c>
      <c r="CX63" s="201" t="n">
        <f aca="false">IF(ISNUMBER(CX62),CX56-CX62,CX60-CX59)</f>
        <v>-674852.645441313</v>
      </c>
      <c r="CY63" s="201" t="n">
        <f aca="false">IF(ISNUMBER(CY62),CY56-CY62,CY60-CY59)</f>
        <v>-630535.687286546</v>
      </c>
      <c r="CZ63" s="201" t="n">
        <f aca="false">IF(ISNUMBER(CZ62),CZ56-CZ62,CZ60-CZ59)</f>
        <v>-613088.838350139</v>
      </c>
      <c r="DA63" s="201" t="n">
        <f aca="false">IF(ISNUMBER(DA62),DA56-DA62,DA60-DA59)</f>
        <v>-613088.838350139</v>
      </c>
      <c r="DB63" s="201" t="n">
        <f aca="false">IF(ISNUMBER(DB62),DB56-DB62,DB60-DB59)</f>
        <v>-613088.838350139</v>
      </c>
    </row>
    <row r="64" customFormat="false" ht="13.5" hidden="false" customHeight="true" outlineLevel="0" collapsed="false">
      <c r="A64" s="94" t="s">
        <v>608</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-0.231998783389695</v>
      </c>
      <c r="L64" s="202" t="n">
        <f aca="false">IFERROR(L60/L59,"")</f>
        <v>1.1828034170442</v>
      </c>
      <c r="M64" s="202" t="n">
        <f aca="false">IFERROR(M60/M59,"")</f>
        <v>1.31929978675251</v>
      </c>
      <c r="N64" s="202" t="n">
        <f aca="false">IFERROR(N60/N59,"")</f>
        <v>1.04329349411765</v>
      </c>
      <c r="O64" s="202" t="n">
        <f aca="false">IFERROR(O60/O59,"")</f>
        <v>0.412510718381746</v>
      </c>
      <c r="P64" s="202" t="n">
        <f aca="false">IFERROR(P60/P59,"")</f>
        <v>1.44266906381462</v>
      </c>
      <c r="Q64" s="202" t="n">
        <f aca="false">IFERROR(Q60/Q59,"")</f>
        <v>1.14621823823286</v>
      </c>
      <c r="R64" s="202" t="n">
        <f aca="false">IFERROR(R60/R59,"")</f>
        <v>1.24690594395417</v>
      </c>
      <c r="S64" s="202" t="n">
        <f aca="false">IFERROR(S60/S59,"")</f>
        <v>0.801921855462689</v>
      </c>
      <c r="T64" s="202" t="n">
        <f aca="false">IFERROR(T60/T59,"")</f>
        <v>0.935243375270876</v>
      </c>
      <c r="U64" s="202" t="n">
        <f aca="false">IFERROR(U60/U59,"")</f>
        <v>0.351285706915728</v>
      </c>
      <c r="V64" s="202" t="n">
        <f aca="false">IFERROR(V60/V59,"")</f>
        <v>1.51890796878727</v>
      </c>
      <c r="W64" s="202" t="n">
        <f aca="false">IFERROR(W60/W59,"")</f>
        <v>1.37955597815269</v>
      </c>
      <c r="X64" s="202" t="n">
        <f aca="false">IFERROR(X60/X59,"")</f>
        <v>1.2638088268593</v>
      </c>
      <c r="Y64" s="202" t="n">
        <f aca="false">IFERROR(Y60/Y59,"")</f>
        <v>1.23734129980217</v>
      </c>
      <c r="Z64" s="202" t="n">
        <f aca="false">IFERROR(Z60/Z59,"")</f>
        <v>1.78762102453943</v>
      </c>
      <c r="AA64" s="202" t="n">
        <f aca="false">IFERROR(AA60/AA59,"")</f>
        <v>1.57441906060226</v>
      </c>
      <c r="AB64" s="202" t="n">
        <f aca="false">IFERROR(AB60/AB59,"")</f>
        <v>1.7409442656053</v>
      </c>
      <c r="AC64" s="202" t="n">
        <f aca="false">IFERROR(AC60/AC59,"")</f>
        <v>1.77948102821242</v>
      </c>
      <c r="AD64" s="202" t="n">
        <f aca="false">IFERROR(AD60/AD59,"")</f>
        <v>1.53389443254839</v>
      </c>
      <c r="AE64" s="202" t="n">
        <f aca="false">IFERROR(AE60/AE59,"")</f>
        <v>1.21557964219313</v>
      </c>
      <c r="AF64" s="202" t="n">
        <f aca="false">IFERROR(AF60/AF59,"")</f>
        <v>1.28113090416062</v>
      </c>
      <c r="AG64" s="202" t="n">
        <f aca="false">IFERROR(AG60/AG59,"")</f>
        <v>0.515158693362737</v>
      </c>
      <c r="AH64" s="202" t="n">
        <f aca="false">IFERROR(AH60/AH59,"")</f>
        <v>1.74441017836888</v>
      </c>
      <c r="AI64" s="202" t="n">
        <f aca="false">IFERROR(AI60/AI59,"")</f>
        <v>1.65551760344473</v>
      </c>
      <c r="AJ64" s="202" t="n">
        <f aca="false">IFERROR(AJ60/AJ59,"")</f>
        <v>1.62983196719493</v>
      </c>
      <c r="AK64" s="202" t="n">
        <f aca="false">IFERROR(AK60/AK59,"")</f>
        <v>1.32899435662102</v>
      </c>
      <c r="AL64" s="202" t="n">
        <f aca="false">IFERROR(AL60/AL59,"")</f>
        <v>1.46357861860072</v>
      </c>
      <c r="AM64" s="202" t="n">
        <f aca="false">IFERROR(AM60/AM59,"")</f>
        <v>0.895873969921048</v>
      </c>
      <c r="AN64" s="202" t="n">
        <f aca="false">IFERROR(AN60/AN59,"")</f>
        <v>0.91860971315135</v>
      </c>
      <c r="AO64" s="202" t="n">
        <f aca="false">IFERROR(AO60/AO59,"")</f>
        <v>0.956371420775266</v>
      </c>
      <c r="AP64" s="202" t="n">
        <f aca="false">IFERROR(AP60/AP59,"")</f>
        <v>0.976477935884715</v>
      </c>
      <c r="AQ64" s="202" t="n">
        <f aca="false">IFERROR(AQ60/AQ59,"")</f>
        <v>0.782394185467327</v>
      </c>
      <c r="AR64" s="202" t="n">
        <f aca="false">IFERROR(AR60/AR59,"")</f>
        <v>0.538395180148343</v>
      </c>
      <c r="AS64" s="202" t="n">
        <f aca="false">IFERROR(AS60/AS59,"")</f>
        <v>0.540765007580328</v>
      </c>
      <c r="AT64" s="202" t="n">
        <f aca="false">IFERROR(AT60/AT59,"")</f>
        <v>0.549415778027218</v>
      </c>
      <c r="AU64" s="202" t="n">
        <f aca="false">IFERROR(AU60/AU59,"")</f>
        <v>0.549415778027218</v>
      </c>
      <c r="AV64" s="202" t="n">
        <f aca="false">IFERROR(AV60/AV59,"")</f>
        <v>0.483684324124576</v>
      </c>
      <c r="AW64" s="202" t="n">
        <f aca="false">IFERROR(AW60/AW59,"")</f>
        <v>0.549415778027218</v>
      </c>
      <c r="AX64" s="202" t="n">
        <f aca="false">IFERROR(AX60/AX59,"")</f>
        <v>1.00275477455512</v>
      </c>
      <c r="AY64" s="202" t="n">
        <f aca="false">IFERROR(AY60/AY59,"")</f>
        <v>0.23092002742713</v>
      </c>
      <c r="AZ64" s="202" t="n">
        <f aca="false">IFERROR(AZ60/AZ59,"")</f>
        <v>0.262301080226216</v>
      </c>
      <c r="BA64" s="202" t="n">
        <f aca="false">IFERROR(BA60/BA59,"")</f>
        <v>0.262301080226216</v>
      </c>
      <c r="BB64" s="202" t="n">
        <f aca="false">IFERROR(BB60/BB59,"")</f>
        <v>0.23092002742713</v>
      </c>
      <c r="BC64" s="202" t="n">
        <f aca="false">IFERROR(BC60/BC59,"")</f>
        <v>0.257427809854613</v>
      </c>
      <c r="BD64" s="202" t="n">
        <f aca="false">IFERROR(BD60/BD59,"")</f>
        <v>0.257427809854613</v>
      </c>
      <c r="BE64" s="202" t="n">
        <f aca="false">IFERROR(BE60/BE59,"")</f>
        <v>0.101981500046872</v>
      </c>
      <c r="BF64" s="202" t="n">
        <f aca="false">IFERROR(BF60/BF59,"")</f>
        <v>0.257427809854613</v>
      </c>
      <c r="BG64" s="202" t="n">
        <f aca="false">IFERROR(BG60/BG59,"")</f>
        <v>0.257427809854613</v>
      </c>
      <c r="BH64" s="202" t="n">
        <f aca="false">IFERROR(BH60/BH59,"")</f>
        <v>0.212101933809601</v>
      </c>
      <c r="BI64" s="202" t="n">
        <f aca="false">IFERROR(BI60/BI59,"")</f>
        <v>0.257427809854613</v>
      </c>
      <c r="BJ64" s="202" t="n">
        <f aca="false">IFERROR(BJ60/BJ59,"")</f>
        <v>0.663892772782949</v>
      </c>
      <c r="BK64" s="202" t="n">
        <f aca="false">IFERROR(BK60/BK59,"")</f>
        <v>0</v>
      </c>
      <c r="BL64" s="202" t="n">
        <f aca="false">IFERROR(BL60/BL59,"")</f>
        <v>0</v>
      </c>
      <c r="BM64" s="202" t="n">
        <f aca="false">IFERROR(BM60/BM59,"")</f>
        <v>0</v>
      </c>
      <c r="BN64" s="202" t="n">
        <f aca="false">IFERROR(BN60/BN59,"")</f>
        <v>0</v>
      </c>
      <c r="BO64" s="202" t="n">
        <f aca="false">IFERROR(BO60/BO59,"")</f>
        <v>0</v>
      </c>
      <c r="BP64" s="202" t="n">
        <f aca="false">IFERROR(BP60/BP59,"")</f>
        <v>0</v>
      </c>
      <c r="BQ64" s="202" t="n">
        <f aca="false">IFERROR(BQ60/BQ59,"")</f>
        <v>0</v>
      </c>
      <c r="BR64" s="202" t="n">
        <f aca="false">IFERROR(BR60/BR59,"")</f>
        <v>0</v>
      </c>
      <c r="BS64" s="202" t="n">
        <f aca="false">IFERROR(BS60/BS59,"")</f>
        <v>0</v>
      </c>
      <c r="BT64" s="202" t="n">
        <f aca="false">IFERROR(BT60/BT59,"")</f>
        <v>0</v>
      </c>
      <c r="BU64" s="202" t="n">
        <f aca="false">IFERROR(BU60/BU59,"")</f>
        <v>0</v>
      </c>
      <c r="BV64" s="202" t="n">
        <f aca="false">IFERROR(BV60/BV59,"")</f>
        <v>0</v>
      </c>
      <c r="BW64" s="202" t="n">
        <f aca="false">IFERROR(BW60/BW59,"")</f>
        <v>0</v>
      </c>
      <c r="BX64" s="202" t="n">
        <f aca="false">IFERROR(BX60/BX59,"")</f>
        <v>0</v>
      </c>
      <c r="BY64" s="202" t="n">
        <f aca="false">IFERROR(BY60/BY59,"")</f>
        <v>0</v>
      </c>
      <c r="BZ64" s="202" t="n">
        <f aca="false">IFERROR(BZ60/BZ59,"")</f>
        <v>0</v>
      </c>
      <c r="CA64" s="202" t="n">
        <f aca="false">IFERROR(CA60/CA59,"")</f>
        <v>0</v>
      </c>
      <c r="CB64" s="202" t="n">
        <f aca="false">IFERROR(CB60/CB59,"")</f>
        <v>0</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609</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7656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610</v>
      </c>
    </row>
    <row r="2" customFormat="false" ht="13.5" hidden="false" customHeight="true" outlineLevel="0" collapsed="false">
      <c r="A2" s="205" t="s">
        <v>611</v>
      </c>
    </row>
    <row r="3" customFormat="false" ht="13.5" hidden="false" customHeight="true" outlineLevel="0" collapsed="false">
      <c r="C3" s="206" t="s">
        <v>612</v>
      </c>
      <c r="D3" s="206" t="s">
        <v>613</v>
      </c>
    </row>
    <row r="4" customFormat="false" ht="13.5" hidden="false" customHeight="true" outlineLevel="0" collapsed="false">
      <c r="A4" s="123" t="s">
        <v>614</v>
      </c>
      <c r="C4" s="118" t="n">
        <f aca="false">COUNTIFS($F$9:$F$100,"GC",$L$9:$L$100,"Current*")-COUNTIFS($A$9:$A$100,"*(Corporate)*",$F$9:$F$100,"GC")</f>
        <v>25</v>
      </c>
      <c r="D4" s="207" t="n">
        <f aca="false">SUMIFS($C$9:$C$100,$F$9:$F$100,"GC",$L$9:$L$100,"Current*")</f>
        <v>3440572</v>
      </c>
    </row>
    <row r="5" customFormat="false" ht="13.5" hidden="false" customHeight="true" outlineLevel="0" collapsed="false">
      <c r="A5" s="123" t="s">
        <v>615</v>
      </c>
      <c r="C5" s="118" t="n">
        <f aca="false">COUNTIFS($F$9:$F$100,"SixPeak",$L$9:$L$100,"Current*")</f>
        <v>7</v>
      </c>
      <c r="D5" s="207" t="n">
        <f aca="false">SUMIFS($C$9:$C$100,$F$9:$F$100,"SixPeak",$L$9:$L$100,"Current*")</f>
        <v>1787000</v>
      </c>
    </row>
    <row r="6" customFormat="false" ht="13.5" hidden="false" customHeight="true" outlineLevel="0" collapsed="false">
      <c r="A6" s="208" t="s">
        <v>616</v>
      </c>
    </row>
    <row r="8" customFormat="false" ht="27" hidden="false" customHeight="true" outlineLevel="0" collapsed="false">
      <c r="A8" s="173" t="s">
        <v>617</v>
      </c>
      <c r="B8" s="173" t="s">
        <v>618</v>
      </c>
      <c r="C8" s="173" t="s">
        <v>619</v>
      </c>
      <c r="D8" s="173" t="s">
        <v>620</v>
      </c>
      <c r="E8" s="173" t="s">
        <v>560</v>
      </c>
      <c r="F8" s="173" t="s">
        <v>569</v>
      </c>
      <c r="G8" s="173" t="s">
        <v>564</v>
      </c>
      <c r="H8" s="173" t="s">
        <v>621</v>
      </c>
      <c r="I8" s="173" t="s">
        <v>622</v>
      </c>
      <c r="J8" s="173" t="s">
        <v>623</v>
      </c>
      <c r="K8" s="173" t="s">
        <v>578</v>
      </c>
      <c r="L8" s="173" t="s">
        <v>624</v>
      </c>
      <c r="M8" s="173" t="s">
        <v>625</v>
      </c>
      <c r="N8" s="173" t="s">
        <v>626</v>
      </c>
      <c r="O8" s="173" t="s">
        <v>627</v>
      </c>
      <c r="P8" s="173" t="s">
        <v>628</v>
      </c>
      <c r="Q8" s="173" t="s">
        <v>629</v>
      </c>
    </row>
    <row r="9" customFormat="false" ht="13.5" hidden="false" customHeight="true" outlineLevel="0" collapsed="false">
      <c r="A9" s="209" t="s">
        <v>630</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631</v>
      </c>
      <c r="B10" s="109" t="s">
        <v>632</v>
      </c>
      <c r="C10" s="211" t="n">
        <v>70000</v>
      </c>
      <c r="D10" s="211" t="n">
        <f aca="false">C10/12</f>
        <v>5833.33333333333</v>
      </c>
      <c r="E10" s="180" t="n">
        <v>1</v>
      </c>
      <c r="F10" s="109" t="s">
        <v>633</v>
      </c>
      <c r="G10" s="180" t="s">
        <v>581</v>
      </c>
      <c r="H10" s="212" t="n">
        <v>0</v>
      </c>
      <c r="I10" s="212" t="n">
        <v>0</v>
      </c>
      <c r="J10" s="109" t="s">
        <v>634</v>
      </c>
      <c r="K10" s="180"/>
      <c r="L10" s="109" t="s">
        <v>635</v>
      </c>
      <c r="M10" s="109"/>
      <c r="N10" s="109"/>
      <c r="O10" s="109" t="s">
        <v>633</v>
      </c>
      <c r="P10" s="109" t="s">
        <v>636</v>
      </c>
      <c r="Q10" s="1" t="s">
        <v>581</v>
      </c>
    </row>
    <row r="11" customFormat="false" ht="13.5" hidden="false" customHeight="true" outlineLevel="0" collapsed="false">
      <c r="A11" s="213" t="s">
        <v>637</v>
      </c>
      <c r="B11" s="213" t="s">
        <v>638</v>
      </c>
      <c r="C11" s="214" t="n">
        <v>80000</v>
      </c>
      <c r="D11" s="214" t="n">
        <f aca="false">C11/12</f>
        <v>6666.66666666667</v>
      </c>
      <c r="E11" s="215" t="n">
        <v>1</v>
      </c>
      <c r="F11" s="213" t="s">
        <v>633</v>
      </c>
      <c r="G11" s="215" t="s">
        <v>581</v>
      </c>
      <c r="H11" s="216" t="n">
        <v>0.5</v>
      </c>
      <c r="I11" s="216" t="n">
        <v>0</v>
      </c>
      <c r="J11" s="213" t="s">
        <v>634</v>
      </c>
      <c r="K11" s="215"/>
      <c r="L11" s="213" t="s">
        <v>635</v>
      </c>
      <c r="M11" s="213"/>
      <c r="N11" s="213"/>
      <c r="O11" s="213" t="s">
        <v>633</v>
      </c>
      <c r="P11" s="213" t="s">
        <v>636</v>
      </c>
      <c r="Q11" s="1" t="s">
        <v>581</v>
      </c>
    </row>
    <row r="12" customFormat="false" ht="13.5" hidden="false" customHeight="true" outlineLevel="0" collapsed="false">
      <c r="A12" s="109" t="s">
        <v>639</v>
      </c>
      <c r="B12" s="109" t="s">
        <v>640</v>
      </c>
      <c r="C12" s="211" t="n">
        <v>25000</v>
      </c>
      <c r="D12" s="211" t="n">
        <f aca="false">C12/12</f>
        <v>2083.33333333333</v>
      </c>
      <c r="E12" s="180" t="n">
        <v>1</v>
      </c>
      <c r="F12" s="109" t="s">
        <v>633</v>
      </c>
      <c r="G12" s="180" t="s">
        <v>581</v>
      </c>
      <c r="H12" s="212" t="n">
        <v>0.5</v>
      </c>
      <c r="I12" s="212" t="n">
        <v>0</v>
      </c>
      <c r="J12" s="109" t="s">
        <v>634</v>
      </c>
      <c r="K12" s="180" t="n">
        <v>9</v>
      </c>
      <c r="L12" s="109" t="s">
        <v>641</v>
      </c>
      <c r="M12" s="109"/>
      <c r="N12" s="109" t="s">
        <v>642</v>
      </c>
      <c r="O12" s="109" t="s">
        <v>633</v>
      </c>
      <c r="P12" s="109" t="s">
        <v>636</v>
      </c>
      <c r="Q12" s="1" t="s">
        <v>581</v>
      </c>
    </row>
    <row r="13" customFormat="false" ht="13.5" hidden="false" customHeight="true" outlineLevel="0" collapsed="false">
      <c r="A13" s="213" t="s">
        <v>643</v>
      </c>
      <c r="B13" s="213" t="s">
        <v>640</v>
      </c>
      <c r="C13" s="214" t="n">
        <v>10000</v>
      </c>
      <c r="D13" s="214" t="n">
        <f aca="false">C13/12</f>
        <v>833.333333333333</v>
      </c>
      <c r="E13" s="215" t="n">
        <v>1</v>
      </c>
      <c r="F13" s="213" t="s">
        <v>633</v>
      </c>
      <c r="G13" s="215" t="s">
        <v>581</v>
      </c>
      <c r="H13" s="216" t="n">
        <v>0</v>
      </c>
      <c r="I13" s="216" t="n">
        <v>0</v>
      </c>
      <c r="J13" s="213" t="s">
        <v>634</v>
      </c>
      <c r="K13" s="215"/>
      <c r="L13" s="213" t="s">
        <v>635</v>
      </c>
      <c r="M13" s="213"/>
      <c r="N13" s="213"/>
      <c r="O13" s="213" t="s">
        <v>633</v>
      </c>
      <c r="P13" s="213" t="s">
        <v>636</v>
      </c>
      <c r="Q13" s="1" t="s">
        <v>581</v>
      </c>
    </row>
    <row r="14" customFormat="false" ht="13.5" hidden="false" customHeight="true" outlineLevel="0" collapsed="false">
      <c r="A14" s="109" t="s">
        <v>644</v>
      </c>
      <c r="B14" s="109" t="s">
        <v>645</v>
      </c>
      <c r="C14" s="211" t="n">
        <v>20000</v>
      </c>
      <c r="D14" s="211" t="n">
        <f aca="false">C14/12</f>
        <v>1666.66666666667</v>
      </c>
      <c r="E14" s="180" t="n">
        <v>1</v>
      </c>
      <c r="F14" s="109" t="s">
        <v>633</v>
      </c>
      <c r="G14" s="180" t="s">
        <v>581</v>
      </c>
      <c r="H14" s="212" t="n">
        <v>0</v>
      </c>
      <c r="I14" s="212" t="n">
        <v>0</v>
      </c>
      <c r="J14" s="109" t="s">
        <v>634</v>
      </c>
      <c r="K14" s="180"/>
      <c r="L14" s="109" t="s">
        <v>635</v>
      </c>
      <c r="M14" s="109"/>
      <c r="N14" s="109"/>
      <c r="O14" s="109" t="s">
        <v>633</v>
      </c>
      <c r="P14" s="109" t="s">
        <v>636</v>
      </c>
      <c r="Q14" s="1" t="s">
        <v>581</v>
      </c>
    </row>
    <row r="16" customFormat="false" ht="13.5" hidden="false" customHeight="true" outlineLevel="0" collapsed="false">
      <c r="A16" s="209" t="s">
        <v>646</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647</v>
      </c>
      <c r="B17" s="109" t="s">
        <v>638</v>
      </c>
      <c r="C17" s="211" t="n">
        <v>320000</v>
      </c>
      <c r="D17" s="211" t="n">
        <f aca="false">C17/12</f>
        <v>26666.6666666667</v>
      </c>
      <c r="E17" s="180" t="n">
        <v>1</v>
      </c>
      <c r="F17" s="109" t="s">
        <v>633</v>
      </c>
      <c r="G17" s="180" t="s">
        <v>581</v>
      </c>
      <c r="H17" s="212" t="n">
        <v>0.5</v>
      </c>
      <c r="I17" s="212" t="n">
        <v>0</v>
      </c>
      <c r="J17" s="109" t="s">
        <v>648</v>
      </c>
      <c r="K17" s="180"/>
      <c r="L17" s="109" t="s">
        <v>635</v>
      </c>
      <c r="M17" s="109"/>
      <c r="N17" s="109"/>
      <c r="O17" s="109" t="s">
        <v>633</v>
      </c>
      <c r="P17" s="109" t="s">
        <v>636</v>
      </c>
      <c r="Q17" s="1" t="s">
        <v>581</v>
      </c>
    </row>
    <row r="18" customFormat="false" ht="13.5" hidden="false" customHeight="true" outlineLevel="0" collapsed="false">
      <c r="A18" s="213" t="s">
        <v>649</v>
      </c>
      <c r="B18" s="213" t="s">
        <v>640</v>
      </c>
      <c r="C18" s="214" t="n">
        <v>225000</v>
      </c>
      <c r="D18" s="214" t="n">
        <f aca="false">C18/12</f>
        <v>18750</v>
      </c>
      <c r="E18" s="215" t="n">
        <v>1</v>
      </c>
      <c r="F18" s="213" t="s">
        <v>633</v>
      </c>
      <c r="G18" s="215" t="s">
        <v>581</v>
      </c>
      <c r="H18" s="216" t="n">
        <v>0.5</v>
      </c>
      <c r="I18" s="216" t="n">
        <v>0</v>
      </c>
      <c r="J18" s="213" t="s">
        <v>648</v>
      </c>
      <c r="K18" s="215" t="n">
        <v>9</v>
      </c>
      <c r="L18" s="213" t="s">
        <v>641</v>
      </c>
      <c r="M18" s="213"/>
      <c r="N18" s="213" t="s">
        <v>642</v>
      </c>
      <c r="O18" s="213" t="s">
        <v>633</v>
      </c>
      <c r="P18" s="213" t="s">
        <v>636</v>
      </c>
      <c r="Q18" s="1" t="s">
        <v>581</v>
      </c>
    </row>
    <row r="19" customFormat="false" ht="13.5" hidden="false" customHeight="true" outlineLevel="0" collapsed="false">
      <c r="A19" s="109" t="s">
        <v>650</v>
      </c>
      <c r="B19" s="109" t="s">
        <v>640</v>
      </c>
      <c r="C19" s="211" t="n">
        <v>180000</v>
      </c>
      <c r="D19" s="211" t="n">
        <f aca="false">C19/12</f>
        <v>15000</v>
      </c>
      <c r="E19" s="180" t="n">
        <v>1</v>
      </c>
      <c r="F19" s="109" t="s">
        <v>633</v>
      </c>
      <c r="G19" s="180" t="s">
        <v>581</v>
      </c>
      <c r="H19" s="212" t="n">
        <v>0</v>
      </c>
      <c r="I19" s="212" t="n">
        <v>0</v>
      </c>
      <c r="J19" s="109" t="s">
        <v>648</v>
      </c>
      <c r="K19" s="180"/>
      <c r="L19" s="109" t="s">
        <v>635</v>
      </c>
      <c r="M19" s="109"/>
      <c r="N19" s="109"/>
      <c r="O19" s="109" t="s">
        <v>633</v>
      </c>
      <c r="P19" s="109" t="s">
        <v>651</v>
      </c>
      <c r="Q19" s="1" t="s">
        <v>581</v>
      </c>
    </row>
    <row r="20" customFormat="false" ht="13.5" hidden="false" customHeight="true" outlineLevel="0" collapsed="false">
      <c r="A20" s="213" t="s">
        <v>652</v>
      </c>
      <c r="B20" s="213" t="s">
        <v>645</v>
      </c>
      <c r="C20" s="214" t="n">
        <v>180000</v>
      </c>
      <c r="D20" s="214" t="n">
        <f aca="false">C20/12</f>
        <v>15000</v>
      </c>
      <c r="E20" s="215" t="n">
        <v>1</v>
      </c>
      <c r="F20" s="213" t="s">
        <v>633</v>
      </c>
      <c r="G20" s="215" t="s">
        <v>581</v>
      </c>
      <c r="H20" s="216" t="n">
        <v>0</v>
      </c>
      <c r="I20" s="216" t="n">
        <v>0</v>
      </c>
      <c r="J20" s="213" t="s">
        <v>648</v>
      </c>
      <c r="K20" s="215"/>
      <c r="L20" s="213" t="s">
        <v>635</v>
      </c>
      <c r="M20" s="213"/>
      <c r="N20" s="213"/>
      <c r="O20" s="213" t="s">
        <v>633</v>
      </c>
      <c r="P20" s="213" t="s">
        <v>651</v>
      </c>
      <c r="Q20" s="1" t="s">
        <v>581</v>
      </c>
    </row>
    <row r="21" customFormat="false" ht="13.5" hidden="false" customHeight="true" outlineLevel="0" collapsed="false">
      <c r="A21" s="109" t="s">
        <v>653</v>
      </c>
      <c r="B21" s="109" t="s">
        <v>654</v>
      </c>
      <c r="C21" s="211" t="n">
        <v>105000</v>
      </c>
      <c r="D21" s="211" t="n">
        <f aca="false">C21/12</f>
        <v>8750</v>
      </c>
      <c r="E21" s="180" t="n">
        <v>3</v>
      </c>
      <c r="F21" s="109" t="s">
        <v>633</v>
      </c>
      <c r="G21" s="180" t="s">
        <v>581</v>
      </c>
      <c r="H21" s="212" t="n">
        <v>0</v>
      </c>
      <c r="I21" s="212" t="n">
        <v>0</v>
      </c>
      <c r="J21" s="109" t="s">
        <v>648</v>
      </c>
      <c r="K21" s="180"/>
      <c r="L21" s="109" t="s">
        <v>635</v>
      </c>
      <c r="M21" s="109"/>
      <c r="N21" s="109"/>
      <c r="O21" s="109" t="s">
        <v>633</v>
      </c>
      <c r="P21" s="109" t="s">
        <v>655</v>
      </c>
      <c r="Q21" s="1" t="s">
        <v>581</v>
      </c>
    </row>
    <row r="22" customFormat="false" ht="13.5" hidden="false" customHeight="true" outlineLevel="0" collapsed="false">
      <c r="A22" s="213" t="s">
        <v>656</v>
      </c>
      <c r="B22" s="213" t="s">
        <v>657</v>
      </c>
      <c r="C22" s="214" t="n">
        <v>155000</v>
      </c>
      <c r="D22" s="214" t="n">
        <f aca="false">C22/12</f>
        <v>12916.6666666667</v>
      </c>
      <c r="E22" s="215" t="n">
        <v>1</v>
      </c>
      <c r="F22" s="213" t="s">
        <v>633</v>
      </c>
      <c r="G22" s="215" t="s">
        <v>581</v>
      </c>
      <c r="H22" s="216" t="n">
        <v>0</v>
      </c>
      <c r="I22" s="216" t="n">
        <v>0</v>
      </c>
      <c r="J22" s="213" t="s">
        <v>648</v>
      </c>
      <c r="K22" s="215"/>
      <c r="L22" s="213" t="s">
        <v>635</v>
      </c>
      <c r="M22" s="213"/>
      <c r="N22" s="213"/>
      <c r="O22" s="213" t="s">
        <v>633</v>
      </c>
      <c r="P22" s="213" t="s">
        <v>651</v>
      </c>
      <c r="Q22" s="1" t="s">
        <v>581</v>
      </c>
    </row>
    <row r="23" customFormat="false" ht="13.5" hidden="false" customHeight="true" outlineLevel="0" collapsed="false">
      <c r="A23" s="109" t="s">
        <v>658</v>
      </c>
      <c r="B23" s="109" t="s">
        <v>659</v>
      </c>
      <c r="C23" s="211" t="n">
        <v>185000</v>
      </c>
      <c r="D23" s="211" t="n">
        <f aca="false">C23/12</f>
        <v>15416.6666666667</v>
      </c>
      <c r="E23" s="180" t="n">
        <v>1</v>
      </c>
      <c r="F23" s="109" t="s">
        <v>633</v>
      </c>
      <c r="G23" s="180" t="s">
        <v>581</v>
      </c>
      <c r="H23" s="212" t="n">
        <v>0</v>
      </c>
      <c r="I23" s="212" t="n">
        <v>0</v>
      </c>
      <c r="J23" s="109" t="s">
        <v>648</v>
      </c>
      <c r="K23" s="180"/>
      <c r="L23" s="109" t="s">
        <v>635</v>
      </c>
      <c r="M23" s="109"/>
      <c r="N23" s="109"/>
      <c r="O23" s="109" t="s">
        <v>633</v>
      </c>
      <c r="P23" s="109" t="s">
        <v>660</v>
      </c>
      <c r="Q23" s="1" t="s">
        <v>581</v>
      </c>
    </row>
    <row r="24" customFormat="false" ht="13.5" hidden="false" customHeight="true" outlineLevel="0" collapsed="false">
      <c r="A24" s="213" t="s">
        <v>661</v>
      </c>
      <c r="B24" s="213" t="s">
        <v>662</v>
      </c>
      <c r="C24" s="214" t="n">
        <v>90000</v>
      </c>
      <c r="D24" s="214" t="n">
        <f aca="false">C24/12</f>
        <v>7500</v>
      </c>
      <c r="E24" s="215" t="n">
        <v>3</v>
      </c>
      <c r="F24" s="213" t="s">
        <v>633</v>
      </c>
      <c r="G24" s="215" t="s">
        <v>581</v>
      </c>
      <c r="H24" s="216" t="n">
        <v>0</v>
      </c>
      <c r="I24" s="216" t="n">
        <v>0</v>
      </c>
      <c r="J24" s="213" t="s">
        <v>648</v>
      </c>
      <c r="K24" s="215"/>
      <c r="L24" s="213" t="s">
        <v>635</v>
      </c>
      <c r="M24" s="213"/>
      <c r="N24" s="213"/>
      <c r="O24" s="213" t="s">
        <v>633</v>
      </c>
      <c r="P24" s="213" t="s">
        <v>663</v>
      </c>
      <c r="Q24" s="1" t="s">
        <v>581</v>
      </c>
    </row>
    <row r="25" customFormat="false" ht="13.5" hidden="false" customHeight="true" outlineLevel="0" collapsed="false">
      <c r="A25" s="109" t="s">
        <v>664</v>
      </c>
      <c r="B25" s="109" t="s">
        <v>662</v>
      </c>
      <c r="C25" s="211" t="n">
        <v>97500</v>
      </c>
      <c r="D25" s="211" t="n">
        <f aca="false">C25/12</f>
        <v>8125</v>
      </c>
      <c r="E25" s="180" t="n">
        <v>1</v>
      </c>
      <c r="F25" s="109" t="s">
        <v>633</v>
      </c>
      <c r="G25" s="180" t="s">
        <v>581</v>
      </c>
      <c r="H25" s="212" t="n">
        <v>0</v>
      </c>
      <c r="I25" s="212" t="n">
        <v>0</v>
      </c>
      <c r="J25" s="109" t="s">
        <v>648</v>
      </c>
      <c r="K25" s="180"/>
      <c r="L25" s="109" t="s">
        <v>635</v>
      </c>
      <c r="M25" s="109"/>
      <c r="N25" s="109"/>
      <c r="O25" s="109" t="s">
        <v>633</v>
      </c>
      <c r="P25" s="109" t="s">
        <v>663</v>
      </c>
      <c r="Q25" s="1" t="s">
        <v>581</v>
      </c>
    </row>
    <row r="26" customFormat="false" ht="13.5" hidden="false" customHeight="true" outlineLevel="0" collapsed="false">
      <c r="A26" s="213" t="s">
        <v>665</v>
      </c>
      <c r="B26" s="213" t="s">
        <v>659</v>
      </c>
      <c r="C26" s="214" t="n">
        <v>150000</v>
      </c>
      <c r="D26" s="214" t="n">
        <f aca="false">C26/12</f>
        <v>12500</v>
      </c>
      <c r="E26" s="215" t="n">
        <v>1</v>
      </c>
      <c r="F26" s="213" t="s">
        <v>633</v>
      </c>
      <c r="G26" s="215" t="s">
        <v>581</v>
      </c>
      <c r="H26" s="216" t="n">
        <v>0</v>
      </c>
      <c r="I26" s="216" t="n">
        <v>0</v>
      </c>
      <c r="J26" s="213" t="s">
        <v>648</v>
      </c>
      <c r="K26" s="215"/>
      <c r="L26" s="213" t="s">
        <v>635</v>
      </c>
      <c r="M26" s="213"/>
      <c r="N26" s="213"/>
      <c r="O26" s="213" t="s">
        <v>633</v>
      </c>
      <c r="P26" s="213" t="s">
        <v>660</v>
      </c>
      <c r="Q26" s="1" t="s">
        <v>581</v>
      </c>
    </row>
    <row r="27" customFormat="false" ht="13.5" hidden="false" customHeight="true" outlineLevel="0" collapsed="false">
      <c r="A27" s="109" t="s">
        <v>666</v>
      </c>
      <c r="B27" s="109" t="s">
        <v>659</v>
      </c>
      <c r="C27" s="211" t="n">
        <v>150000</v>
      </c>
      <c r="D27" s="211" t="n">
        <f aca="false">C27/12</f>
        <v>12500</v>
      </c>
      <c r="E27" s="180" t="n">
        <v>1</v>
      </c>
      <c r="F27" s="109" t="s">
        <v>633</v>
      </c>
      <c r="G27" s="180" t="s">
        <v>581</v>
      </c>
      <c r="H27" s="212" t="n">
        <v>0</v>
      </c>
      <c r="I27" s="212" t="n">
        <v>0</v>
      </c>
      <c r="J27" s="109" t="s">
        <v>648</v>
      </c>
      <c r="K27" s="180"/>
      <c r="L27" s="109" t="s">
        <v>635</v>
      </c>
      <c r="M27" s="109"/>
      <c r="N27" s="109"/>
      <c r="O27" s="109" t="s">
        <v>633</v>
      </c>
      <c r="P27" s="109" t="s">
        <v>660</v>
      </c>
      <c r="Q27" s="1" t="s">
        <v>581</v>
      </c>
    </row>
    <row r="28" customFormat="false" ht="13.5" hidden="false" customHeight="true" outlineLevel="0" collapsed="false">
      <c r="A28" s="213" t="s">
        <v>667</v>
      </c>
      <c r="B28" s="213" t="s">
        <v>659</v>
      </c>
      <c r="C28" s="214" t="n">
        <v>170000</v>
      </c>
      <c r="D28" s="214" t="n">
        <f aca="false">C28/12</f>
        <v>14166.6666666667</v>
      </c>
      <c r="E28" s="215" t="n">
        <v>2</v>
      </c>
      <c r="F28" s="213" t="s">
        <v>633</v>
      </c>
      <c r="G28" s="215" t="s">
        <v>581</v>
      </c>
      <c r="H28" s="216" t="n">
        <v>0</v>
      </c>
      <c r="I28" s="216" t="n">
        <v>0</v>
      </c>
      <c r="J28" s="213" t="s">
        <v>648</v>
      </c>
      <c r="K28" s="215"/>
      <c r="L28" s="213" t="s">
        <v>635</v>
      </c>
      <c r="M28" s="213"/>
      <c r="N28" s="213"/>
      <c r="O28" s="213" t="s">
        <v>633</v>
      </c>
      <c r="P28" s="213" t="s">
        <v>660</v>
      </c>
      <c r="Q28" s="1" t="s">
        <v>581</v>
      </c>
    </row>
    <row r="29" customFormat="false" ht="13.5" hidden="false" customHeight="true" outlineLevel="0" collapsed="false">
      <c r="A29" s="109" t="s">
        <v>668</v>
      </c>
      <c r="B29" s="109" t="s">
        <v>659</v>
      </c>
      <c r="C29" s="211" t="n">
        <v>170000</v>
      </c>
      <c r="D29" s="211" t="n">
        <f aca="false">C29/12</f>
        <v>14166.6666666667</v>
      </c>
      <c r="E29" s="180" t="n">
        <v>4</v>
      </c>
      <c r="F29" s="109" t="s">
        <v>633</v>
      </c>
      <c r="G29" s="180" t="s">
        <v>581</v>
      </c>
      <c r="H29" s="212" t="n">
        <v>0</v>
      </c>
      <c r="I29" s="212" t="n">
        <v>0</v>
      </c>
      <c r="J29" s="109" t="s">
        <v>648</v>
      </c>
      <c r="K29" s="180"/>
      <c r="L29" s="109" t="s">
        <v>635</v>
      </c>
      <c r="M29" s="109"/>
      <c r="N29" s="109"/>
      <c r="O29" s="109" t="s">
        <v>633</v>
      </c>
      <c r="P29" s="109" t="s">
        <v>660</v>
      </c>
      <c r="Q29" s="1" t="s">
        <v>581</v>
      </c>
    </row>
    <row r="30" customFormat="false" ht="13.5" hidden="false" customHeight="true" outlineLevel="0" collapsed="false">
      <c r="A30" s="213" t="s">
        <v>669</v>
      </c>
      <c r="B30" s="213" t="s">
        <v>659</v>
      </c>
      <c r="C30" s="214" t="n">
        <v>130000</v>
      </c>
      <c r="D30" s="214" t="n">
        <f aca="false">C30/12</f>
        <v>10833.3333333333</v>
      </c>
      <c r="E30" s="215" t="n">
        <v>5</v>
      </c>
      <c r="F30" s="213" t="s">
        <v>633</v>
      </c>
      <c r="G30" s="215" t="s">
        <v>581</v>
      </c>
      <c r="H30" s="216" t="n">
        <v>0</v>
      </c>
      <c r="I30" s="216" t="n">
        <v>0</v>
      </c>
      <c r="J30" s="213" t="s">
        <v>648</v>
      </c>
      <c r="K30" s="215"/>
      <c r="L30" s="213" t="s">
        <v>635</v>
      </c>
      <c r="M30" s="213"/>
      <c r="N30" s="213"/>
      <c r="O30" s="213" t="s">
        <v>633</v>
      </c>
      <c r="P30" s="213" t="s">
        <v>660</v>
      </c>
      <c r="Q30" s="1" t="s">
        <v>581</v>
      </c>
    </row>
    <row r="31" customFormat="false" ht="13.5" hidden="false" customHeight="true" outlineLevel="0" collapsed="false">
      <c r="A31" s="109" t="s">
        <v>670</v>
      </c>
      <c r="B31" s="109" t="s">
        <v>659</v>
      </c>
      <c r="C31" s="211" t="n">
        <v>160000</v>
      </c>
      <c r="D31" s="211" t="n">
        <f aca="false">C31/12</f>
        <v>13333.3333333333</v>
      </c>
      <c r="E31" s="180" t="n">
        <v>6</v>
      </c>
      <c r="F31" s="109" t="s">
        <v>633</v>
      </c>
      <c r="G31" s="180" t="s">
        <v>581</v>
      </c>
      <c r="H31" s="212" t="n">
        <v>0</v>
      </c>
      <c r="I31" s="212" t="n">
        <v>0</v>
      </c>
      <c r="J31" s="109" t="s">
        <v>648</v>
      </c>
      <c r="K31" s="180"/>
      <c r="L31" s="109" t="s">
        <v>635</v>
      </c>
      <c r="M31" s="109" t="s">
        <v>15</v>
      </c>
      <c r="N31" s="109" t="s">
        <v>671</v>
      </c>
      <c r="O31" s="109" t="s">
        <v>633</v>
      </c>
      <c r="P31" s="109" t="s">
        <v>660</v>
      </c>
      <c r="Q31" s="1" t="s">
        <v>580</v>
      </c>
    </row>
    <row r="32" customFormat="false" ht="13.5" hidden="false" customHeight="true" outlineLevel="0" collapsed="false">
      <c r="A32" s="213" t="s">
        <v>672</v>
      </c>
      <c r="B32" s="213" t="s">
        <v>673</v>
      </c>
      <c r="C32" s="214" t="n">
        <v>75000</v>
      </c>
      <c r="D32" s="214" t="n">
        <f aca="false">C32/12</f>
        <v>6250</v>
      </c>
      <c r="E32" s="215" t="n">
        <v>1</v>
      </c>
      <c r="F32" s="213" t="s">
        <v>633</v>
      </c>
      <c r="G32" s="215" t="s">
        <v>581</v>
      </c>
      <c r="H32" s="216" t="n">
        <v>0</v>
      </c>
      <c r="I32" s="216" t="n">
        <v>0</v>
      </c>
      <c r="J32" s="213" t="s">
        <v>648</v>
      </c>
      <c r="K32" s="215"/>
      <c r="L32" s="213" t="s">
        <v>635</v>
      </c>
      <c r="M32" s="213"/>
      <c r="N32" s="213"/>
      <c r="O32" s="213" t="s">
        <v>633</v>
      </c>
      <c r="P32" s="213" t="s">
        <v>655</v>
      </c>
      <c r="Q32" s="1" t="s">
        <v>581</v>
      </c>
    </row>
    <row r="33" customFormat="false" ht="13.5" hidden="false" customHeight="true" outlineLevel="0" collapsed="false">
      <c r="A33" s="109" t="s">
        <v>674</v>
      </c>
      <c r="B33" s="109" t="s">
        <v>654</v>
      </c>
      <c r="C33" s="211" t="n">
        <v>105000</v>
      </c>
      <c r="D33" s="211" t="n">
        <f aca="false">C33/12</f>
        <v>8750</v>
      </c>
      <c r="E33" s="180" t="n">
        <v>3</v>
      </c>
      <c r="F33" s="109" t="s">
        <v>633</v>
      </c>
      <c r="G33" s="180" t="s">
        <v>581</v>
      </c>
      <c r="H33" s="212" t="n">
        <v>0</v>
      </c>
      <c r="I33" s="212" t="n">
        <v>0</v>
      </c>
      <c r="J33" s="109" t="s">
        <v>648</v>
      </c>
      <c r="K33" s="180"/>
      <c r="L33" s="109" t="s">
        <v>635</v>
      </c>
      <c r="M33" s="109"/>
      <c r="N33" s="109"/>
      <c r="O33" s="109" t="s">
        <v>633</v>
      </c>
      <c r="P33" s="109" t="s">
        <v>655</v>
      </c>
      <c r="Q33" s="1" t="s">
        <v>581</v>
      </c>
    </row>
    <row r="34" customFormat="false" ht="13.5" hidden="false" customHeight="true" outlineLevel="0" collapsed="false">
      <c r="A34" s="213" t="s">
        <v>675</v>
      </c>
      <c r="B34" s="213" t="s">
        <v>676</v>
      </c>
      <c r="C34" s="214" t="n">
        <v>62400</v>
      </c>
      <c r="D34" s="214" t="n">
        <f aca="false">C34/12</f>
        <v>5200</v>
      </c>
      <c r="E34" s="215" t="n">
        <v>1</v>
      </c>
      <c r="F34" s="213" t="s">
        <v>633</v>
      </c>
      <c r="G34" s="215" t="s">
        <v>581</v>
      </c>
      <c r="H34" s="216" t="n">
        <v>0</v>
      </c>
      <c r="I34" s="216" t="n">
        <v>0</v>
      </c>
      <c r="J34" s="213" t="s">
        <v>648</v>
      </c>
      <c r="K34" s="215"/>
      <c r="L34" s="213" t="s">
        <v>635</v>
      </c>
      <c r="M34" s="213"/>
      <c r="N34" s="213"/>
      <c r="O34" s="213" t="s">
        <v>633</v>
      </c>
      <c r="P34" s="213" t="s">
        <v>677</v>
      </c>
      <c r="Q34" s="1" t="s">
        <v>581</v>
      </c>
    </row>
    <row r="35" customFormat="false" ht="13.5" hidden="false" customHeight="true" outlineLevel="0" collapsed="false">
      <c r="A35" s="109" t="s">
        <v>678</v>
      </c>
      <c r="B35" s="109" t="s">
        <v>679</v>
      </c>
      <c r="C35" s="211" t="n">
        <v>115000</v>
      </c>
      <c r="D35" s="211" t="n">
        <f aca="false">C35/12</f>
        <v>9583.33333333333</v>
      </c>
      <c r="E35" s="180" t="n">
        <v>1</v>
      </c>
      <c r="F35" s="109" t="s">
        <v>633</v>
      </c>
      <c r="G35" s="180" t="s">
        <v>581</v>
      </c>
      <c r="H35" s="212" t="n">
        <v>0</v>
      </c>
      <c r="I35" s="212" t="n">
        <v>0</v>
      </c>
      <c r="J35" s="109" t="s">
        <v>648</v>
      </c>
      <c r="K35" s="180"/>
      <c r="L35" s="109" t="s">
        <v>635</v>
      </c>
      <c r="M35" s="109"/>
      <c r="N35" s="109"/>
      <c r="O35" s="109" t="s">
        <v>633</v>
      </c>
      <c r="P35" s="109" t="s">
        <v>680</v>
      </c>
      <c r="Q35" s="1" t="s">
        <v>581</v>
      </c>
    </row>
    <row r="36" customFormat="false" ht="13.5" hidden="false" customHeight="true" outlineLevel="0" collapsed="false">
      <c r="A36" s="213" t="s">
        <v>681</v>
      </c>
      <c r="B36" s="213" t="s">
        <v>682</v>
      </c>
      <c r="C36" s="214" t="n">
        <v>69992</v>
      </c>
      <c r="D36" s="214" t="n">
        <f aca="false">C36/12</f>
        <v>5832.66666666667</v>
      </c>
      <c r="E36" s="215" t="n">
        <v>1</v>
      </c>
      <c r="F36" s="213" t="s">
        <v>633</v>
      </c>
      <c r="G36" s="215" t="s">
        <v>581</v>
      </c>
      <c r="H36" s="216" t="n">
        <v>0</v>
      </c>
      <c r="I36" s="216" t="n">
        <v>0</v>
      </c>
      <c r="J36" s="213" t="s">
        <v>648</v>
      </c>
      <c r="K36" s="215"/>
      <c r="L36" s="213" t="s">
        <v>635</v>
      </c>
      <c r="M36" s="213"/>
      <c r="N36" s="213"/>
      <c r="O36" s="213" t="s">
        <v>633</v>
      </c>
      <c r="P36" s="213" t="s">
        <v>683</v>
      </c>
      <c r="Q36" s="1" t="s">
        <v>581</v>
      </c>
    </row>
    <row r="37" customFormat="false" ht="13.5" hidden="false" customHeight="true" outlineLevel="0" collapsed="false">
      <c r="A37" s="109" t="s">
        <v>684</v>
      </c>
      <c r="B37" s="109" t="s">
        <v>682</v>
      </c>
      <c r="C37" s="211" t="n">
        <v>52000</v>
      </c>
      <c r="D37" s="211" t="n">
        <f aca="false">C37/12</f>
        <v>4333.33333333333</v>
      </c>
      <c r="E37" s="180" t="n">
        <v>1</v>
      </c>
      <c r="F37" s="109" t="s">
        <v>633</v>
      </c>
      <c r="G37" s="180" t="s">
        <v>581</v>
      </c>
      <c r="H37" s="212" t="n">
        <v>0</v>
      </c>
      <c r="I37" s="212" t="n">
        <v>0</v>
      </c>
      <c r="J37" s="109" t="s">
        <v>648</v>
      </c>
      <c r="K37" s="180"/>
      <c r="L37" s="109" t="s">
        <v>635</v>
      </c>
      <c r="M37" s="109"/>
      <c r="N37" s="109"/>
      <c r="O37" s="109" t="s">
        <v>633</v>
      </c>
      <c r="P37" s="109" t="s">
        <v>683</v>
      </c>
      <c r="Q37" s="1" t="s">
        <v>581</v>
      </c>
    </row>
    <row r="38" customFormat="false" ht="13.5" hidden="false" customHeight="true" outlineLevel="0" collapsed="false">
      <c r="A38" s="213" t="s">
        <v>685</v>
      </c>
      <c r="B38" s="213" t="s">
        <v>686</v>
      </c>
      <c r="C38" s="214" t="n">
        <v>43680</v>
      </c>
      <c r="D38" s="214" t="n">
        <f aca="false">C38/12</f>
        <v>3640</v>
      </c>
      <c r="E38" s="215" t="n">
        <v>1</v>
      </c>
      <c r="F38" s="213" t="s">
        <v>633</v>
      </c>
      <c r="G38" s="215" t="s">
        <v>581</v>
      </c>
      <c r="H38" s="216" t="n">
        <v>0</v>
      </c>
      <c r="I38" s="216" t="n">
        <v>0</v>
      </c>
      <c r="J38" s="213" t="s">
        <v>648</v>
      </c>
      <c r="K38" s="215"/>
      <c r="L38" s="213" t="s">
        <v>635</v>
      </c>
      <c r="M38" s="213"/>
      <c r="N38" s="213"/>
      <c r="O38" s="213" t="s">
        <v>633</v>
      </c>
      <c r="P38" s="213" t="s">
        <v>683</v>
      </c>
      <c r="Q38" s="1" t="s">
        <v>581</v>
      </c>
    </row>
    <row r="40" customFormat="false" ht="13.5" hidden="false" customHeight="true" outlineLevel="0" collapsed="false">
      <c r="A40" s="209" t="s">
        <v>687</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688</v>
      </c>
      <c r="B41" s="109" t="s">
        <v>662</v>
      </c>
      <c r="C41" s="211" t="n">
        <v>90000</v>
      </c>
      <c r="D41" s="211" t="n">
        <f aca="false">C41/12</f>
        <v>7500</v>
      </c>
      <c r="E41" s="180" t="n">
        <v>10</v>
      </c>
      <c r="F41" s="109" t="s">
        <v>633</v>
      </c>
      <c r="G41" s="180" t="s">
        <v>581</v>
      </c>
      <c r="H41" s="212" t="n">
        <v>0</v>
      </c>
      <c r="I41" s="212" t="n">
        <v>0</v>
      </c>
      <c r="J41" s="109" t="s">
        <v>648</v>
      </c>
      <c r="K41" s="180"/>
      <c r="L41" s="109" t="s">
        <v>689</v>
      </c>
      <c r="M41" s="109" t="s">
        <v>690</v>
      </c>
      <c r="N41" s="109" t="s">
        <v>691</v>
      </c>
      <c r="O41" s="109" t="s">
        <v>633</v>
      </c>
      <c r="P41" s="109" t="s">
        <v>663</v>
      </c>
      <c r="Q41" s="1" t="s">
        <v>581</v>
      </c>
    </row>
    <row r="43" customFormat="false" ht="13.5" hidden="false" customHeight="true" outlineLevel="0" collapsed="false">
      <c r="A43" s="209" t="s">
        <v>692</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693</v>
      </c>
      <c r="B44" s="109" t="s">
        <v>694</v>
      </c>
      <c r="C44" s="211" t="n">
        <v>400000</v>
      </c>
      <c r="D44" s="211" t="n">
        <f aca="false">C44/12</f>
        <v>33333.3333333333</v>
      </c>
      <c r="E44" s="180" t="n">
        <v>1</v>
      </c>
      <c r="F44" s="109" t="s">
        <v>695</v>
      </c>
      <c r="G44" s="180" t="s">
        <v>581</v>
      </c>
      <c r="H44" s="212" t="n">
        <v>1</v>
      </c>
      <c r="I44" s="212" t="n">
        <v>0</v>
      </c>
      <c r="J44" s="109" t="s">
        <v>696</v>
      </c>
      <c r="K44" s="180"/>
      <c r="L44" s="109" t="s">
        <v>635</v>
      </c>
      <c r="M44" s="109"/>
      <c r="N44" s="109"/>
      <c r="O44" s="109" t="s">
        <v>697</v>
      </c>
      <c r="P44" s="109" t="s">
        <v>696</v>
      </c>
      <c r="Q44" s="1" t="s">
        <v>581</v>
      </c>
    </row>
    <row r="45" customFormat="false" ht="13.5" hidden="false" customHeight="true" outlineLevel="0" collapsed="false">
      <c r="A45" s="213" t="s">
        <v>698</v>
      </c>
      <c r="B45" s="213" t="s">
        <v>694</v>
      </c>
      <c r="C45" s="214" t="n">
        <v>400000</v>
      </c>
      <c r="D45" s="214" t="n">
        <f aca="false">C45/12</f>
        <v>33333.3333333333</v>
      </c>
      <c r="E45" s="215" t="n">
        <v>1</v>
      </c>
      <c r="F45" s="213" t="s">
        <v>695</v>
      </c>
      <c r="G45" s="215" t="s">
        <v>581</v>
      </c>
      <c r="H45" s="216" t="n">
        <v>1</v>
      </c>
      <c r="I45" s="216" t="n">
        <v>0</v>
      </c>
      <c r="J45" s="213" t="s">
        <v>696</v>
      </c>
      <c r="K45" s="215"/>
      <c r="L45" s="213" t="s">
        <v>635</v>
      </c>
      <c r="M45" s="213"/>
      <c r="N45" s="213"/>
      <c r="O45" s="213" t="s">
        <v>697</v>
      </c>
      <c r="P45" s="213" t="s">
        <v>696</v>
      </c>
      <c r="Q45" s="1" t="s">
        <v>581</v>
      </c>
    </row>
    <row r="46" customFormat="false" ht="13.5" hidden="false" customHeight="true" outlineLevel="0" collapsed="false">
      <c r="A46" s="109" t="s">
        <v>699</v>
      </c>
      <c r="B46" s="109" t="s">
        <v>700</v>
      </c>
      <c r="C46" s="211" t="n">
        <v>222000</v>
      </c>
      <c r="D46" s="211" t="n">
        <f aca="false">C46/12</f>
        <v>18500</v>
      </c>
      <c r="E46" s="180" t="n">
        <v>1</v>
      </c>
      <c r="F46" s="109" t="s">
        <v>695</v>
      </c>
      <c r="G46" s="180" t="s">
        <v>581</v>
      </c>
      <c r="H46" s="212" t="n">
        <v>1</v>
      </c>
      <c r="I46" s="212" t="n">
        <v>0</v>
      </c>
      <c r="J46" s="109" t="s">
        <v>696</v>
      </c>
      <c r="K46" s="180"/>
      <c r="L46" s="109" t="s">
        <v>635</v>
      </c>
      <c r="M46" s="109"/>
      <c r="N46" s="109"/>
      <c r="O46" s="109" t="s">
        <v>701</v>
      </c>
      <c r="P46" s="109" t="s">
        <v>696</v>
      </c>
      <c r="Q46" s="1" t="s">
        <v>581</v>
      </c>
    </row>
    <row r="47" customFormat="false" ht="13.5" hidden="false" customHeight="true" outlineLevel="0" collapsed="false">
      <c r="A47" s="213" t="s">
        <v>702</v>
      </c>
      <c r="B47" s="213" t="s">
        <v>703</v>
      </c>
      <c r="C47" s="214" t="n">
        <v>115000</v>
      </c>
      <c r="D47" s="214" t="n">
        <f aca="false">C47/12</f>
        <v>9583.33333333333</v>
      </c>
      <c r="E47" s="215" t="n">
        <v>1</v>
      </c>
      <c r="F47" s="213" t="s">
        <v>695</v>
      </c>
      <c r="G47" s="215" t="s">
        <v>581</v>
      </c>
      <c r="H47" s="216" t="n">
        <v>1</v>
      </c>
      <c r="I47" s="216" t="n">
        <v>0</v>
      </c>
      <c r="J47" s="213" t="s">
        <v>696</v>
      </c>
      <c r="K47" s="215"/>
      <c r="L47" s="213" t="s">
        <v>635</v>
      </c>
      <c r="M47" s="213"/>
      <c r="N47" s="213"/>
      <c r="O47" s="213" t="s">
        <v>701</v>
      </c>
      <c r="P47" s="213" t="s">
        <v>696</v>
      </c>
      <c r="Q47" s="1" t="s">
        <v>581</v>
      </c>
    </row>
    <row r="48" customFormat="false" ht="13.5" hidden="false" customHeight="true" outlineLevel="0" collapsed="false">
      <c r="A48" s="109" t="s">
        <v>704</v>
      </c>
      <c r="B48" s="109" t="s">
        <v>705</v>
      </c>
      <c r="C48" s="211" t="n">
        <v>250000</v>
      </c>
      <c r="D48" s="211" t="n">
        <f aca="false">C48/12</f>
        <v>20833.3333333333</v>
      </c>
      <c r="E48" s="180" t="n">
        <v>1</v>
      </c>
      <c r="F48" s="109" t="s">
        <v>695</v>
      </c>
      <c r="G48" s="180" t="s">
        <v>581</v>
      </c>
      <c r="H48" s="212" t="n">
        <v>0</v>
      </c>
      <c r="I48" s="212" t="n">
        <v>0</v>
      </c>
      <c r="J48" s="109" t="s">
        <v>696</v>
      </c>
      <c r="K48" s="180"/>
      <c r="L48" s="109" t="s">
        <v>635</v>
      </c>
      <c r="M48" s="109"/>
      <c r="N48" s="109"/>
      <c r="O48" s="109" t="s">
        <v>706</v>
      </c>
      <c r="P48" s="109" t="s">
        <v>696</v>
      </c>
      <c r="Q48" s="1" t="s">
        <v>581</v>
      </c>
    </row>
    <row r="49" customFormat="false" ht="13.5" hidden="false" customHeight="true" outlineLevel="0" collapsed="false">
      <c r="A49" s="213" t="s">
        <v>707</v>
      </c>
      <c r="B49" s="213" t="s">
        <v>708</v>
      </c>
      <c r="C49" s="214" t="n">
        <v>150000</v>
      </c>
      <c r="D49" s="214" t="n">
        <f aca="false">C49/12</f>
        <v>12500</v>
      </c>
      <c r="E49" s="215" t="n">
        <v>1</v>
      </c>
      <c r="F49" s="213" t="s">
        <v>695</v>
      </c>
      <c r="G49" s="215" t="s">
        <v>581</v>
      </c>
      <c r="H49" s="216" t="n">
        <v>0</v>
      </c>
      <c r="I49" s="216" t="n">
        <v>0</v>
      </c>
      <c r="J49" s="213" t="s">
        <v>696</v>
      </c>
      <c r="K49" s="215"/>
      <c r="L49" s="213" t="s">
        <v>635</v>
      </c>
      <c r="M49" s="213"/>
      <c r="N49" s="213"/>
      <c r="O49" s="213" t="s">
        <v>706</v>
      </c>
      <c r="P49" s="213" t="s">
        <v>696</v>
      </c>
      <c r="Q49" s="1" t="s">
        <v>581</v>
      </c>
    </row>
    <row r="50" customFormat="false" ht="13.5" hidden="false" customHeight="true" outlineLevel="0" collapsed="false">
      <c r="A50" s="109" t="s">
        <v>709</v>
      </c>
      <c r="B50" s="109" t="s">
        <v>710</v>
      </c>
      <c r="C50" s="211" t="n">
        <v>250000</v>
      </c>
      <c r="D50" s="211" t="n">
        <f aca="false">C50/12</f>
        <v>20833.3333333333</v>
      </c>
      <c r="E50" s="180" t="n">
        <v>1</v>
      </c>
      <c r="F50" s="109" t="s">
        <v>695</v>
      </c>
      <c r="G50" s="180" t="s">
        <v>581</v>
      </c>
      <c r="H50" s="212" t="n">
        <v>0</v>
      </c>
      <c r="I50" s="212" t="n">
        <v>0</v>
      </c>
      <c r="J50" s="109" t="s">
        <v>696</v>
      </c>
      <c r="K50" s="180"/>
      <c r="L50" s="109" t="s">
        <v>635</v>
      </c>
      <c r="M50" s="109"/>
      <c r="N50" s="109"/>
      <c r="O50" s="109" t="s">
        <v>706</v>
      </c>
      <c r="P50" s="109" t="s">
        <v>696</v>
      </c>
      <c r="Q50" s="1" t="s">
        <v>581</v>
      </c>
    </row>
    <row r="52" customFormat="false" ht="13.5" hidden="false" customHeight="true" outlineLevel="0" collapsed="false">
      <c r="A52" s="209" t="s">
        <v>711</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712</v>
      </c>
      <c r="B53" s="109" t="s">
        <v>713</v>
      </c>
      <c r="C53" s="211" t="n">
        <v>125000</v>
      </c>
      <c r="D53" s="211" t="n">
        <f aca="false">C53/12</f>
        <v>10416.6666666667</v>
      </c>
      <c r="E53" s="180" t="n">
        <v>2</v>
      </c>
      <c r="F53" s="109" t="s">
        <v>633</v>
      </c>
      <c r="G53" s="180" t="s">
        <v>581</v>
      </c>
      <c r="H53" s="212" t="n">
        <v>0</v>
      </c>
      <c r="I53" s="212" t="n">
        <v>0</v>
      </c>
      <c r="J53" s="109" t="s">
        <v>648</v>
      </c>
      <c r="K53" s="180" t="n">
        <v>4</v>
      </c>
      <c r="L53" s="109" t="s">
        <v>714</v>
      </c>
      <c r="M53" s="109"/>
      <c r="N53" s="109" t="s">
        <v>715</v>
      </c>
      <c r="O53" s="109" t="s">
        <v>633</v>
      </c>
      <c r="P53" s="109" t="s">
        <v>680</v>
      </c>
      <c r="Q53" s="1" t="s">
        <v>581</v>
      </c>
    </row>
    <row r="54" customFormat="false" ht="13.5" hidden="false" customHeight="true" outlineLevel="0" collapsed="false">
      <c r="A54" s="213" t="s">
        <v>716</v>
      </c>
      <c r="B54" s="213" t="s">
        <v>717</v>
      </c>
      <c r="C54" s="214" t="n">
        <v>110000</v>
      </c>
      <c r="D54" s="214" t="n">
        <f aca="false">C54/12</f>
        <v>9166.66666666667</v>
      </c>
      <c r="E54" s="215" t="n">
        <v>1</v>
      </c>
      <c r="F54" s="213" t="s">
        <v>633</v>
      </c>
      <c r="G54" s="215" t="s">
        <v>581</v>
      </c>
      <c r="H54" s="216" t="n">
        <v>0</v>
      </c>
      <c r="I54" s="216" t="n">
        <v>0</v>
      </c>
      <c r="J54" s="213" t="s">
        <v>648</v>
      </c>
      <c r="K54" s="215" t="n">
        <v>4</v>
      </c>
      <c r="L54" s="213" t="s">
        <v>714</v>
      </c>
      <c r="M54" s="213"/>
      <c r="N54" s="213" t="s">
        <v>715</v>
      </c>
      <c r="O54" s="213" t="s">
        <v>633</v>
      </c>
      <c r="P54" s="213" t="s">
        <v>660</v>
      </c>
      <c r="Q54" s="1" t="s">
        <v>581</v>
      </c>
    </row>
    <row r="56" customFormat="false" ht="13.5" hidden="false" customHeight="true" outlineLevel="0" collapsed="false">
      <c r="A56" s="209" t="s">
        <v>718</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719</v>
      </c>
      <c r="B57" s="213" t="s">
        <v>654</v>
      </c>
      <c r="C57" s="214" t="n">
        <v>120000</v>
      </c>
      <c r="D57" s="214" t="n">
        <f aca="false">C57/12</f>
        <v>10000</v>
      </c>
      <c r="E57" s="215" t="n">
        <v>5</v>
      </c>
      <c r="F57" s="213" t="s">
        <v>633</v>
      </c>
      <c r="G57" s="215" t="s">
        <v>581</v>
      </c>
      <c r="H57" s="216" t="n">
        <v>0</v>
      </c>
      <c r="I57" s="216" t="n">
        <v>0</v>
      </c>
      <c r="J57" s="213" t="s">
        <v>648</v>
      </c>
      <c r="K57" s="215"/>
      <c r="L57" s="213" t="s">
        <v>635</v>
      </c>
      <c r="M57" s="213"/>
      <c r="N57" s="213" t="s">
        <v>720</v>
      </c>
      <c r="O57" s="213" t="s">
        <v>633</v>
      </c>
      <c r="P57" s="213" t="s">
        <v>655</v>
      </c>
      <c r="Q57" s="1" t="s">
        <v>580</v>
      </c>
    </row>
    <row r="58" customFormat="false" ht="13.5" hidden="false" customHeight="true" outlineLevel="0" collapsed="false">
      <c r="A58" s="213" t="s">
        <v>721</v>
      </c>
      <c r="B58" s="213" t="s">
        <v>679</v>
      </c>
      <c r="C58" s="214" t="n">
        <v>125000</v>
      </c>
      <c r="D58" s="214" t="n">
        <f aca="false">C58/12</f>
        <v>10416.6666666667</v>
      </c>
      <c r="E58" s="215" t="n">
        <v>6</v>
      </c>
      <c r="F58" s="213" t="s">
        <v>633</v>
      </c>
      <c r="G58" s="215" t="s">
        <v>581</v>
      </c>
      <c r="H58" s="216" t="n">
        <v>0</v>
      </c>
      <c r="I58" s="216" t="n">
        <v>0</v>
      </c>
      <c r="J58" s="213" t="s">
        <v>648</v>
      </c>
      <c r="K58" s="215"/>
      <c r="L58" s="213" t="s">
        <v>635</v>
      </c>
      <c r="M58" s="213"/>
      <c r="N58" s="213" t="s">
        <v>720</v>
      </c>
      <c r="O58" s="213" t="s">
        <v>633</v>
      </c>
      <c r="P58" s="213" t="s">
        <v>680</v>
      </c>
      <c r="Q58" s="1" t="s">
        <v>580</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722</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723</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724</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725</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723</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724</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725</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723</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726</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724</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725</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723</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726</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724</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725</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723</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726</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724</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725</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723</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726</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307</v>
      </c>
      <c r="B34" s="3"/>
      <c r="C34" s="222" t="n">
        <f aca="false">Model!E379</f>
        <v>0</v>
      </c>
      <c r="D34" s="222" t="n">
        <f aca="false">Model!F379</f>
        <v>0</v>
      </c>
      <c r="E34" s="222" t="n">
        <f aca="false">Model!G379</f>
        <v>0</v>
      </c>
      <c r="F34" s="222" t="n">
        <f aca="false">Model!H379</f>
        <v>0</v>
      </c>
      <c r="G34" s="222" t="n">
        <f aca="false">Model!I379</f>
        <v>0</v>
      </c>
      <c r="H34" s="222" t="n">
        <f aca="false">Model!J379</f>
        <v>0</v>
      </c>
      <c r="I34" s="222" t="n">
        <f aca="false">Model!K379</f>
        <v>0</v>
      </c>
      <c r="J34" s="222" t="n">
        <f aca="false">Model!L379</f>
        <v>0</v>
      </c>
      <c r="K34" s="222" t="n">
        <f aca="false">Model!M379</f>
        <v>0</v>
      </c>
      <c r="L34" s="222" t="n">
        <f aca="false">Model!N379</f>
        <v>0</v>
      </c>
      <c r="M34" s="222" t="n">
        <f aca="false">Model!O379</f>
        <v>0</v>
      </c>
      <c r="N34" s="222" t="n">
        <f aca="false">Model!P379</f>
        <v>0</v>
      </c>
      <c r="O34" s="222" t="n">
        <f aca="false">Model!Q379</f>
        <v>0</v>
      </c>
      <c r="P34" s="222" t="n">
        <f aca="false">Model!R379</f>
        <v>0</v>
      </c>
      <c r="Q34" s="222" t="n">
        <f aca="false">Model!S379</f>
        <v>0</v>
      </c>
      <c r="R34" s="222" t="n">
        <f aca="false">Model!T379</f>
        <v>0</v>
      </c>
      <c r="S34" s="222" t="n">
        <f aca="false">Model!U379</f>
        <v>0</v>
      </c>
      <c r="T34" s="222" t="n">
        <f aca="false">Model!V379</f>
        <v>0</v>
      </c>
      <c r="U34" s="222" t="n">
        <f aca="false">Model!W379</f>
        <v>0</v>
      </c>
      <c r="V34" s="222" t="n">
        <f aca="false">Model!X379</f>
        <v>0</v>
      </c>
      <c r="W34" s="222" t="n">
        <f aca="false">Model!Y379</f>
        <v>0</v>
      </c>
      <c r="X34" s="222" t="n">
        <f aca="false">Model!Z379</f>
        <v>0</v>
      </c>
      <c r="Y34" s="222" t="n">
        <f aca="false">Model!AA379</f>
        <v>0</v>
      </c>
      <c r="Z34" s="222" t="n">
        <f aca="false">Model!AB379</f>
        <v>0</v>
      </c>
      <c r="AA34" s="222" t="n">
        <f aca="false">Model!AC379</f>
        <v>0</v>
      </c>
      <c r="AB34" s="222" t="n">
        <f aca="false">Model!AD379</f>
        <v>0</v>
      </c>
      <c r="AC34" s="222" t="n">
        <f aca="false">Model!AE379</f>
        <v>0</v>
      </c>
      <c r="AD34" s="222" t="n">
        <f aca="false">Model!AF379</f>
        <v>0</v>
      </c>
      <c r="AE34" s="222" t="n">
        <f aca="false">Model!AG379</f>
        <v>0</v>
      </c>
      <c r="AF34" s="222" t="n">
        <f aca="false">Model!AH379</f>
        <v>0</v>
      </c>
      <c r="AG34" s="222" t="n">
        <f aca="false">Model!AI379</f>
        <v>0</v>
      </c>
      <c r="AH34" s="222" t="n">
        <f aca="false">Model!AJ379</f>
        <v>0</v>
      </c>
      <c r="AI34" s="222" t="n">
        <f aca="false">Model!AK379</f>
        <v>0</v>
      </c>
      <c r="AJ34" s="222" t="n">
        <f aca="false">Model!AL379</f>
        <v>0</v>
      </c>
      <c r="AK34" s="222" t="n">
        <f aca="false">Model!AM379</f>
        <v>0</v>
      </c>
      <c r="AL34" s="222" t="n">
        <f aca="false">Model!AN379</f>
        <v>0</v>
      </c>
      <c r="AM34" s="222" t="n">
        <f aca="false">Model!AO379</f>
        <v>0</v>
      </c>
      <c r="AN34" s="222" t="n">
        <f aca="false">Model!AP379</f>
        <v>0</v>
      </c>
      <c r="AO34" s="222" t="n">
        <f aca="false">Model!AQ379</f>
        <v>0</v>
      </c>
      <c r="AP34" s="222" t="n">
        <f aca="false">Model!AR379</f>
        <v>0</v>
      </c>
      <c r="AQ34" s="222" t="n">
        <f aca="false">Model!AS379</f>
        <v>0</v>
      </c>
      <c r="AR34" s="222" t="n">
        <f aca="false">Model!AT379</f>
        <v>0</v>
      </c>
      <c r="AS34" s="222" t="n">
        <f aca="false">Model!AU379</f>
        <v>0</v>
      </c>
      <c r="AT34" s="222" t="n">
        <f aca="false">Model!AV379</f>
        <v>0</v>
      </c>
      <c r="AU34" s="222" t="n">
        <f aca="false">Model!AW379</f>
        <v>0</v>
      </c>
      <c r="AV34" s="222" t="n">
        <f aca="false">Model!AX379</f>
        <v>0</v>
      </c>
      <c r="AW34" s="222" t="n">
        <f aca="false">Model!AY379</f>
        <v>0</v>
      </c>
      <c r="AX34" s="222" t="n">
        <f aca="false">Model!AZ379</f>
        <v>0</v>
      </c>
      <c r="AY34" s="222" t="n">
        <f aca="false">Model!BA379</f>
        <v>0</v>
      </c>
      <c r="AZ34" s="222" t="n">
        <f aca="false">Model!BB379</f>
        <v>0</v>
      </c>
      <c r="BA34" s="222" t="n">
        <f aca="false">Model!BC379</f>
        <v>0</v>
      </c>
      <c r="BB34" s="222" t="n">
        <f aca="false">Model!BD379</f>
        <v>0</v>
      </c>
      <c r="BC34" s="222" t="n">
        <f aca="false">Model!BE379</f>
        <v>0</v>
      </c>
      <c r="BD34" s="222" t="n">
        <f aca="false">Model!BF379</f>
        <v>0</v>
      </c>
      <c r="BE34" s="222" t="n">
        <f aca="false">Model!BG379</f>
        <v>0</v>
      </c>
      <c r="BF34" s="222" t="n">
        <f aca="false">Model!BH379</f>
        <v>0</v>
      </c>
      <c r="BG34" s="222" t="n">
        <f aca="false">Model!BI379</f>
        <v>0</v>
      </c>
      <c r="BH34" s="222" t="n">
        <f aca="false">Model!BJ379</f>
        <v>0</v>
      </c>
      <c r="BI34" s="222" t="n">
        <f aca="false">Model!BK379</f>
        <v>0</v>
      </c>
      <c r="BJ34" s="222" t="n">
        <f aca="false">Model!BL379</f>
        <v>0</v>
      </c>
      <c r="BK34" s="222" t="n">
        <f aca="false">Model!BM379</f>
        <v>0</v>
      </c>
      <c r="BL34" s="222" t="n">
        <f aca="false">Model!BN379</f>
        <v>0</v>
      </c>
      <c r="BM34" s="222" t="n">
        <f aca="false">Model!BO379</f>
        <v>0</v>
      </c>
      <c r="BN34" s="222" t="n">
        <f aca="false">Model!BP379</f>
        <v>0</v>
      </c>
      <c r="BO34" s="222" t="n">
        <f aca="false">Model!BQ379</f>
        <v>0</v>
      </c>
      <c r="BP34" s="222" t="n">
        <f aca="false">Model!BR379</f>
        <v>0</v>
      </c>
      <c r="BQ34" s="222" t="n">
        <f aca="false">Model!BS379</f>
        <v>0</v>
      </c>
      <c r="BR34" s="222" t="n">
        <f aca="false">Model!BT379</f>
        <v>0</v>
      </c>
      <c r="BS34" s="222" t="n">
        <f aca="false">Model!BU379</f>
        <v>0</v>
      </c>
      <c r="BT34" s="222" t="n">
        <f aca="false">Model!BV379</f>
        <v>0</v>
      </c>
      <c r="BU34" s="222" t="n">
        <f aca="false">Model!BW379</f>
        <v>0</v>
      </c>
      <c r="BV34" s="222" t="n">
        <f aca="false">Model!BX379</f>
        <v>0</v>
      </c>
      <c r="BW34" s="222" t="n">
        <f aca="false">Model!BY379</f>
        <v>0</v>
      </c>
      <c r="BX34" s="222" t="n">
        <f aca="false">Model!BZ379</f>
        <v>0</v>
      </c>
      <c r="BY34" s="222" t="n">
        <f aca="false">Model!CA379</f>
        <v>0</v>
      </c>
      <c r="BZ34" s="222" t="n">
        <f aca="false">Model!CB379</f>
        <v>0</v>
      </c>
      <c r="CA34" s="222" t="n">
        <f aca="false">Model!CC379</f>
        <v>0</v>
      </c>
      <c r="CB34" s="222" t="n">
        <f aca="false">Model!CD379</f>
        <v>0</v>
      </c>
      <c r="CC34" s="222" t="n">
        <f aca="false">Model!CE379</f>
        <v>0</v>
      </c>
      <c r="CD34" s="222" t="n">
        <f aca="false">Model!CF379</f>
        <v>0</v>
      </c>
      <c r="CE34" s="222" t="n">
        <f aca="false">Model!CG379</f>
        <v>0</v>
      </c>
      <c r="CF34" s="222" t="n">
        <f aca="false">Model!CH379</f>
        <v>0</v>
      </c>
      <c r="CG34" s="222" t="n">
        <f aca="false">Model!CI379</f>
        <v>0</v>
      </c>
      <c r="CH34" s="222" t="n">
        <f aca="false">Model!CJ379</f>
        <v>0</v>
      </c>
    </row>
    <row r="35" customFormat="false" ht="15" hidden="false" customHeight="true" outlineLevel="0" collapsed="false">
      <c r="A35" s="218" t="s">
        <v>724</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725</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723</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726</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-73156</v>
      </c>
      <c r="BZ40" s="222" t="n">
        <f aca="false">Model!CB291</f>
        <v>-0</v>
      </c>
      <c r="CA40" s="222" t="n">
        <f aca="false">Model!CC291</f>
        <v>-0</v>
      </c>
      <c r="CB40" s="222" t="n">
        <f aca="false">Model!CD291</f>
        <v>-73155</v>
      </c>
      <c r="CC40" s="222" t="n">
        <f aca="false">Model!CE291</f>
        <v>-0</v>
      </c>
      <c r="CD40" s="222" t="n">
        <f aca="false">Model!CF291</f>
        <v>-0</v>
      </c>
      <c r="CE40" s="222" t="n">
        <f aca="false">Model!CG291</f>
        <v>-73155</v>
      </c>
      <c r="CF40" s="222" t="n">
        <f aca="false">Model!CH291</f>
        <v>-0</v>
      </c>
      <c r="CG40" s="222" t="n">
        <f aca="false">Model!CI291</f>
        <v>-0</v>
      </c>
      <c r="CH40" s="222" t="n">
        <f aca="false">Model!CJ291</f>
        <v>-73155</v>
      </c>
    </row>
    <row r="41" customFormat="false" ht="15" hidden="false" customHeight="true" outlineLevel="0" collapsed="false">
      <c r="A41" s="218" t="s">
        <v>724</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-73156</v>
      </c>
      <c r="BZ41" s="219" t="n">
        <f aca="false">BZ39+BZ40</f>
        <v>0</v>
      </c>
      <c r="CA41" s="219" t="n">
        <f aca="false">CA39+CA40</f>
        <v>0</v>
      </c>
      <c r="CB41" s="219" t="n">
        <f aca="false">CB39+CB40</f>
        <v>-73155</v>
      </c>
      <c r="CC41" s="219" t="n">
        <f aca="false">CC39+CC40</f>
        <v>0</v>
      </c>
      <c r="CD41" s="219" t="n">
        <f aca="false">CD39+CD40</f>
        <v>0</v>
      </c>
      <c r="CE41" s="219" t="n">
        <f aca="false">CE39+CE40</f>
        <v>-73155</v>
      </c>
      <c r="CF41" s="219" t="n">
        <f aca="false">CF39+CF40</f>
        <v>0</v>
      </c>
      <c r="CG41" s="219" t="n">
        <f aca="false">CG39+CG40</f>
        <v>0</v>
      </c>
      <c r="CH41" s="219" t="n">
        <f aca="false">CH39+CH40</f>
        <v>-73155</v>
      </c>
    </row>
    <row r="42" customFormat="false" ht="15" hidden="false" customHeight="true" outlineLevel="0" collapsed="false">
      <c r="A42" s="2" t="s">
        <v>725</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-73156</v>
      </c>
      <c r="BZ42" s="220" t="n">
        <f aca="false">BY42+BZ41</f>
        <v>-73156</v>
      </c>
      <c r="CA42" s="220" t="n">
        <f aca="false">BZ42+CA41</f>
        <v>-73156</v>
      </c>
      <c r="CB42" s="220" t="n">
        <f aca="false">CA42+CB41</f>
        <v>-146311</v>
      </c>
      <c r="CC42" s="220" t="n">
        <f aca="false">CB42+CC41</f>
        <v>-146311</v>
      </c>
      <c r="CD42" s="220" t="n">
        <f aca="false">CC42+CD41</f>
        <v>-146311</v>
      </c>
      <c r="CE42" s="220" t="n">
        <f aca="false">CD42+CE41</f>
        <v>-219466</v>
      </c>
      <c r="CF42" s="220" t="n">
        <f aca="false">CE42+CF41</f>
        <v>-219466</v>
      </c>
      <c r="CG42" s="220" t="n">
        <f aca="false">CF42+CG41</f>
        <v>-219466</v>
      </c>
      <c r="CH42" s="220"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727</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728</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-5394</v>
      </c>
      <c r="BZ45" s="219" t="n">
        <f aca="false">BZ5+BZ10+BZ16+BZ22+BZ28+BZ35+BZ41</f>
        <v>0</v>
      </c>
      <c r="CA45" s="219" t="n">
        <f aca="false">CA5+CA10+CA16+CA22+CA28+CA35+CA41</f>
        <v>0</v>
      </c>
      <c r="CB45" s="219" t="n">
        <f aca="false">CB5+CB10+CB16+CB22+CB28+CB35+CB41</f>
        <v>3344</v>
      </c>
      <c r="CC45" s="219" t="n">
        <f aca="false">CC5+CC10+CC16+CC22+CC28+CC35+CC41</f>
        <v>0</v>
      </c>
      <c r="CD45" s="219" t="n">
        <f aca="false">CD5+CD10+CD16+CD22+CD28+CD35+CD41</f>
        <v>0</v>
      </c>
      <c r="CE45" s="219" t="n">
        <f aca="false">CE5+CE10+CE16+CE22+CE28+CE35+CE41</f>
        <v>3344</v>
      </c>
      <c r="CF45" s="219" t="n">
        <f aca="false">CF5+CF10+CF16+CF22+CF28+CF35+CF41</f>
        <v>0</v>
      </c>
      <c r="CG45" s="219" t="n">
        <f aca="false">CG5+CG10+CG16+CG22+CG28+CG35+CG41</f>
        <v>0</v>
      </c>
      <c r="CH45" s="219" t="n">
        <f aca="false">CH5+CH10+CH16+CH22+CH28+CH35+CH41</f>
        <v>9952.02660647922</v>
      </c>
    </row>
    <row r="46" customFormat="false" ht="15" hidden="false" customHeight="true" outlineLevel="0" collapsed="false">
      <c r="A46" s="2" t="s">
        <v>729</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736015.1</v>
      </c>
      <c r="BZ46" s="220" t="n">
        <f aca="false">BY46+BZ45</f>
        <v>736015.1</v>
      </c>
      <c r="CA46" s="220" t="n">
        <f aca="false">BZ46+CA45</f>
        <v>736015.1</v>
      </c>
      <c r="CB46" s="220" t="n">
        <f aca="false">CA46+CB45</f>
        <v>739359.1</v>
      </c>
      <c r="CC46" s="220" t="n">
        <f aca="false">CB46+CC45</f>
        <v>739359.1</v>
      </c>
      <c r="CD46" s="220" t="n">
        <f aca="false">CC46+CD45</f>
        <v>739359.1</v>
      </c>
      <c r="CE46" s="220" t="n">
        <f aca="false">CD46+CE45</f>
        <v>742703.1</v>
      </c>
      <c r="CF46" s="220" t="n">
        <f aca="false">CE46+CF45</f>
        <v>742703.1</v>
      </c>
      <c r="CG46" s="220" t="n">
        <f aca="false">CF46+CG45</f>
        <v>742703.1</v>
      </c>
      <c r="CH46" s="220"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730</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731</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732</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733</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734</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735</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736</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737</v>
      </c>
      <c r="B55" s="224" t="s">
        <v>738</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739</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740</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741</v>
      </c>
      <c r="B3" s="4"/>
      <c r="C3" s="4"/>
      <c r="D3" s="4"/>
      <c r="E3" s="4"/>
      <c r="F3" s="4"/>
      <c r="G3" s="4"/>
      <c r="H3" s="3"/>
      <c r="I3" s="3"/>
    </row>
    <row r="4" customFormat="false" ht="15" hidden="false" customHeight="true" outlineLevel="0" collapsed="false">
      <c r="A4" s="23" t="s">
        <v>742</v>
      </c>
      <c r="B4" s="23" t="s">
        <v>743</v>
      </c>
      <c r="C4" s="23" t="s">
        <v>744</v>
      </c>
      <c r="D4" s="23" t="s">
        <v>745</v>
      </c>
      <c r="E4" s="23" t="s">
        <v>746</v>
      </c>
      <c r="F4" s="23" t="s">
        <v>747</v>
      </c>
      <c r="G4" s="23" t="s">
        <v>748</v>
      </c>
      <c r="H4" s="3"/>
      <c r="I4" s="3"/>
    </row>
    <row r="5" customFormat="false" ht="15" hidden="false" customHeight="true" outlineLevel="0" collapsed="false">
      <c r="A5" s="79" t="s">
        <v>749</v>
      </c>
      <c r="B5" s="226" t="n">
        <f aca="false">Assumptions!B4</f>
        <v>0.06</v>
      </c>
      <c r="C5" s="227" t="n">
        <v>0.06</v>
      </c>
      <c r="D5" s="228" t="n">
        <v>0.04</v>
      </c>
      <c r="E5" s="228" t="n">
        <v>0.08</v>
      </c>
      <c r="F5" s="79" t="s">
        <v>750</v>
      </c>
      <c r="G5" s="69" t="s">
        <v>751</v>
      </c>
      <c r="H5" s="3"/>
      <c r="I5" s="3"/>
    </row>
    <row r="6" customFormat="false" ht="15" hidden="false" customHeight="true" outlineLevel="0" collapsed="false">
      <c r="A6" s="79" t="s">
        <v>752</v>
      </c>
      <c r="B6" s="226" t="n">
        <f aca="false">Assumptions!B5</f>
        <v>0.06</v>
      </c>
      <c r="C6" s="227" t="n">
        <v>0.06</v>
      </c>
      <c r="D6" s="228" t="n">
        <v>0.04</v>
      </c>
      <c r="E6" s="228" t="n">
        <v>0.08</v>
      </c>
      <c r="F6" s="79" t="s">
        <v>750</v>
      </c>
      <c r="G6" s="69" t="s">
        <v>751</v>
      </c>
      <c r="H6" s="3"/>
      <c r="I6" s="3"/>
    </row>
    <row r="7" customFormat="false" ht="15" hidden="false" customHeight="true" outlineLevel="0" collapsed="false">
      <c r="A7" s="79" t="s">
        <v>753</v>
      </c>
      <c r="B7" s="226" t="n">
        <f aca="false">Assumptions!B6</f>
        <v>0.02</v>
      </c>
      <c r="C7" s="227" t="n">
        <v>0.02</v>
      </c>
      <c r="D7" s="228" t="n">
        <v>0.01</v>
      </c>
      <c r="E7" s="228" t="n">
        <v>0.03</v>
      </c>
      <c r="F7" s="79" t="s">
        <v>750</v>
      </c>
      <c r="G7" s="69" t="s">
        <v>754</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755</v>
      </c>
      <c r="B9" s="226" t="n">
        <f aca="false">Assumptions!B26</f>
        <v>0.02</v>
      </c>
      <c r="C9" s="227" t="n">
        <v>0.02</v>
      </c>
      <c r="D9" s="228" t="n">
        <v>0</v>
      </c>
      <c r="E9" s="228" t="n">
        <v>0.04</v>
      </c>
      <c r="F9" s="79" t="s">
        <v>750</v>
      </c>
      <c r="G9" s="69" t="s">
        <v>756</v>
      </c>
      <c r="H9" s="3"/>
      <c r="I9" s="3"/>
    </row>
    <row r="10" customFormat="false" ht="15" hidden="false" customHeight="true" outlineLevel="0" collapsed="false">
      <c r="A10" s="79" t="s">
        <v>757</v>
      </c>
      <c r="B10" s="226" t="n">
        <f aca="false">Assumptions!B15</f>
        <v>0.015</v>
      </c>
      <c r="C10" s="227" t="n">
        <v>0.015</v>
      </c>
      <c r="D10" s="228" t="n">
        <v>0.01</v>
      </c>
      <c r="E10" s="228" t="n">
        <v>0.02</v>
      </c>
      <c r="F10" s="79" t="s">
        <v>750</v>
      </c>
      <c r="G10" s="69" t="s">
        <v>758</v>
      </c>
      <c r="H10" s="3"/>
      <c r="I10" s="3"/>
    </row>
    <row r="11" customFormat="false" ht="15" hidden="false" customHeight="true" outlineLevel="0" collapsed="false">
      <c r="A11" s="79" t="s">
        <v>759</v>
      </c>
      <c r="B11" s="226" t="n">
        <f aca="false">Assumptions!B16</f>
        <v>0.0074</v>
      </c>
      <c r="C11" s="227" t="n">
        <v>0.0074</v>
      </c>
      <c r="D11" s="228" t="n">
        <v>0.005</v>
      </c>
      <c r="E11" s="228" t="n">
        <v>0.015</v>
      </c>
      <c r="F11" s="79" t="s">
        <v>750</v>
      </c>
      <c r="G11" s="69" t="s">
        <v>760</v>
      </c>
      <c r="H11" s="3"/>
      <c r="I11" s="3"/>
    </row>
    <row r="12" customFormat="false" ht="15" hidden="false" customHeight="true" outlineLevel="0" collapsed="false">
      <c r="A12" s="79" t="s">
        <v>761</v>
      </c>
      <c r="B12" s="226" t="n">
        <f aca="false">Assumptions!B17</f>
        <v>0.0325</v>
      </c>
      <c r="C12" s="227" t="n">
        <v>0.0325</v>
      </c>
      <c r="D12" s="228" t="n">
        <v>0.02</v>
      </c>
      <c r="E12" s="228" t="n">
        <v>0.05</v>
      </c>
      <c r="F12" s="79" t="s">
        <v>750</v>
      </c>
      <c r="G12" s="69" t="s">
        <v>762</v>
      </c>
      <c r="H12" s="3"/>
      <c r="I12" s="3"/>
    </row>
    <row r="13" customFormat="false" ht="15" hidden="false" customHeight="true" outlineLevel="0" collapsed="false">
      <c r="A13" s="79" t="s">
        <v>763</v>
      </c>
      <c r="B13" s="226" t="n">
        <f aca="false">Assumptions!B34</f>
        <v>0.15</v>
      </c>
      <c r="C13" s="227" t="n">
        <v>0.15</v>
      </c>
      <c r="D13" s="228" t="n">
        <v>0.1</v>
      </c>
      <c r="E13" s="228" t="n">
        <v>0.2</v>
      </c>
      <c r="F13" s="79" t="s">
        <v>750</v>
      </c>
      <c r="G13" s="69" t="s">
        <v>764</v>
      </c>
      <c r="H13" s="3"/>
      <c r="I13" s="3"/>
    </row>
    <row r="14" customFormat="false" ht="15" hidden="false" customHeight="true" outlineLevel="0" collapsed="false">
      <c r="A14" s="79" t="s">
        <v>765</v>
      </c>
      <c r="B14" s="217" t="n">
        <f aca="false">Assumptions!B36</f>
        <v>112000</v>
      </c>
      <c r="C14" s="229" t="n">
        <v>130000</v>
      </c>
      <c r="D14" s="230" t="n">
        <v>100000</v>
      </c>
      <c r="E14" s="230" t="n">
        <v>175000</v>
      </c>
      <c r="F14" s="79" t="s">
        <v>766</v>
      </c>
      <c r="G14" s="69" t="s">
        <v>767</v>
      </c>
      <c r="H14" s="3"/>
      <c r="I14" s="3"/>
    </row>
    <row r="15" customFormat="false" ht="15" hidden="false" customHeight="true" outlineLevel="0" collapsed="false">
      <c r="A15" s="79" t="s">
        <v>768</v>
      </c>
      <c r="B15" s="226" t="n">
        <f aca="false">Assumptions!B58</f>
        <v>0.15</v>
      </c>
      <c r="C15" s="227" t="n">
        <v>0.15</v>
      </c>
      <c r="D15" s="228" t="n">
        <v>0.1</v>
      </c>
      <c r="E15" s="228" t="n">
        <v>0.2</v>
      </c>
      <c r="F15" s="79" t="s">
        <v>750</v>
      </c>
      <c r="G15" s="69" t="s">
        <v>769</v>
      </c>
      <c r="H15" s="3"/>
      <c r="I15" s="3"/>
    </row>
    <row r="16" customFormat="false" ht="15" hidden="false" customHeight="true" outlineLevel="0" collapsed="false">
      <c r="A16" s="79" t="s">
        <v>770</v>
      </c>
      <c r="B16" s="226" t="n">
        <f aca="false">Assumptions!B47</f>
        <v>0.01</v>
      </c>
      <c r="C16" s="227" t="n">
        <v>0.01</v>
      </c>
      <c r="D16" s="228" t="n">
        <v>0.005</v>
      </c>
      <c r="E16" s="228" t="n">
        <v>0.02</v>
      </c>
      <c r="F16" s="79" t="s">
        <v>750</v>
      </c>
      <c r="G16" s="69" t="s">
        <v>771</v>
      </c>
      <c r="H16" s="3"/>
      <c r="I16" s="3"/>
    </row>
    <row r="17" customFormat="false" ht="15" hidden="false" customHeight="true" outlineLevel="0" collapsed="false">
      <c r="A17" s="79" t="s">
        <v>772</v>
      </c>
      <c r="B17" s="226" t="n">
        <f aca="false">Assumptions!B48</f>
        <v>0.03</v>
      </c>
      <c r="C17" s="227" t="n">
        <v>0.03</v>
      </c>
      <c r="D17" s="228" t="n">
        <v>0.02</v>
      </c>
      <c r="E17" s="228" t="n">
        <v>0.05</v>
      </c>
      <c r="F17" s="79" t="s">
        <v>750</v>
      </c>
      <c r="G17" s="69" t="s">
        <v>773</v>
      </c>
      <c r="H17" s="3"/>
      <c r="I17" s="3"/>
    </row>
    <row r="18" customFormat="false" ht="15" hidden="false" customHeight="true" outlineLevel="0" collapsed="false">
      <c r="A18" s="79" t="s">
        <v>774</v>
      </c>
      <c r="B18" s="231" t="n">
        <v>10</v>
      </c>
      <c r="C18" s="232" t="n">
        <v>10</v>
      </c>
      <c r="D18" s="233" t="n">
        <v>5</v>
      </c>
      <c r="E18" s="233" t="n">
        <v>15</v>
      </c>
      <c r="F18" s="79" t="s">
        <v>775</v>
      </c>
      <c r="G18" s="69" t="s">
        <v>776</v>
      </c>
      <c r="H18" s="3"/>
      <c r="I18" s="3"/>
    </row>
    <row r="19" customFormat="false" ht="15" hidden="false" customHeight="true" outlineLevel="0" collapsed="false">
      <c r="A19" s="79" t="s">
        <v>777</v>
      </c>
      <c r="B19" s="234" t="n">
        <v>18700</v>
      </c>
      <c r="C19" s="229" t="n">
        <v>18700</v>
      </c>
      <c r="D19" s="230" t="n">
        <v>15000</v>
      </c>
      <c r="E19" s="230" t="n">
        <v>25000</v>
      </c>
      <c r="F19" s="79" t="s">
        <v>766</v>
      </c>
      <c r="G19" s="69" t="s">
        <v>778</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779</v>
      </c>
      <c r="B22" s="4"/>
      <c r="C22" s="4"/>
      <c r="D22" s="4"/>
      <c r="E22" s="4"/>
      <c r="F22" s="4"/>
      <c r="G22" s="4"/>
      <c r="H22" s="3"/>
      <c r="I22" s="3"/>
    </row>
    <row r="23" customFormat="false" ht="15" hidden="false" customHeight="true" outlineLevel="0" collapsed="false">
      <c r="A23" s="23" t="s">
        <v>558</v>
      </c>
      <c r="B23" s="23" t="s">
        <v>564</v>
      </c>
      <c r="C23" s="23" t="s">
        <v>780</v>
      </c>
      <c r="D23" s="23" t="s">
        <v>569</v>
      </c>
      <c r="E23" s="23" t="s">
        <v>561</v>
      </c>
      <c r="F23" s="23" t="s">
        <v>781</v>
      </c>
      <c r="G23" s="23" t="s">
        <v>568</v>
      </c>
      <c r="H23" s="3"/>
      <c r="I23" s="3"/>
    </row>
    <row r="24" customFormat="false" ht="15" hidden="false" customHeight="true" outlineLevel="0" collapsed="false">
      <c r="A24" s="79" t="s">
        <v>7</v>
      </c>
      <c r="B24" s="235" t="str">
        <f aca="false">Projects!$G$2</f>
        <v>Yes</v>
      </c>
      <c r="C24" s="234" t="n">
        <v>5321971</v>
      </c>
      <c r="D24" s="79" t="s">
        <v>782</v>
      </c>
      <c r="E24" s="79" t="s">
        <v>783</v>
      </c>
      <c r="F24" s="79" t="s">
        <v>580</v>
      </c>
      <c r="G24" s="79" t="s">
        <v>580</v>
      </c>
      <c r="H24" s="3"/>
      <c r="I24" s="3"/>
    </row>
    <row r="25" customFormat="false" ht="15" hidden="false" customHeight="true" outlineLevel="0" collapsed="false">
      <c r="A25" s="79" t="s">
        <v>8</v>
      </c>
      <c r="B25" s="235" t="str">
        <f aca="false">Projects!$G$3</f>
        <v>Yes</v>
      </c>
      <c r="C25" s="234" t="n">
        <v>19982132</v>
      </c>
      <c r="D25" s="79" t="s">
        <v>782</v>
      </c>
      <c r="E25" s="79" t="s">
        <v>784</v>
      </c>
      <c r="F25" s="79" t="s">
        <v>580</v>
      </c>
      <c r="G25" s="79" t="s">
        <v>580</v>
      </c>
      <c r="H25" s="3"/>
      <c r="I25" s="3"/>
    </row>
    <row r="26" customFormat="false" ht="15" hidden="false" customHeight="true" outlineLevel="0" collapsed="false">
      <c r="A26" s="79" t="s">
        <v>9</v>
      </c>
      <c r="B26" s="235" t="str">
        <f aca="false">Projects!$G$4</f>
        <v>Yes</v>
      </c>
      <c r="C26" s="234" t="n">
        <v>11673185</v>
      </c>
      <c r="D26" s="79" t="s">
        <v>785</v>
      </c>
      <c r="E26" s="79" t="s">
        <v>786</v>
      </c>
      <c r="F26" s="79" t="s">
        <v>580</v>
      </c>
      <c r="G26" s="79" t="s">
        <v>581</v>
      </c>
      <c r="H26" s="3"/>
      <c r="I26" s="3"/>
    </row>
    <row r="27" customFormat="false" ht="15" hidden="false" customHeight="true" outlineLevel="0" collapsed="false">
      <c r="A27" s="79" t="s">
        <v>10</v>
      </c>
      <c r="B27" s="235" t="str">
        <f aca="false">Projects!$G$5</f>
        <v>Yes</v>
      </c>
      <c r="C27" s="234" t="n">
        <v>13492534</v>
      </c>
      <c r="D27" s="79" t="s">
        <v>785</v>
      </c>
      <c r="E27" s="79" t="s">
        <v>786</v>
      </c>
      <c r="F27" s="79" t="s">
        <v>580</v>
      </c>
      <c r="G27" s="79" t="s">
        <v>581</v>
      </c>
      <c r="H27" s="3"/>
      <c r="I27" s="3"/>
    </row>
    <row r="28" customFormat="false" ht="15" hidden="false" customHeight="true" outlineLevel="0" collapsed="false">
      <c r="A28" s="79" t="s">
        <v>11</v>
      </c>
      <c r="B28" s="235" t="str">
        <f aca="false">Projects!$G$6</f>
        <v>Yes</v>
      </c>
      <c r="C28" s="234" t="n">
        <v>4052747</v>
      </c>
      <c r="D28" s="79" t="s">
        <v>785</v>
      </c>
      <c r="E28" s="79" t="s">
        <v>787</v>
      </c>
      <c r="F28" s="79" t="s">
        <v>580</v>
      </c>
      <c r="G28" s="79" t="s">
        <v>581</v>
      </c>
      <c r="H28" s="3"/>
      <c r="I28" s="3"/>
    </row>
    <row r="29" customFormat="false" ht="15" hidden="false" customHeight="true" outlineLevel="0" collapsed="false">
      <c r="A29" s="79" t="s">
        <v>12</v>
      </c>
      <c r="B29" s="235" t="str">
        <f aca="false">Projects!$G$7</f>
        <v>Yes</v>
      </c>
      <c r="C29" s="234" t="n">
        <v>42794765</v>
      </c>
      <c r="D29" s="79" t="s">
        <v>782</v>
      </c>
      <c r="E29" s="79" t="s">
        <v>788</v>
      </c>
      <c r="F29" s="79" t="s">
        <v>581</v>
      </c>
      <c r="G29" s="79" t="s">
        <v>581</v>
      </c>
      <c r="H29" s="3"/>
      <c r="I29" s="3"/>
    </row>
    <row r="30" customFormat="false" ht="15" hidden="false" customHeight="true" outlineLevel="0" collapsed="false">
      <c r="A30" s="79" t="s">
        <v>13</v>
      </c>
      <c r="B30" s="235" t="str">
        <f aca="false">Projects!$G$8</f>
        <v>Yes</v>
      </c>
      <c r="C30" s="234" t="n">
        <v>12993776.05</v>
      </c>
      <c r="D30" s="79" t="s">
        <v>785</v>
      </c>
      <c r="E30" s="79" t="s">
        <v>787</v>
      </c>
      <c r="F30" s="79" t="s">
        <v>580</v>
      </c>
      <c r="G30" s="79" t="s">
        <v>581</v>
      </c>
      <c r="H30" s="3"/>
      <c r="I30" s="3"/>
    </row>
    <row r="31" customFormat="false" ht="15" hidden="false" customHeight="true" outlineLevel="0" collapsed="false">
      <c r="A31" s="79" t="s">
        <v>14</v>
      </c>
      <c r="B31" s="235" t="str">
        <f aca="false">Projects!$G$9</f>
        <v>Yes</v>
      </c>
      <c r="C31" s="234" t="n">
        <v>14337010.8</v>
      </c>
      <c r="D31" s="79" t="s">
        <v>785</v>
      </c>
      <c r="E31" s="79" t="s">
        <v>789</v>
      </c>
      <c r="F31" s="79" t="s">
        <v>580</v>
      </c>
      <c r="G31" s="79" t="s">
        <v>581</v>
      </c>
      <c r="H31" s="3"/>
      <c r="I31" s="3"/>
    </row>
    <row r="32" customFormat="false" ht="15" hidden="false" customHeight="true" outlineLevel="0" collapsed="false">
      <c r="A32" s="79" t="s">
        <v>15</v>
      </c>
      <c r="B32" s="235" t="str">
        <f aca="false">Projects!$G$10</f>
        <v>Yes</v>
      </c>
      <c r="C32" s="234" t="n">
        <v>21263405</v>
      </c>
      <c r="D32" s="79" t="s">
        <v>785</v>
      </c>
      <c r="E32" s="79" t="s">
        <v>787</v>
      </c>
      <c r="F32" s="79" t="s">
        <v>580</v>
      </c>
      <c r="G32" s="79" t="s">
        <v>581</v>
      </c>
      <c r="H32" s="3"/>
      <c r="I32" s="3"/>
    </row>
    <row r="33" customFormat="false" ht="15" hidden="false" customHeight="true" outlineLevel="0" collapsed="false">
      <c r="A33" s="79" t="s">
        <v>16</v>
      </c>
      <c r="B33" s="235" t="str">
        <f aca="false">Projects!$G$11</f>
        <v>Yes</v>
      </c>
      <c r="C33" s="234" t="n">
        <v>9577109</v>
      </c>
      <c r="D33" s="79" t="s">
        <v>782</v>
      </c>
      <c r="E33" s="79" t="s">
        <v>787</v>
      </c>
      <c r="F33" s="79" t="s">
        <v>581</v>
      </c>
      <c r="G33" s="79" t="s">
        <v>580</v>
      </c>
      <c r="H33" s="3"/>
      <c r="I33" s="3"/>
    </row>
    <row r="34" customFormat="false" ht="15" hidden="false" customHeight="true" outlineLevel="0" collapsed="false">
      <c r="A34" s="79" t="s">
        <v>17</v>
      </c>
      <c r="B34" s="235" t="str">
        <f aca="false">Projects!$G$12</f>
        <v>Yes</v>
      </c>
      <c r="C34" s="234" t="n">
        <v>7545203</v>
      </c>
      <c r="D34" s="79" t="s">
        <v>782</v>
      </c>
      <c r="E34" s="79" t="s">
        <v>787</v>
      </c>
      <c r="F34" s="79" t="s">
        <v>581</v>
      </c>
      <c r="G34" s="79" t="s">
        <v>580</v>
      </c>
      <c r="H34" s="3"/>
      <c r="I34" s="3"/>
    </row>
    <row r="35" customFormat="false" ht="15" hidden="false" customHeight="true" outlineLevel="0" collapsed="false">
      <c r="A35" s="79" t="s">
        <v>18</v>
      </c>
      <c r="B35" s="235" t="str">
        <f aca="false">Projects!$G$13</f>
        <v>Yes</v>
      </c>
      <c r="C35" s="234" t="n">
        <v>45266770</v>
      </c>
      <c r="D35" s="79" t="s">
        <v>782</v>
      </c>
      <c r="E35" s="79" t="s">
        <v>789</v>
      </c>
      <c r="F35" s="79" t="s">
        <v>581</v>
      </c>
      <c r="G35" s="79" t="s">
        <v>581</v>
      </c>
      <c r="H35" s="3"/>
      <c r="I35" s="3"/>
    </row>
    <row r="36" customFormat="false" ht="15" hidden="false" customHeight="true" outlineLevel="0" collapsed="false">
      <c r="A36" s="79" t="s">
        <v>19</v>
      </c>
      <c r="B36" s="235" t="str">
        <f aca="false">Projects!$G$14</f>
        <v>Yes</v>
      </c>
      <c r="C36" s="234" t="n">
        <v>41354632</v>
      </c>
      <c r="D36" s="79" t="s">
        <v>782</v>
      </c>
      <c r="E36" s="79" t="s">
        <v>789</v>
      </c>
      <c r="F36" s="79" t="s">
        <v>581</v>
      </c>
      <c r="G36" s="79" t="s">
        <v>581</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790</v>
      </c>
      <c r="B39" s="4"/>
      <c r="C39" s="4"/>
      <c r="D39" s="4"/>
      <c r="E39" s="4"/>
      <c r="F39" s="4"/>
      <c r="G39" s="4"/>
      <c r="H39" s="4"/>
      <c r="I39" s="4"/>
    </row>
    <row r="40" customFormat="false" ht="15" hidden="false" customHeight="true" outlineLevel="0" collapsed="false">
      <c r="A40" s="23" t="s">
        <v>791</v>
      </c>
      <c r="B40" s="236" t="s">
        <v>274</v>
      </c>
      <c r="C40" s="236" t="s">
        <v>275</v>
      </c>
      <c r="D40" s="236" t="s">
        <v>276</v>
      </c>
      <c r="E40" s="236" t="s">
        <v>277</v>
      </c>
      <c r="F40" s="236" t="s">
        <v>278</v>
      </c>
      <c r="G40" s="236" t="s">
        <v>279</v>
      </c>
      <c r="H40" s="236" t="s">
        <v>280</v>
      </c>
      <c r="I40" s="236" t="s">
        <v>281</v>
      </c>
    </row>
    <row r="41" customFormat="false" ht="15" hidden="false" customHeight="true" outlineLevel="0" collapsed="false">
      <c r="A41" s="218" t="s">
        <v>792</v>
      </c>
      <c r="B41" s="219" t="n">
        <f aca="false">'Annual Summary'!B7</f>
        <v>57341635.2248811</v>
      </c>
      <c r="C41" s="219" t="n">
        <f aca="false">'Annual Summary'!C7</f>
        <v>112381615.818503</v>
      </c>
      <c r="D41" s="219" t="n">
        <f aca="false">'Annual Summary'!D7</f>
        <v>110269533.938088</v>
      </c>
      <c r="E41" s="219" t="n">
        <f aca="false">'Annual Summary'!E7</f>
        <v>41708816.806238</v>
      </c>
      <c r="F41" s="219" t="n">
        <f aca="false">'Annual Summary'!F7</f>
        <v>13258749.920152</v>
      </c>
      <c r="G41" s="219" t="n">
        <f aca="false">'Annual Summary'!G7</f>
        <v>0</v>
      </c>
      <c r="H41" s="219" t="n">
        <f aca="false">'Annual Summary'!H7</f>
        <v>0</v>
      </c>
      <c r="I41" s="219" t="n">
        <f aca="false">'Annual Summary'!I7</f>
        <v>0</v>
      </c>
    </row>
    <row r="42" customFormat="false" ht="15" hidden="false" customHeight="true" outlineLevel="0" collapsed="false">
      <c r="A42" s="237" t="s">
        <v>98</v>
      </c>
      <c r="B42" s="238" t="n">
        <f aca="false">'Annual Summary'!B22</f>
        <v>2245689.46387566</v>
      </c>
      <c r="C42" s="238" t="n">
        <f aca="false">'Annual Summary'!C22</f>
        <v>4326057.09541427</v>
      </c>
      <c r="D42" s="238" t="n">
        <f aca="false">'Annual Summary'!D22</f>
        <v>5955792.53431359</v>
      </c>
      <c r="E42" s="238" t="n">
        <f aca="false">'Annual Summary'!E22</f>
        <v>137939.22196603</v>
      </c>
      <c r="F42" s="238" t="n">
        <f aca="false">'Annual Summary'!F22</f>
        <v>-2821681.92973443</v>
      </c>
      <c r="G42" s="238" t="n">
        <f aca="false">'Annual Summary'!G22</f>
        <v>-4897371.73943092</v>
      </c>
      <c r="H42" s="238" t="n">
        <f aca="false">'Annual Summary'!H22</f>
        <v>-4991719.17421954</v>
      </c>
      <c r="I42" s="238" t="n">
        <f aca="false">'Annual Summary'!I22</f>
        <v>-5087953.55770393</v>
      </c>
    </row>
    <row r="43" customFormat="false" ht="15" hidden="false" customHeight="true" outlineLevel="0" collapsed="false">
      <c r="A43" s="79" t="s">
        <v>793</v>
      </c>
      <c r="B43" s="226" t="n">
        <f aca="false">'Annual Summary'!B23</f>
        <v>0.0391633314095171</v>
      </c>
      <c r="C43" s="226" t="n">
        <f aca="false">'Annual Summary'!C23</f>
        <v>0.0384943485988037</v>
      </c>
      <c r="D43" s="226" t="n">
        <f aca="false">'Annual Summary'!D23</f>
        <v>0.0540112243301718</v>
      </c>
      <c r="E43" s="226" t="n">
        <f aca="false">'Annual Summary'!E23</f>
        <v>0.0033071957568789</v>
      </c>
      <c r="F43" s="226" t="n">
        <f aca="false">'Annual Summary'!F23</f>
        <v>-0.212816588798145</v>
      </c>
      <c r="G43" s="226" t="n">
        <f aca="false">'Annual Summary'!G23</f>
        <v>0</v>
      </c>
      <c r="H43" s="226" t="n">
        <f aca="false">'Annual Summary'!H23</f>
        <v>0</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615805.64</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819993</v>
      </c>
      <c r="I45" s="219" t="n">
        <f aca="false">'Annual Summary'!I25</f>
        <v>2310160</v>
      </c>
    </row>
    <row r="46" customFormat="false" ht="15" hidden="false" customHeight="true" outlineLevel="0" collapsed="false">
      <c r="A46" s="237" t="s">
        <v>138</v>
      </c>
      <c r="B46" s="238" t="n">
        <f aca="false">'Annual Summary'!B27</f>
        <v>-1792019.62</v>
      </c>
      <c r="C46" s="238" t="n">
        <f aca="false">'Annual Summary'!C27</f>
        <v>-1989925.65265263</v>
      </c>
      <c r="D46" s="238" t="n">
        <f aca="false">'Annual Summary'!D27</f>
        <v>-2173185.58517937</v>
      </c>
      <c r="E46" s="238" t="n">
        <f aca="false">'Annual Summary'!E27</f>
        <v>-2465106.96635664</v>
      </c>
      <c r="F46" s="238" t="n">
        <f aca="false">'Annual Summary'!F27</f>
        <v>-2510295.98568377</v>
      </c>
      <c r="G46" s="238" t="n">
        <f aca="false">'Annual Summary'!G27</f>
        <v>-2435376.43539745</v>
      </c>
      <c r="H46" s="238" t="n">
        <f aca="false">'Annual Summary'!H27</f>
        <v>-2314881.4411054</v>
      </c>
      <c r="I46" s="238" t="n">
        <f aca="false">'Annual Summary'!I27</f>
        <v>-1147502.36332103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149</v>
      </c>
      <c r="B48" s="238" t="n">
        <f aca="false">'Annual Summary'!B30</f>
        <v>454949.595408988</v>
      </c>
      <c r="C48" s="238" t="n">
        <f aca="false">'Annual Summary'!C30</f>
        <v>2467441.60587242</v>
      </c>
      <c r="D48" s="238" t="n">
        <f aca="false">'Annual Summary'!D30</f>
        <v>3913292.97493834</v>
      </c>
      <c r="E48" s="238" t="n">
        <f aca="false">'Annual Summary'!E30</f>
        <v>-2321583.47321139</v>
      </c>
      <c r="F48" s="238" t="n">
        <f aca="false">'Annual Summary'!F30</f>
        <v>-5331977.9154182</v>
      </c>
      <c r="G48" s="238" t="n">
        <f aca="false">'Annual Summary'!G30</f>
        <v>-7332748.17482837</v>
      </c>
      <c r="H48" s="238" t="n">
        <f aca="false">'Annual Summary'!H30</f>
        <v>-7306600.61532494</v>
      </c>
      <c r="I48" s="238" t="n">
        <f aca="false">'Annual Summary'!I30</f>
        <v>-6235455.92102496</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794</v>
      </c>
      <c r="B50" s="240" t="n">
        <f aca="false">'Annual Summary'!B52</f>
        <v>2194441.66598602</v>
      </c>
      <c r="C50" s="240" t="n">
        <f aca="false">'Annual Summary'!C52</f>
        <v>1358951.76040807</v>
      </c>
      <c r="D50" s="240" t="n">
        <f aca="false">'Annual Summary'!D52</f>
        <v>4950385.49529664</v>
      </c>
      <c r="E50" s="240" t="n">
        <f aca="false">'Annual Summary'!E52</f>
        <v>3282526.62228924</v>
      </c>
      <c r="F50" s="240" t="n">
        <f aca="false">'Annual Summary'!F52</f>
        <v>-1742014.99343528</v>
      </c>
      <c r="G50" s="240" t="n">
        <f aca="false">'Annual Summary'!G52</f>
        <v>-9074763.16826366</v>
      </c>
      <c r="H50" s="240" t="n">
        <f aca="false">'Annual Summary'!H52</f>
        <v>-16381363.7835886</v>
      </c>
      <c r="I50" s="240" t="n">
        <f aca="false">'Annual Summary'!I52</f>
        <v>-22616819.7046136</v>
      </c>
    </row>
    <row r="51" customFormat="false" ht="15" hidden="false" customHeight="true" outlineLevel="0" collapsed="false">
      <c r="A51" s="239" t="s">
        <v>193</v>
      </c>
      <c r="B51" s="240" t="n">
        <f aca="false">'Annual Summary'!B49</f>
        <v>2169280.11445269</v>
      </c>
      <c r="C51" s="240" t="n">
        <f aca="false">'Annual Summary'!C49</f>
        <v>4536405.69841659</v>
      </c>
      <c r="D51" s="240" t="n">
        <f aca="false">'Annual Summary'!D49</f>
        <v>11072320.422959</v>
      </c>
      <c r="E51" s="240" t="n">
        <f aca="false">'Annual Summary'!E49</f>
        <v>12113984.245129</v>
      </c>
      <c r="F51" s="240" t="n">
        <f aca="false">'Annual Summary'!F49</f>
        <v>9599738.61508826</v>
      </c>
      <c r="G51" s="240" t="n">
        <f aca="false">'Annual Summary'!G49</f>
        <v>4702366.87565734</v>
      </c>
      <c r="H51" s="240" t="n">
        <f aca="false">'Annual Summary'!H49</f>
        <v>-289352.298562206</v>
      </c>
      <c r="I51" s="240" t="n">
        <f aca="false">'Annual Summary'!I49</f>
        <v>-5377305.85626614</v>
      </c>
    </row>
    <row r="52" customFormat="false" ht="15" hidden="false" customHeight="true" outlineLevel="0" collapsed="false">
      <c r="A52" s="239" t="s">
        <v>201</v>
      </c>
      <c r="B52" s="240" t="n">
        <f aca="false">'Annual Summary'!B50</f>
        <v>25161.5515333333</v>
      </c>
      <c r="C52" s="240" t="n">
        <f aca="false">'Annual Summary'!C50</f>
        <v>-3177453.93800852</v>
      </c>
      <c r="D52" s="240" t="n">
        <f aca="false">'Annual Summary'!D50</f>
        <v>-6121934.92766236</v>
      </c>
      <c r="E52" s="240" t="n">
        <f aca="false">'Annual Summary'!E50</f>
        <v>-8831457.62283978</v>
      </c>
      <c r="F52" s="240" t="n">
        <f aca="false">'Annual Summary'!F50</f>
        <v>-11341753.6085235</v>
      </c>
      <c r="G52" s="240" t="n">
        <f aca="false">'Annual Summary'!G50</f>
        <v>-13777130.043921</v>
      </c>
      <c r="H52" s="240" t="n">
        <f aca="false">'Annual Summary'!H50</f>
        <v>-16092011.4850264</v>
      </c>
      <c r="I52" s="240" t="n">
        <f aca="false">'Annual Summary'!I50</f>
        <v>-17239513.8483474</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181</v>
      </c>
      <c r="B54" s="217" t="n">
        <f aca="false">'Annual Summary'!B47</f>
        <v>93841157.4299332</v>
      </c>
      <c r="C54" s="217" t="n">
        <f aca="false">'Annual Summary'!C47</f>
        <v>114921954.782205</v>
      </c>
      <c r="D54" s="217" t="n">
        <f aca="false">'Annual Summary'!D47</f>
        <v>55038862.430782</v>
      </c>
      <c r="E54" s="217" t="n">
        <f aca="false">'Annual Summary'!E47</f>
        <v>13258584.501624</v>
      </c>
      <c r="F54" s="217" t="n">
        <f aca="false">'Annual Summary'!F47</f>
        <v>0</v>
      </c>
      <c r="G54" s="217" t="n">
        <f aca="false">'Annual Summary'!G47</f>
        <v>0</v>
      </c>
      <c r="H54" s="217" t="n">
        <f aca="false">'Annual Summary'!H47</f>
        <v>0</v>
      </c>
      <c r="I54" s="217" t="n">
        <f aca="false">'Annual Summary'!I47</f>
        <v>0</v>
      </c>
    </row>
    <row r="55" customFormat="false" ht="15" hidden="false" customHeight="true" outlineLevel="0" collapsed="false">
      <c r="A55" s="79" t="s">
        <v>795</v>
      </c>
      <c r="B55" s="217" t="n">
        <f aca="false">'Annual Summary'!B45</f>
        <v>2378399.92018311</v>
      </c>
      <c r="C55" s="217" t="n">
        <f aca="false">'Annual Summary'!C45</f>
        <v>1714451.09866009</v>
      </c>
      <c r="D55" s="217" t="n">
        <f aca="false">'Annual Summary'!D45</f>
        <v>1035128.51554915</v>
      </c>
      <c r="E55" s="217" t="n">
        <f aca="false">'Annual Summary'!E45</f>
        <v>1199352.08415979</v>
      </c>
      <c r="F55" s="217" t="n">
        <f aca="false">'Annual Summary'!F45</f>
        <v>975331.495449082</v>
      </c>
      <c r="G55" s="217" t="n">
        <f aca="false">'Annual Summary'!G45</f>
        <v>820735.28594806</v>
      </c>
      <c r="H55" s="217" t="n">
        <f aca="false">'Annual Summary'!H45</f>
        <v>621470.381107174</v>
      </c>
      <c r="I55" s="217" t="n">
        <f aca="false">'Annual Summary'!I45</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796</v>
      </c>
      <c r="B58" s="4"/>
      <c r="C58" s="4"/>
      <c r="D58" s="4"/>
      <c r="E58" s="4"/>
      <c r="F58" s="4"/>
      <c r="G58" s="4"/>
      <c r="H58" s="3"/>
      <c r="I58" s="3"/>
    </row>
    <row r="59" customFormat="false" ht="15" hidden="false" customHeight="true" outlineLevel="0" collapsed="false">
      <c r="A59" s="69" t="s">
        <v>797</v>
      </c>
      <c r="B59" s="3"/>
      <c r="C59" s="3"/>
      <c r="D59" s="3"/>
      <c r="E59" s="3"/>
      <c r="F59" s="3"/>
      <c r="G59" s="3"/>
      <c r="H59" s="3"/>
      <c r="I59" s="3"/>
    </row>
    <row r="60" customFormat="false" ht="15" hidden="false" customHeight="true" outlineLevel="0" collapsed="false">
      <c r="A60" s="241" t="s">
        <v>798</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799</v>
      </c>
      <c r="B68" s="4"/>
      <c r="C68" s="4"/>
      <c r="D68" s="4"/>
      <c r="E68" s="4"/>
      <c r="F68" s="4"/>
      <c r="G68" s="3"/>
      <c r="H68" s="3"/>
      <c r="I68" s="3"/>
    </row>
    <row r="69" customFormat="false" ht="15" hidden="false" customHeight="true" outlineLevel="0" collapsed="false">
      <c r="A69" s="23" t="s">
        <v>800</v>
      </c>
      <c r="B69" s="23" t="s">
        <v>801</v>
      </c>
      <c r="C69" s="23" t="s">
        <v>802</v>
      </c>
      <c r="D69" s="23" t="s">
        <v>803</v>
      </c>
      <c r="E69" s="23" t="s">
        <v>804</v>
      </c>
      <c r="F69" s="23" t="s">
        <v>805</v>
      </c>
      <c r="G69" s="3"/>
      <c r="H69" s="3"/>
      <c r="I69" s="3"/>
    </row>
    <row r="70" customFormat="false" ht="15" hidden="false" customHeight="true" outlineLevel="0" collapsed="false">
      <c r="A70" s="79" t="s">
        <v>806</v>
      </c>
      <c r="B70" s="234" t="n">
        <f aca="false">'Annual Summary'!B49</f>
        <v>2169280.11445269</v>
      </c>
      <c r="C70" s="230" t="n">
        <f aca="false">'Annual Summary'!C49</f>
        <v>4536405.69841659</v>
      </c>
      <c r="D70" s="230" t="n">
        <f aca="false">'Annual Summary'!E49</f>
        <v>12113984.245129</v>
      </c>
      <c r="E70" s="230" t="n">
        <f aca="false">'Annual Summary'!G49</f>
        <v>4702366.87565734</v>
      </c>
      <c r="F70" s="230" t="n">
        <f aca="false">'Annual Summary'!I49</f>
        <v>-5377305.85626614</v>
      </c>
      <c r="G70" s="3"/>
      <c r="H70" s="3"/>
      <c r="I70" s="3"/>
    </row>
    <row r="71" customFormat="false" ht="15" hidden="false" customHeight="true" outlineLevel="0" collapsed="false">
      <c r="A71" s="79" t="s">
        <v>807</v>
      </c>
      <c r="B71" s="234" t="n">
        <f aca="false">'Annual Summary'!B50</f>
        <v>25161.5515333333</v>
      </c>
      <c r="C71" s="230" t="n">
        <f aca="false">'Annual Summary'!C50</f>
        <v>-3177453.93800852</v>
      </c>
      <c r="D71" s="230" t="n">
        <f aca="false">'Annual Summary'!E50</f>
        <v>-8831457.62283978</v>
      </c>
      <c r="E71" s="230" t="n">
        <f aca="false">'Annual Summary'!G50</f>
        <v>-13777130.043921</v>
      </c>
      <c r="F71" s="230" t="n">
        <f aca="false">'Annual Summary'!I50</f>
        <v>-17239513.8483474</v>
      </c>
      <c r="G71" s="3"/>
      <c r="H71" s="3"/>
      <c r="I71" s="3"/>
    </row>
    <row r="72" customFormat="false" ht="15" hidden="false" customHeight="true" outlineLevel="0" collapsed="false">
      <c r="A72" s="239" t="s">
        <v>808</v>
      </c>
      <c r="B72" s="245" t="n">
        <f aca="false">'Annual Summary'!B52</f>
        <v>2194441.66598602</v>
      </c>
      <c r="C72" s="246" t="n">
        <f aca="false">'Annual Summary'!C52</f>
        <v>1358951.76040807</v>
      </c>
      <c r="D72" s="246" t="n">
        <f aca="false">'Annual Summary'!E52</f>
        <v>3282526.62228924</v>
      </c>
      <c r="E72" s="246" t="n">
        <f aca="false">'Annual Summary'!G52</f>
        <v>-9074763.16826366</v>
      </c>
      <c r="F72" s="246" t="n">
        <f aca="false">'Annual Summary'!I52</f>
        <v>-22616819.7046136</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809</v>
      </c>
      <c r="B75" s="4"/>
      <c r="C75" s="4"/>
      <c r="D75" s="4"/>
      <c r="E75" s="4"/>
      <c r="F75" s="4"/>
      <c r="G75" s="3"/>
      <c r="H75" s="3"/>
      <c r="I75" s="3"/>
    </row>
    <row r="76" customFormat="false" ht="15" hidden="false" customHeight="true" outlineLevel="0" collapsed="false">
      <c r="A76" s="23" t="s">
        <v>558</v>
      </c>
      <c r="B76" s="23" t="s">
        <v>810</v>
      </c>
      <c r="C76" s="23" t="s">
        <v>811</v>
      </c>
      <c r="D76" s="23" t="s">
        <v>812</v>
      </c>
      <c r="E76" s="23" t="s">
        <v>813</v>
      </c>
      <c r="F76" s="23" t="s">
        <v>814</v>
      </c>
      <c r="G76" s="3"/>
      <c r="H76" s="3"/>
      <c r="I76" s="3"/>
    </row>
    <row r="77" customFormat="false" ht="15" hidden="false" customHeight="true" outlineLevel="0" collapsed="false">
      <c r="A77" s="79" t="s">
        <v>16</v>
      </c>
      <c r="B77" s="222" t="n">
        <v>95771</v>
      </c>
      <c r="C77" s="222" t="n">
        <v>60000</v>
      </c>
      <c r="D77" s="222" t="n">
        <v>0</v>
      </c>
      <c r="E77" s="220" t="n">
        <v>155771</v>
      </c>
      <c r="F77" s="69" t="s">
        <v>815</v>
      </c>
      <c r="G77" s="3"/>
      <c r="H77" s="3"/>
      <c r="I77" s="3"/>
    </row>
    <row r="78" customFormat="false" ht="15" hidden="false" customHeight="true" outlineLevel="0" collapsed="false">
      <c r="A78" s="79" t="s">
        <v>17</v>
      </c>
      <c r="B78" s="222" t="n">
        <v>75452</v>
      </c>
      <c r="C78" s="222" t="n">
        <v>60000</v>
      </c>
      <c r="D78" s="222" t="n">
        <v>0</v>
      </c>
      <c r="E78" s="220" t="n">
        <v>135452</v>
      </c>
      <c r="F78" s="69" t="s">
        <v>815</v>
      </c>
      <c r="G78" s="3"/>
      <c r="H78" s="3"/>
      <c r="I78" s="3"/>
    </row>
    <row r="79" customFormat="false" ht="15" hidden="false" customHeight="true" outlineLevel="0" collapsed="false">
      <c r="A79" s="79" t="s">
        <v>12</v>
      </c>
      <c r="B79" s="222" t="n">
        <v>579684</v>
      </c>
      <c r="C79" s="222" t="n">
        <v>150000</v>
      </c>
      <c r="D79" s="222" t="n">
        <v>0</v>
      </c>
      <c r="E79" s="220" t="n">
        <v>729684</v>
      </c>
      <c r="F79" s="69" t="s">
        <v>816</v>
      </c>
      <c r="G79" s="3"/>
      <c r="H79" s="3"/>
      <c r="I79" s="3"/>
    </row>
    <row r="80" customFormat="false" ht="15" hidden="false" customHeight="true" outlineLevel="0" collapsed="false">
      <c r="A80" s="79" t="s">
        <v>18</v>
      </c>
      <c r="B80" s="222" t="n">
        <v>602668</v>
      </c>
      <c r="C80" s="222" t="n">
        <v>150000</v>
      </c>
      <c r="D80" s="222" t="n">
        <v>1450000</v>
      </c>
      <c r="E80" s="220" t="n">
        <v>752668</v>
      </c>
      <c r="F80" s="69" t="s">
        <v>816</v>
      </c>
      <c r="G80" s="3"/>
      <c r="H80" s="3"/>
      <c r="I80" s="3"/>
    </row>
    <row r="81" customFormat="false" ht="15" hidden="false" customHeight="true" outlineLevel="0" collapsed="false">
      <c r="A81" s="79" t="s">
        <v>19</v>
      </c>
      <c r="B81" s="222" t="n">
        <v>563546</v>
      </c>
      <c r="C81" s="222" t="n">
        <v>150000</v>
      </c>
      <c r="D81" s="222" t="n">
        <v>0</v>
      </c>
      <c r="E81" s="220" t="n">
        <v>713546</v>
      </c>
      <c r="F81" s="69" t="s">
        <v>817</v>
      </c>
      <c r="G81" s="3"/>
      <c r="H81" s="3"/>
      <c r="I81" s="3"/>
    </row>
    <row r="82" customFormat="false" ht="15" hidden="false" customHeight="true" outlineLevel="0" collapsed="false">
      <c r="A82" s="218" t="s">
        <v>547</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818</v>
      </c>
      <c r="B85" s="4"/>
      <c r="C85" s="4"/>
      <c r="D85" s="4"/>
      <c r="E85" s="4"/>
      <c r="F85" s="4"/>
      <c r="G85" s="4"/>
      <c r="H85" s="3"/>
      <c r="I85" s="3"/>
    </row>
    <row r="86" customFormat="false" ht="15" hidden="false" customHeight="true" outlineLevel="0" collapsed="false">
      <c r="A86" s="79" t="s">
        <v>819</v>
      </c>
      <c r="B86" s="234" t="n">
        <v>86621402</v>
      </c>
      <c r="C86" s="3"/>
      <c r="D86" s="3"/>
      <c r="E86" s="3"/>
      <c r="F86" s="3"/>
      <c r="G86" s="3"/>
      <c r="H86" s="3"/>
      <c r="I86" s="3"/>
    </row>
    <row r="87" customFormat="false" ht="15" hidden="false" customHeight="true" outlineLevel="0" collapsed="false">
      <c r="A87" s="79" t="s">
        <v>820</v>
      </c>
      <c r="B87" s="247" t="n">
        <v>0.0325</v>
      </c>
      <c r="C87" s="3"/>
      <c r="D87" s="3"/>
      <c r="E87" s="3"/>
      <c r="F87" s="3"/>
      <c r="G87" s="3"/>
      <c r="H87" s="3"/>
      <c r="I87" s="3"/>
    </row>
    <row r="88" customFormat="false" ht="15" hidden="false" customHeight="true" outlineLevel="0" collapsed="false">
      <c r="A88" s="79" t="s">
        <v>821</v>
      </c>
      <c r="B88" s="227" t="n">
        <v>0.015</v>
      </c>
      <c r="C88" s="3"/>
      <c r="D88" s="3"/>
      <c r="E88" s="3"/>
      <c r="F88" s="3"/>
      <c r="G88" s="3"/>
      <c r="H88" s="3"/>
      <c r="I88" s="3"/>
    </row>
    <row r="89" customFormat="false" ht="15" hidden="false" customHeight="true" outlineLevel="0" collapsed="false">
      <c r="A89" s="23"/>
      <c r="B89" s="23" t="s">
        <v>274</v>
      </c>
      <c r="C89" s="23" t="s">
        <v>275</v>
      </c>
      <c r="D89" s="23" t="s">
        <v>276</v>
      </c>
      <c r="E89" s="23" t="s">
        <v>277</v>
      </c>
      <c r="F89" s="23" t="s">
        <v>484</v>
      </c>
      <c r="G89" s="3"/>
      <c r="H89" s="3"/>
      <c r="I89" s="3"/>
    </row>
    <row r="90" customFormat="false" ht="15" hidden="false" customHeight="true" outlineLevel="0" collapsed="false">
      <c r="A90" s="221" t="s">
        <v>822</v>
      </c>
      <c r="B90" s="222" t="n">
        <v>0</v>
      </c>
      <c r="C90" s="222" t="n">
        <v>-956261</v>
      </c>
      <c r="D90" s="222" t="n">
        <v>-1465718</v>
      </c>
      <c r="E90" s="222" t="n">
        <v>-967911</v>
      </c>
      <c r="F90" s="222" t="n">
        <v>-3389890</v>
      </c>
      <c r="G90" s="3"/>
      <c r="H90" s="3"/>
      <c r="I90" s="3"/>
    </row>
    <row r="91" customFormat="false" ht="15" hidden="false" customHeight="true" outlineLevel="0" collapsed="false">
      <c r="A91" s="235" t="s">
        <v>823</v>
      </c>
      <c r="B91" s="217" t="n">
        <v>0</v>
      </c>
      <c r="C91" s="217" t="n">
        <v>-441351</v>
      </c>
      <c r="D91" s="217" t="n">
        <v>-676485</v>
      </c>
      <c r="E91" s="217" t="n">
        <v>-446728</v>
      </c>
      <c r="F91" s="217" t="n">
        <v>-1564564</v>
      </c>
      <c r="G91" s="3"/>
      <c r="H91" s="3"/>
      <c r="I91" s="3"/>
    </row>
    <row r="92" customFormat="false" ht="15" hidden="false" customHeight="true" outlineLevel="0" collapsed="false">
      <c r="A92" s="218" t="s">
        <v>824</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825</v>
      </c>
      <c r="B95" s="4"/>
      <c r="C95" s="4"/>
      <c r="D95" s="4"/>
      <c r="E95" s="4"/>
      <c r="F95" s="4"/>
      <c r="G95" s="4"/>
      <c r="H95" s="3"/>
      <c r="I95" s="3"/>
    </row>
    <row r="96" customFormat="false" ht="15" hidden="false" customHeight="true" outlineLevel="0" collapsed="false">
      <c r="A96" s="69" t="s">
        <v>826</v>
      </c>
      <c r="B96" s="3"/>
      <c r="C96" s="3"/>
      <c r="D96" s="3"/>
      <c r="E96" s="3"/>
      <c r="F96" s="3"/>
      <c r="G96" s="3"/>
      <c r="H96" s="3"/>
      <c r="I96" s="3"/>
    </row>
    <row r="97" customFormat="false" ht="15" hidden="false" customHeight="true" outlineLevel="0" collapsed="false">
      <c r="A97" s="23"/>
      <c r="B97" s="23" t="s">
        <v>274</v>
      </c>
      <c r="C97" s="23" t="s">
        <v>275</v>
      </c>
      <c r="D97" s="23" t="s">
        <v>276</v>
      </c>
      <c r="E97" s="23" t="s">
        <v>277</v>
      </c>
      <c r="F97" s="3"/>
      <c r="G97" s="3"/>
      <c r="H97" s="3"/>
      <c r="I97" s="3"/>
    </row>
    <row r="98" customFormat="false" ht="15" hidden="false" customHeight="true" outlineLevel="0" collapsed="false">
      <c r="A98" s="79" t="s">
        <v>827</v>
      </c>
      <c r="B98" s="230" t="n">
        <f aca="false">'Annual Summary'!B47</f>
        <v>93841157.4299332</v>
      </c>
      <c r="C98" s="230" t="n">
        <f aca="false">'Annual Summary'!C47</f>
        <v>114921954.782205</v>
      </c>
      <c r="D98" s="230" t="n">
        <f aca="false">'Annual Summary'!D47</f>
        <v>55038862.430782</v>
      </c>
      <c r="E98" s="230" t="n">
        <f aca="false">'Annual Summary'!E47</f>
        <v>13258584.501624</v>
      </c>
      <c r="F98" s="3"/>
      <c r="G98" s="3"/>
      <c r="H98" s="3"/>
      <c r="I98" s="3"/>
    </row>
    <row r="99" customFormat="false" ht="15" hidden="false" customHeight="true" outlineLevel="0" collapsed="false">
      <c r="A99" s="221" t="s">
        <v>828</v>
      </c>
      <c r="B99" s="222" t="n">
        <f aca="false">B98*0.025</f>
        <v>2346028.93574833</v>
      </c>
      <c r="C99" s="222" t="n">
        <f aca="false">C98*0.025</f>
        <v>2873048.86955513</v>
      </c>
      <c r="D99" s="222" t="n">
        <f aca="false">D98*0.025</f>
        <v>1375971.56076955</v>
      </c>
      <c r="E99" s="222" t="n">
        <f aca="false">E98*0.025</f>
        <v>331464.6125406</v>
      </c>
      <c r="F99" s="3"/>
      <c r="G99" s="3"/>
      <c r="H99" s="3"/>
      <c r="I99" s="3"/>
    </row>
    <row r="100" customFormat="false" ht="15" hidden="false" customHeight="true" outlineLevel="0" collapsed="false">
      <c r="A100" s="79" t="s">
        <v>829</v>
      </c>
      <c r="B100" s="230" t="n">
        <f aca="false">'Annual Summary'!B52</f>
        <v>2194441.66598602</v>
      </c>
      <c r="C100" s="230" t="n">
        <f aca="false">'Annual Summary'!C52</f>
        <v>1358951.76040807</v>
      </c>
      <c r="D100" s="230" t="n">
        <f aca="false">'Annual Summary'!D52</f>
        <v>4950385.49529664</v>
      </c>
      <c r="E100" s="230" t="n">
        <f aca="false">'Annual Summary'!E52</f>
        <v>3282526.62228924</v>
      </c>
      <c r="F100" s="3"/>
      <c r="G100" s="3"/>
      <c r="H100" s="3"/>
      <c r="I100" s="3"/>
    </row>
    <row r="101" customFormat="false" ht="15" hidden="false" customHeight="true" outlineLevel="0" collapsed="false">
      <c r="A101" s="79" t="s">
        <v>830</v>
      </c>
      <c r="B101" s="230" t="n">
        <f aca="false">'Annual Summary'!B22*0.05</f>
        <v>112284.473193783</v>
      </c>
      <c r="C101" s="230" t="n">
        <f aca="false">'Annual Summary'!C22*0.05</f>
        <v>216302.854770714</v>
      </c>
      <c r="D101" s="230" t="n">
        <f aca="false">'Annual Summary'!D22*0.05</f>
        <v>297789.626715679</v>
      </c>
      <c r="E101" s="230" t="n">
        <f aca="false">'Annual Summary'!E22*0.05</f>
        <v>6896.96109830148</v>
      </c>
      <c r="F101" s="3"/>
      <c r="G101" s="3"/>
      <c r="H101" s="3"/>
      <c r="I101" s="3"/>
    </row>
    <row r="102" customFormat="false" ht="15" hidden="false" customHeight="true" outlineLevel="0" collapsed="false">
      <c r="A102" s="79" t="s">
        <v>831</v>
      </c>
      <c r="B102" s="230" t="n">
        <f aca="false">B100+B101</f>
        <v>2306726.13917981</v>
      </c>
      <c r="C102" s="230" t="n">
        <f aca="false">C100+C101</f>
        <v>1575254.61517878</v>
      </c>
      <c r="D102" s="230" t="n">
        <f aca="false">D100+D101</f>
        <v>5248175.12201232</v>
      </c>
      <c r="E102" s="230" t="n">
        <f aca="false">E100+E101</f>
        <v>3289423.58338754</v>
      </c>
      <c r="F102" s="3"/>
      <c r="G102" s="3"/>
      <c r="H102" s="3"/>
      <c r="I102" s="3"/>
    </row>
    <row r="103" customFormat="false" ht="15" hidden="false" customHeight="true" outlineLevel="0" collapsed="false">
      <c r="A103" s="218" t="s">
        <v>832</v>
      </c>
      <c r="B103" s="219" t="n">
        <f aca="false">B102-B99</f>
        <v>-39302.7965685232</v>
      </c>
      <c r="C103" s="219" t="n">
        <f aca="false">C102-C99</f>
        <v>-1297794.25437634</v>
      </c>
      <c r="D103" s="219" t="n">
        <f aca="false">D102-D99</f>
        <v>3872203.56124277</v>
      </c>
      <c r="E103" s="219" t="n">
        <f aca="false">E102-E99</f>
        <v>2957958.97084694</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833</v>
      </c>
      <c r="B106" s="4"/>
      <c r="C106" s="4"/>
      <c r="D106" s="4"/>
      <c r="E106" s="4"/>
      <c r="F106" s="4"/>
      <c r="G106" s="4"/>
      <c r="H106" s="3"/>
      <c r="I106" s="3"/>
    </row>
    <row r="107" customFormat="false" ht="15" hidden="false" customHeight="true" outlineLevel="0" collapsed="false">
      <c r="A107" s="79" t="s">
        <v>834</v>
      </c>
      <c r="B107" s="234" t="n">
        <v>15179956</v>
      </c>
      <c r="C107" s="3"/>
      <c r="D107" s="3"/>
      <c r="E107" s="3"/>
      <c r="F107" s="3"/>
      <c r="G107" s="3"/>
      <c r="H107" s="3"/>
      <c r="I107" s="3"/>
    </row>
    <row r="108" customFormat="false" ht="15" hidden="false" customHeight="true" outlineLevel="0" collapsed="false">
      <c r="A108" s="79" t="s">
        <v>835</v>
      </c>
      <c r="B108" s="247" t="n">
        <v>0.1136</v>
      </c>
      <c r="C108" s="3"/>
      <c r="D108" s="3"/>
      <c r="E108" s="3"/>
      <c r="F108" s="3"/>
      <c r="G108" s="3"/>
      <c r="H108" s="3"/>
      <c r="I108" s="3"/>
    </row>
    <row r="109" customFormat="false" ht="15" hidden="false" customHeight="true" outlineLevel="0" collapsed="false">
      <c r="A109" s="79" t="s">
        <v>836</v>
      </c>
      <c r="B109" s="220" t="n">
        <v>1724443</v>
      </c>
      <c r="C109" s="3"/>
      <c r="D109" s="3"/>
      <c r="E109" s="3"/>
      <c r="F109" s="3"/>
      <c r="G109" s="3"/>
      <c r="H109" s="3"/>
      <c r="I109" s="3"/>
    </row>
    <row r="110" customFormat="false" ht="15" hidden="false" customHeight="true" outlineLevel="0" collapsed="false">
      <c r="A110" s="79" t="s">
        <v>837</v>
      </c>
      <c r="B110" s="248" t="n">
        <v>3</v>
      </c>
      <c r="C110" s="3"/>
      <c r="D110" s="3"/>
      <c r="E110" s="3"/>
      <c r="F110" s="3"/>
      <c r="G110" s="3"/>
      <c r="H110" s="3"/>
      <c r="I110" s="3"/>
    </row>
    <row r="111" customFormat="false" ht="15" hidden="false" customHeight="true" outlineLevel="0" collapsed="false">
      <c r="A111" s="218" t="s">
        <v>838</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839</v>
      </c>
      <c r="B113" s="3"/>
      <c r="C113" s="3"/>
      <c r="D113" s="3"/>
      <c r="E113" s="3"/>
      <c r="F113" s="3"/>
      <c r="G113" s="3"/>
      <c r="H113" s="3"/>
      <c r="I113" s="3"/>
    </row>
    <row r="114" customFormat="false" ht="15" hidden="false" customHeight="true" outlineLevel="0" collapsed="false">
      <c r="A114" s="23"/>
      <c r="B114" s="23" t="s">
        <v>275</v>
      </c>
      <c r="C114" s="23" t="s">
        <v>276</v>
      </c>
      <c r="D114" s="23" t="s">
        <v>277</v>
      </c>
      <c r="E114" s="23" t="s">
        <v>278</v>
      </c>
      <c r="F114" s="23" t="s">
        <v>484</v>
      </c>
      <c r="G114" s="3"/>
      <c r="H114" s="3"/>
      <c r="I114" s="3"/>
    </row>
    <row r="115" customFormat="false" ht="15" hidden="false" customHeight="true" outlineLevel="0" collapsed="false">
      <c r="A115" s="79" t="s">
        <v>840</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841</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842</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843</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844</v>
      </c>
      <c r="B122" s="4"/>
      <c r="C122" s="4"/>
      <c r="D122" s="4"/>
      <c r="E122" s="4"/>
      <c r="F122" s="4"/>
      <c r="G122" s="4"/>
      <c r="H122" s="3"/>
      <c r="I122" s="3"/>
    </row>
    <row r="123" customFormat="false" ht="15" hidden="false" customHeight="true" outlineLevel="0" collapsed="false">
      <c r="A123" s="69" t="s">
        <v>845</v>
      </c>
      <c r="B123" s="3"/>
      <c r="C123" s="3"/>
      <c r="D123" s="3"/>
      <c r="E123" s="3"/>
      <c r="F123" s="3"/>
      <c r="G123" s="3"/>
      <c r="H123" s="3"/>
      <c r="I123" s="3"/>
    </row>
    <row r="124" customFormat="false" ht="15" hidden="false" customHeight="true" outlineLevel="0" collapsed="false">
      <c r="A124" s="23"/>
      <c r="B124" s="23" t="s">
        <v>846</v>
      </c>
      <c r="C124" s="23" t="s">
        <v>847</v>
      </c>
      <c r="D124" s="23" t="s">
        <v>748</v>
      </c>
      <c r="E124" s="3"/>
      <c r="F124" s="3"/>
      <c r="G124" s="3"/>
      <c r="H124" s="3"/>
      <c r="I124" s="3"/>
    </row>
    <row r="125" customFormat="false" ht="15" hidden="false" customHeight="true" outlineLevel="0" collapsed="false">
      <c r="A125" s="79" t="s">
        <v>848</v>
      </c>
      <c r="B125" s="234" t="n">
        <v>1450000</v>
      </c>
      <c r="C125" s="249" t="s">
        <v>849</v>
      </c>
      <c r="D125" s="69" t="s">
        <v>850</v>
      </c>
      <c r="E125" s="3"/>
      <c r="F125" s="3"/>
      <c r="G125" s="3"/>
      <c r="H125" s="3"/>
      <c r="I125" s="3"/>
    </row>
    <row r="126" customFormat="false" ht="15" hidden="false" customHeight="true" outlineLevel="0" collapsed="false">
      <c r="A126" s="79" t="s">
        <v>851</v>
      </c>
      <c r="B126" s="222" t="n">
        <v>-1450000</v>
      </c>
      <c r="C126" s="249" t="s">
        <v>852</v>
      </c>
      <c r="D126" s="69" t="s">
        <v>853</v>
      </c>
      <c r="E126" s="3"/>
      <c r="F126" s="3"/>
      <c r="G126" s="3"/>
      <c r="H126" s="3"/>
      <c r="I126" s="3"/>
    </row>
    <row r="127" customFormat="false" ht="15" hidden="false" customHeight="true" outlineLevel="0" collapsed="false">
      <c r="A127" s="79" t="s">
        <v>854</v>
      </c>
      <c r="B127" s="3"/>
      <c r="C127" s="249" t="s">
        <v>855</v>
      </c>
      <c r="D127" s="69" t="s">
        <v>856</v>
      </c>
      <c r="E127" s="3"/>
      <c r="F127" s="3"/>
      <c r="G127" s="3"/>
      <c r="H127" s="3"/>
      <c r="I127" s="3"/>
    </row>
    <row r="128" customFormat="false" ht="15" hidden="false" customHeight="true" outlineLevel="0" collapsed="false">
      <c r="A128" s="218" t="s">
        <v>857</v>
      </c>
      <c r="B128" s="219" t="n">
        <v>0</v>
      </c>
      <c r="C128" s="218" t="s">
        <v>858</v>
      </c>
      <c r="D128" s="218" t="s">
        <v>859</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860</v>
      </c>
      <c r="B130" s="220" t="n">
        <v>362885</v>
      </c>
      <c r="C130" s="249" t="s">
        <v>861</v>
      </c>
      <c r="D130" s="69" t="s">
        <v>862</v>
      </c>
      <c r="E130" s="3"/>
      <c r="F130" s="3"/>
      <c r="G130" s="3"/>
      <c r="H130" s="3"/>
      <c r="I130" s="3"/>
    </row>
    <row r="131" customFormat="false" ht="15" hidden="false" customHeight="true" outlineLevel="0" collapsed="false">
      <c r="A131" s="218" t="s">
        <v>863</v>
      </c>
      <c r="B131" s="219" t="n">
        <v>1812885</v>
      </c>
      <c r="C131" s="218" t="s">
        <v>864</v>
      </c>
      <c r="D131" s="218" t="s">
        <v>865</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562</v>
      </c>
      <c r="B1" s="49" t="s">
        <v>866</v>
      </c>
      <c r="C1" s="49" t="s">
        <v>867</v>
      </c>
      <c r="D1" s="49" t="s">
        <v>868</v>
      </c>
      <c r="E1" s="49" t="s">
        <v>869</v>
      </c>
      <c r="F1" s="49" t="s">
        <v>870</v>
      </c>
      <c r="G1" s="49" t="s">
        <v>871</v>
      </c>
      <c r="H1" s="49" t="s">
        <v>872</v>
      </c>
      <c r="I1" s="49" t="s">
        <v>873</v>
      </c>
      <c r="J1" s="49" t="s">
        <v>874</v>
      </c>
      <c r="K1" s="49" t="s">
        <v>875</v>
      </c>
      <c r="L1" s="49" t="s">
        <v>876</v>
      </c>
      <c r="M1" s="49" t="s">
        <v>877</v>
      </c>
      <c r="N1" s="49" t="s">
        <v>878</v>
      </c>
      <c r="O1" s="49" t="s">
        <v>879</v>
      </c>
      <c r="P1" s="49" t="s">
        <v>880</v>
      </c>
      <c r="Q1" s="49" t="s">
        <v>881</v>
      </c>
      <c r="R1" s="49" t="s">
        <v>882</v>
      </c>
      <c r="S1" s="49" t="s">
        <v>883</v>
      </c>
      <c r="T1" s="49" t="s">
        <v>884</v>
      </c>
      <c r="U1" s="49" t="s">
        <v>885</v>
      </c>
      <c r="V1" s="49" t="s">
        <v>886</v>
      </c>
      <c r="W1" s="49" t="s">
        <v>887</v>
      </c>
      <c r="X1" s="49" t="s">
        <v>888</v>
      </c>
      <c r="Y1" s="49" t="s">
        <v>889</v>
      </c>
      <c r="Z1" s="49" t="s">
        <v>890</v>
      </c>
      <c r="AA1" s="49" t="s">
        <v>891</v>
      </c>
      <c r="AB1" s="49" t="s">
        <v>892</v>
      </c>
      <c r="AC1" s="49" t="s">
        <v>893</v>
      </c>
      <c r="AD1" s="49" t="s">
        <v>894</v>
      </c>
      <c r="AE1" s="49" t="s">
        <v>895</v>
      </c>
      <c r="AF1" s="49" t="s">
        <v>896</v>
      </c>
      <c r="AG1" s="49" t="s">
        <v>897</v>
      </c>
      <c r="AH1" s="49" t="s">
        <v>898</v>
      </c>
      <c r="AI1" s="49" t="s">
        <v>899</v>
      </c>
      <c r="AJ1" s="49" t="s">
        <v>900</v>
      </c>
      <c r="AK1" s="49" t="s">
        <v>901</v>
      </c>
      <c r="AL1" s="49" t="s">
        <v>902</v>
      </c>
      <c r="AM1" s="49" t="s">
        <v>903</v>
      </c>
      <c r="AN1" s="49" t="s">
        <v>904</v>
      </c>
      <c r="AO1" s="49" t="s">
        <v>905</v>
      </c>
    </row>
    <row r="2" customFormat="false" ht="15" hidden="false" customHeight="true" outlineLevel="0" collapsed="false">
      <c r="A2" s="175" t="s">
        <v>906</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907</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908</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909</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910</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911</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484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912</v>
      </c>
      <c r="B1" s="252"/>
      <c r="C1" s="252"/>
      <c r="D1" s="252"/>
    </row>
    <row r="3" customFormat="false" ht="15" hidden="false" customHeight="true" outlineLevel="0" collapsed="false">
      <c r="A3" s="23" t="s">
        <v>913</v>
      </c>
      <c r="B3" s="23"/>
      <c r="C3" s="23"/>
      <c r="D3" s="23"/>
    </row>
    <row r="4" customFormat="false" ht="15" hidden="false" customHeight="true" outlineLevel="0" collapsed="false">
      <c r="A4" s="175" t="s">
        <v>914</v>
      </c>
      <c r="B4" s="250" t="n">
        <v>0.06</v>
      </c>
    </row>
    <row r="5" customFormat="false" ht="15" hidden="false" customHeight="true" outlineLevel="0" collapsed="false">
      <c r="A5" s="175" t="s">
        <v>752</v>
      </c>
      <c r="B5" s="250" t="n">
        <v>0.06</v>
      </c>
    </row>
    <row r="6" customFormat="false" ht="15" hidden="false" customHeight="true" outlineLevel="0" collapsed="false">
      <c r="A6" s="175" t="s">
        <v>915</v>
      </c>
      <c r="B6" s="250" t="n">
        <v>0.02</v>
      </c>
    </row>
    <row r="7" customFormat="false" ht="15" hidden="false" customHeight="true" outlineLevel="0" collapsed="false">
      <c r="A7" s="175" t="s">
        <v>916</v>
      </c>
      <c r="B7" s="178" t="n">
        <f aca="false">B4+B5+B6</f>
        <v>0.14</v>
      </c>
    </row>
    <row r="8" customFormat="false" ht="15" hidden="false" customHeight="true" outlineLevel="0" collapsed="false">
      <c r="A8" s="175"/>
      <c r="B8" s="250"/>
    </row>
    <row r="9" customFormat="false" ht="15" hidden="false" customHeight="true" outlineLevel="0" collapsed="false">
      <c r="A9" s="175" t="s">
        <v>917</v>
      </c>
      <c r="B9" s="178" t="n">
        <f aca="false">SUM(B10:B12)</f>
        <v>0.120391</v>
      </c>
      <c r="C9" s="1" t="s">
        <v>918</v>
      </c>
    </row>
    <row r="10" customFormat="false" ht="15" hidden="false" customHeight="true" outlineLevel="0" collapsed="false">
      <c r="A10" s="175" t="s">
        <v>919</v>
      </c>
      <c r="B10" s="178" t="n">
        <v>0.051596</v>
      </c>
    </row>
    <row r="11" customFormat="false" ht="15" hidden="false" customHeight="true" outlineLevel="0" collapsed="false">
      <c r="A11" s="175" t="s">
        <v>920</v>
      </c>
      <c r="B11" s="178" t="n">
        <v>0.051596</v>
      </c>
    </row>
    <row r="12" customFormat="false" ht="15" hidden="false" customHeight="true" outlineLevel="0" collapsed="false">
      <c r="A12" s="175" t="s">
        <v>921</v>
      </c>
      <c r="B12" s="178" t="n">
        <v>0.017199</v>
      </c>
    </row>
    <row r="14" customFormat="false" ht="15" hidden="false" customHeight="true" outlineLevel="0" collapsed="false">
      <c r="A14" s="23" t="s">
        <v>922</v>
      </c>
      <c r="B14" s="23"/>
      <c r="C14" s="23"/>
      <c r="D14" s="23"/>
    </row>
    <row r="15" customFormat="false" ht="15" hidden="false" customHeight="true" outlineLevel="0" collapsed="false">
      <c r="A15" s="175" t="s">
        <v>757</v>
      </c>
      <c r="B15" s="250" t="n">
        <v>0.015</v>
      </c>
    </row>
    <row r="16" customFormat="false" ht="15" hidden="false" customHeight="true" outlineLevel="0" collapsed="false">
      <c r="A16" s="175" t="s">
        <v>759</v>
      </c>
      <c r="B16" s="250" t="n">
        <v>0.0074</v>
      </c>
    </row>
    <row r="17" customFormat="false" ht="15" hidden="false" customHeight="true" outlineLevel="0" collapsed="false">
      <c r="A17" s="175" t="s">
        <v>761</v>
      </c>
      <c r="B17" s="250" t="n">
        <v>0.0325</v>
      </c>
    </row>
    <row r="18" customFormat="false" ht="15" hidden="false" customHeight="true" outlineLevel="0" collapsed="false">
      <c r="A18" s="1" t="s">
        <v>923</v>
      </c>
      <c r="B18" s="253" t="n">
        <f aca="false">103966/14337010.8</f>
        <v>0.00725158134079107</v>
      </c>
      <c r="C18" s="1" t="s">
        <v>924</v>
      </c>
      <c r="D18" s="254"/>
    </row>
    <row r="19" customFormat="false" ht="15" hidden="false" customHeight="true" outlineLevel="0" collapsed="false">
      <c r="A19" s="23" t="s">
        <v>925</v>
      </c>
      <c r="B19" s="23"/>
      <c r="C19" s="23"/>
      <c r="D19" s="23"/>
    </row>
    <row r="20" customFormat="false" ht="15" hidden="false" customHeight="true" outlineLevel="0" collapsed="false">
      <c r="A20" s="175" t="s">
        <v>926</v>
      </c>
      <c r="B20" s="250" t="n">
        <v>0.07</v>
      </c>
    </row>
    <row r="21" customFormat="false" ht="15" hidden="false" customHeight="true" outlineLevel="0" collapsed="false">
      <c r="A21" s="175" t="s">
        <v>927</v>
      </c>
      <c r="B21" s="250" t="n">
        <v>0.005</v>
      </c>
    </row>
    <row r="22" customFormat="false" ht="15" hidden="false" customHeight="true" outlineLevel="0" collapsed="false">
      <c r="A22" s="175" t="s">
        <v>928</v>
      </c>
      <c r="B22" s="250" t="n">
        <v>0.05</v>
      </c>
    </row>
    <row r="23" customFormat="false" ht="15" hidden="false" customHeight="true" outlineLevel="0" collapsed="false">
      <c r="A23" s="175" t="s">
        <v>929</v>
      </c>
      <c r="B23" s="250" t="n">
        <v>0.02</v>
      </c>
    </row>
    <row r="24" customFormat="false" ht="13.5" hidden="false" customHeight="true" outlineLevel="0" collapsed="false">
      <c r="A24" s="175" t="s">
        <v>930</v>
      </c>
      <c r="B24" s="250" t="n">
        <v>0.035</v>
      </c>
    </row>
    <row r="25" customFormat="false" ht="15" hidden="false" customHeight="true" outlineLevel="0" collapsed="false">
      <c r="A25" s="23" t="s">
        <v>931</v>
      </c>
      <c r="B25" s="23"/>
      <c r="C25" s="23"/>
      <c r="D25" s="23"/>
    </row>
    <row r="26" customFormat="false" ht="15" hidden="false" customHeight="true" outlineLevel="0" collapsed="false">
      <c r="A26" s="175" t="s">
        <v>932</v>
      </c>
      <c r="B26" s="227" t="n">
        <v>0.02</v>
      </c>
    </row>
    <row r="27" customFormat="false" ht="13.5" hidden="false" customHeight="true" outlineLevel="0" collapsed="false">
      <c r="A27" s="175" t="s">
        <v>933</v>
      </c>
      <c r="B27" s="250" t="n">
        <v>0.003</v>
      </c>
    </row>
    <row r="28" customFormat="false" ht="15" hidden="false" customHeight="true" outlineLevel="0" collapsed="false">
      <c r="A28" s="23" t="s">
        <v>934</v>
      </c>
      <c r="B28" s="23"/>
      <c r="C28" s="23"/>
      <c r="D28" s="23"/>
    </row>
    <row r="29" customFormat="false" ht="15" hidden="false" customHeight="true" outlineLevel="0" collapsed="false">
      <c r="A29" s="175" t="s">
        <v>935</v>
      </c>
      <c r="B29" s="229" t="n">
        <v>1287106</v>
      </c>
    </row>
    <row r="30" customFormat="false" ht="15" hidden="false" customHeight="true" outlineLevel="0" collapsed="false">
      <c r="A30" s="175" t="s">
        <v>936</v>
      </c>
      <c r="B30" s="229" t="n">
        <v>658190</v>
      </c>
    </row>
    <row r="32" customFormat="false" ht="15" hidden="false" customHeight="true" outlineLevel="0" collapsed="false">
      <c r="A32" s="23" t="s">
        <v>937</v>
      </c>
      <c r="B32" s="23"/>
      <c r="C32" s="23"/>
      <c r="D32" s="23"/>
    </row>
    <row r="33" customFormat="false" ht="15" hidden="false" customHeight="true" outlineLevel="0" collapsed="false">
      <c r="A33" s="175" t="s">
        <v>938</v>
      </c>
      <c r="B33" s="229" t="n">
        <v>1615485</v>
      </c>
    </row>
    <row r="34" customFormat="false" ht="15" hidden="false" customHeight="true" outlineLevel="0" collapsed="false">
      <c r="A34" s="175" t="s">
        <v>939</v>
      </c>
      <c r="B34" s="250" t="n">
        <v>0.15</v>
      </c>
    </row>
    <row r="35" customFormat="false" ht="15" hidden="false" customHeight="true" outlineLevel="0" collapsed="false">
      <c r="A35" s="175" t="s">
        <v>940</v>
      </c>
      <c r="B35" s="178" t="n">
        <f aca="false">B34/4</f>
        <v>0.0375</v>
      </c>
    </row>
    <row r="36" customFormat="false" ht="15" hidden="false" customHeight="true" outlineLevel="0" collapsed="false">
      <c r="A36" s="175" t="s">
        <v>941</v>
      </c>
      <c r="B36" s="229" t="n">
        <v>112000</v>
      </c>
    </row>
    <row r="37" customFormat="false" ht="15" hidden="false" customHeight="true" outlineLevel="0" collapsed="false">
      <c r="A37" s="175" t="s">
        <v>942</v>
      </c>
      <c r="B37" s="255" t="n">
        <v>10</v>
      </c>
    </row>
    <row r="38" customFormat="false" ht="15" hidden="false" customHeight="true" outlineLevel="0" collapsed="false">
      <c r="A38" s="256" t="s">
        <v>943</v>
      </c>
    </row>
    <row r="40" customFormat="false" ht="15" hidden="false" customHeight="true" outlineLevel="0" collapsed="false">
      <c r="A40" s="23" t="s">
        <v>944</v>
      </c>
      <c r="B40" s="23"/>
      <c r="C40" s="23"/>
      <c r="D40" s="23"/>
    </row>
    <row r="41" customFormat="false" ht="15" hidden="false" customHeight="true" outlineLevel="0" collapsed="false">
      <c r="A41" s="175" t="s">
        <v>945</v>
      </c>
      <c r="B41" s="229" t="n">
        <v>1000000</v>
      </c>
    </row>
    <row r="42" customFormat="false" ht="15" hidden="false" customHeight="true" outlineLevel="0" collapsed="false">
      <c r="A42" s="175" t="s">
        <v>946</v>
      </c>
      <c r="B42" s="257" t="n">
        <f aca="false">B41*0.25</f>
        <v>250000</v>
      </c>
    </row>
    <row r="43" customFormat="false" ht="15" hidden="false" customHeight="true" outlineLevel="0" collapsed="false">
      <c r="A43" s="175" t="s">
        <v>947</v>
      </c>
      <c r="B43" s="229" t="n">
        <v>1000000</v>
      </c>
    </row>
    <row r="44" customFormat="false" ht="15" hidden="false" customHeight="true" outlineLevel="0" collapsed="false">
      <c r="A44" s="256" t="s">
        <v>948</v>
      </c>
    </row>
    <row r="46" customFormat="false" ht="15" hidden="false" customHeight="true" outlineLevel="0" collapsed="false">
      <c r="A46" s="23" t="s">
        <v>949</v>
      </c>
      <c r="B46" s="23"/>
      <c r="C46" s="23"/>
      <c r="D46" s="23"/>
    </row>
    <row r="47" customFormat="false" ht="15" hidden="false" customHeight="true" outlineLevel="0" collapsed="false">
      <c r="A47" s="175" t="s">
        <v>950</v>
      </c>
      <c r="B47" s="250" t="n">
        <v>0.01</v>
      </c>
    </row>
    <row r="48" customFormat="false" ht="15" hidden="false" customHeight="true" outlineLevel="0" collapsed="false">
      <c r="A48" s="175" t="s">
        <v>951</v>
      </c>
      <c r="B48" s="250" t="n">
        <v>0.03</v>
      </c>
    </row>
    <row r="50" customFormat="false" ht="15" hidden="false" customHeight="true" outlineLevel="0" collapsed="false">
      <c r="A50" s="23" t="s">
        <v>952</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953</v>
      </c>
      <c r="B57" s="23"/>
      <c r="C57" s="23"/>
      <c r="D57" s="23"/>
    </row>
    <row r="58" customFormat="false" ht="15" hidden="false" customHeight="true" outlineLevel="0" collapsed="false">
      <c r="A58" s="175" t="s">
        <v>954</v>
      </c>
      <c r="B58" s="250" t="n">
        <v>0.15</v>
      </c>
    </row>
    <row r="59" customFormat="false" ht="15" hidden="false" customHeight="true" outlineLevel="0" collapsed="false">
      <c r="A59" s="175" t="s">
        <v>955</v>
      </c>
      <c r="B59" s="178" t="n">
        <f aca="false">B58/4</f>
        <v>0.0375</v>
      </c>
    </row>
    <row r="60" customFormat="false" ht="15" hidden="false" customHeight="true" outlineLevel="0" collapsed="false">
      <c r="A60" s="175" t="s">
        <v>956</v>
      </c>
      <c r="B60" s="229" t="n">
        <v>0</v>
      </c>
    </row>
    <row r="61" customFormat="false" ht="15" hidden="false" customHeight="true" outlineLevel="0" collapsed="false">
      <c r="A61" s="175" t="s">
        <v>957</v>
      </c>
      <c r="B61" s="229" t="n">
        <v>0</v>
      </c>
    </row>
    <row r="62" customFormat="false" ht="15" hidden="false" customHeight="true" outlineLevel="0" collapsed="false">
      <c r="A62" s="175" t="s">
        <v>958</v>
      </c>
      <c r="B62" s="229" t="n">
        <v>1784000</v>
      </c>
    </row>
    <row r="63" customFormat="false" ht="15" hidden="false" customHeight="true" outlineLevel="0" collapsed="false">
      <c r="A63" s="175" t="s">
        <v>959</v>
      </c>
      <c r="B63" s="229" t="n">
        <v>1766181</v>
      </c>
    </row>
    <row r="64" customFormat="false" ht="15" hidden="false" customHeight="true" outlineLevel="0" collapsed="false">
      <c r="A64" s="256" t="s">
        <v>960</v>
      </c>
    </row>
    <row r="65" customFormat="false" ht="13.5" hidden="false" customHeight="true" outlineLevel="0" collapsed="false">
      <c r="A65" s="175" t="s">
        <v>961</v>
      </c>
      <c r="B65" s="232" t="n">
        <v>60000</v>
      </c>
    </row>
    <row r="66" customFormat="false" ht="15" hidden="false" customHeight="true" outlineLevel="0" collapsed="false">
      <c r="A66" s="97" t="s">
        <v>101</v>
      </c>
    </row>
    <row r="67" customFormat="false" ht="15" hidden="false" customHeight="true" outlineLevel="0" collapsed="false">
      <c r="A67" s="90" t="s">
        <v>962</v>
      </c>
      <c r="B67" s="259" t="n">
        <v>833.33</v>
      </c>
    </row>
    <row r="68" customFormat="false" ht="15" hidden="false" customHeight="true" outlineLevel="0" collapsed="false">
      <c r="A68" s="90" t="s">
        <v>963</v>
      </c>
      <c r="B68" s="90" t="n">
        <v>5</v>
      </c>
    </row>
    <row r="70" customFormat="false" ht="15" hidden="false" customHeight="true" outlineLevel="0" collapsed="false">
      <c r="A70" s="260" t="s">
        <v>964</v>
      </c>
      <c r="B70" s="260"/>
    </row>
    <row r="71" customFormat="false" ht="15" hidden="false" customHeight="true" outlineLevel="0" collapsed="false">
      <c r="A71" s="261" t="s">
        <v>965</v>
      </c>
      <c r="B71" s="262" t="n">
        <v>1134000</v>
      </c>
    </row>
    <row r="72" customFormat="false" ht="15" hidden="false" customHeight="true" outlineLevel="0" collapsed="false">
      <c r="A72" s="263" t="s">
        <v>966</v>
      </c>
      <c r="B72" s="264" t="n">
        <v>50000</v>
      </c>
    </row>
    <row r="73" customFormat="false" ht="15" hidden="false" customHeight="true" outlineLevel="0" collapsed="false">
      <c r="A73" s="261" t="s">
        <v>967</v>
      </c>
      <c r="B73" s="265" t="n">
        <v>14</v>
      </c>
    </row>
    <row r="74" customFormat="false" ht="15" hidden="false" customHeight="true" outlineLevel="0" collapsed="false">
      <c r="A74" s="263" t="s">
        <v>177</v>
      </c>
      <c r="B74" s="264" t="n">
        <v>-1450000</v>
      </c>
    </row>
    <row r="75" customFormat="false" ht="15" hidden="false" customHeight="true" outlineLevel="0" collapsed="false">
      <c r="A75" s="261" t="s">
        <v>968</v>
      </c>
      <c r="B75" s="262" t="n">
        <v>264927.15</v>
      </c>
    </row>
    <row r="76" customFormat="false" ht="15" hidden="false" customHeight="true" outlineLevel="0" collapsed="false">
      <c r="A76" s="263" t="s">
        <v>969</v>
      </c>
      <c r="B76" s="264" t="n">
        <v>883090.5</v>
      </c>
    </row>
    <row r="77" customFormat="false" ht="15" hidden="false" customHeight="true" outlineLevel="0" collapsed="false">
      <c r="A77" s="261" t="s">
        <v>172</v>
      </c>
      <c r="B77" s="262" t="n">
        <v>-1800000</v>
      </c>
    </row>
    <row r="79" customFormat="false" ht="19.5" hidden="false" customHeight="true" outlineLevel="0" collapsed="false">
      <c r="A79" s="266" t="s">
        <v>970</v>
      </c>
    </row>
    <row r="80" customFormat="false" ht="15" hidden="false" customHeight="true" outlineLevel="0" collapsed="false">
      <c r="A80" s="267" t="s">
        <v>971</v>
      </c>
      <c r="B80" s="268" t="n">
        <v>1</v>
      </c>
    </row>
    <row r="82" customFormat="false" ht="27.75" hidden="false" customHeight="true" outlineLevel="0" collapsed="false">
      <c r="A82" s="154" t="s">
        <v>972</v>
      </c>
      <c r="B82" s="154" t="s">
        <v>973</v>
      </c>
      <c r="C82" s="154" t="s">
        <v>974</v>
      </c>
    </row>
    <row r="83" customFormat="false" ht="15" hidden="false" customHeight="true" outlineLevel="0" collapsed="false">
      <c r="A83" s="269" t="s">
        <v>975</v>
      </c>
      <c r="B83" s="270" t="n">
        <v>0</v>
      </c>
      <c r="C83" s="271" t="n">
        <v>0.25</v>
      </c>
    </row>
    <row r="84" customFormat="false" ht="15" hidden="false" customHeight="true" outlineLevel="0" collapsed="false">
      <c r="A84" s="269" t="s">
        <v>976</v>
      </c>
      <c r="B84" s="270" t="n">
        <v>20000000</v>
      </c>
      <c r="C84" s="271" t="n">
        <v>0.5</v>
      </c>
    </row>
    <row r="85" customFormat="false" ht="15" hidden="false" customHeight="true" outlineLevel="0" collapsed="false">
      <c r="A85" s="269" t="s">
        <v>977</v>
      </c>
      <c r="B85" s="270" t="n">
        <v>40000000</v>
      </c>
      <c r="C85" s="271" t="n">
        <v>0.75</v>
      </c>
    </row>
    <row r="86" customFormat="false" ht="15" hidden="false" customHeight="true" outlineLevel="0" collapsed="false">
      <c r="A86" s="269" t="s">
        <v>978</v>
      </c>
      <c r="B86" s="270" t="n">
        <v>60000000</v>
      </c>
      <c r="C86" s="271" t="n">
        <v>1</v>
      </c>
    </row>
    <row r="88" customFormat="false" ht="15" hidden="false" customHeight="true" outlineLevel="0" collapsed="false">
      <c r="A88" s="72" t="s">
        <v>979</v>
      </c>
    </row>
    <row r="92" customFormat="false" ht="15" hidden="false" customHeight="true" outlineLevel="0" collapsed="false">
      <c r="A92" s="1" t="s">
        <v>980</v>
      </c>
    </row>
    <row r="93" customFormat="false" ht="15" hidden="false" customHeight="true" outlineLevel="0" collapsed="false">
      <c r="A93" s="1" t="s">
        <v>981</v>
      </c>
    </row>
    <row r="94" customFormat="false" ht="15" hidden="false" customHeight="true" outlineLevel="0" collapsed="false">
      <c r="A94" s="1" t="s">
        <v>982</v>
      </c>
    </row>
    <row r="95" customFormat="false" ht="15" hidden="false" customHeight="true" outlineLevel="0" collapsed="false">
      <c r="A95" s="1" t="s">
        <v>983</v>
      </c>
    </row>
    <row r="96" customFormat="false" ht="15" hidden="false" customHeight="true" outlineLevel="0" collapsed="false">
      <c r="A96" s="1" t="s">
        <v>984</v>
      </c>
    </row>
    <row r="97" customFormat="false" ht="15" hidden="false" customHeight="true" outlineLevel="0" collapsed="false">
      <c r="A97" s="1" t="s">
        <v>985</v>
      </c>
    </row>
    <row r="98" customFormat="false" ht="15" hidden="false" customHeight="true" outlineLevel="0" collapsed="false">
      <c r="A98" s="1" t="s">
        <v>986</v>
      </c>
    </row>
    <row r="99" customFormat="false" ht="15" hidden="false" customHeight="true" outlineLevel="0" collapsed="false">
      <c r="A99" s="1" t="s">
        <v>987</v>
      </c>
    </row>
    <row r="100" customFormat="false" ht="15" hidden="false" customHeight="true" outlineLevel="0" collapsed="false">
      <c r="A100" s="1" t="s">
        <v>988</v>
      </c>
    </row>
    <row r="101" customFormat="false" ht="15" hidden="false" customHeight="true" outlineLevel="0" collapsed="false">
      <c r="A101" s="1" t="s">
        <v>989</v>
      </c>
    </row>
    <row r="102" customFormat="false" ht="15" hidden="false" customHeight="true" outlineLevel="0" collapsed="false">
      <c r="A102" s="1" t="s">
        <v>990</v>
      </c>
    </row>
    <row r="103" customFormat="false" ht="15" hidden="false" customHeight="true" outlineLevel="0" collapsed="false">
      <c r="A103" s="1" t="s">
        <v>991</v>
      </c>
    </row>
    <row r="104" customFormat="false" ht="15" hidden="false" customHeight="true" outlineLevel="0" collapsed="false">
      <c r="A104" s="1" t="s">
        <v>992</v>
      </c>
    </row>
    <row r="105" customFormat="false" ht="15" hidden="false" customHeight="true" outlineLevel="0" collapsed="false">
      <c r="A105" s="1" t="s">
        <v>993</v>
      </c>
    </row>
    <row r="106" customFormat="false" ht="15" hidden="false" customHeight="true" outlineLevel="0" collapsed="false">
      <c r="A106" s="1" t="s">
        <v>994</v>
      </c>
    </row>
    <row r="108" customFormat="false" ht="15" hidden="false" customHeight="true" outlineLevel="0" collapsed="false">
      <c r="A108" s="1" t="s">
        <v>995</v>
      </c>
    </row>
    <row r="109" customFormat="false" ht="15" hidden="false" customHeight="true" outlineLevel="0" collapsed="false">
      <c r="A109" s="1" t="s">
        <v>996</v>
      </c>
    </row>
    <row r="110" customFormat="false" ht="15" hidden="false" customHeight="true" outlineLevel="0" collapsed="false">
      <c r="A110" s="1" t="s">
        <v>997</v>
      </c>
    </row>
    <row r="112" customFormat="false" ht="15" hidden="false" customHeight="true" outlineLevel="0" collapsed="false">
      <c r="A112" s="1" t="s">
        <v>998</v>
      </c>
    </row>
    <row r="113" customFormat="false" ht="15" hidden="false" customHeight="true" outlineLevel="0" collapsed="false">
      <c r="A113" s="1" t="s">
        <v>999</v>
      </c>
    </row>
    <row r="114" customFormat="false" ht="15" hidden="false" customHeight="true" outlineLevel="0" collapsed="false">
      <c r="A114" s="1" t="s">
        <v>1000</v>
      </c>
    </row>
    <row r="115" customFormat="false" ht="15" hidden="false" customHeight="true" outlineLevel="0" collapsed="false">
      <c r="A115" s="1" t="s">
        <v>1001</v>
      </c>
    </row>
    <row r="117" customFormat="false" ht="15" hidden="false" customHeight="true" outlineLevel="0" collapsed="false">
      <c r="A117" s="1" t="s">
        <v>1002</v>
      </c>
    </row>
    <row r="118" customFormat="false" ht="15" hidden="false" customHeight="true" outlineLevel="0" collapsed="false">
      <c r="A118" s="1" t="s">
        <v>1003</v>
      </c>
    </row>
    <row r="119" customFormat="false" ht="15" hidden="false" customHeight="true" outlineLevel="0" collapsed="false">
      <c r="A119" s="1" t="s">
        <v>1004</v>
      </c>
    </row>
    <row r="120" customFormat="false" ht="15" hidden="false" customHeight="true" outlineLevel="0" collapsed="false">
      <c r="A120" s="1" t="s">
        <v>1005</v>
      </c>
    </row>
    <row r="121" customFormat="false" ht="15" hidden="false" customHeight="true" outlineLevel="0" collapsed="false">
      <c r="A121" s="1" t="s">
        <v>1006</v>
      </c>
    </row>
    <row r="130" customFormat="false" ht="15" hidden="false" customHeight="true" outlineLevel="0" collapsed="false">
      <c r="A130" s="1" t="s">
        <v>1007</v>
      </c>
    </row>
    <row r="131" customFormat="false" ht="15" hidden="false" customHeight="true" outlineLevel="0" collapsed="false">
      <c r="A131" s="1" t="s">
        <v>1008</v>
      </c>
    </row>
    <row r="132" customFormat="false" ht="15" hidden="false" customHeight="true" outlineLevel="0" collapsed="false">
      <c r="A132" s="1" t="s">
        <v>1009</v>
      </c>
    </row>
    <row r="133" customFormat="false" ht="15" hidden="false" customHeight="true" outlineLevel="0" collapsed="false">
      <c r="A133" s="1" t="s">
        <v>1010</v>
      </c>
    </row>
    <row r="134" customFormat="false" ht="15" hidden="false" customHeight="true" outlineLevel="0" collapsed="false">
      <c r="A134" s="1" t="s">
        <v>1011</v>
      </c>
    </row>
    <row r="135" customFormat="false" ht="15" hidden="false" customHeight="true" outlineLevel="0" collapsed="false">
      <c r="A135" s="1" t="s">
        <v>1012</v>
      </c>
    </row>
    <row r="136" customFormat="false" ht="15" hidden="false" customHeight="true" outlineLevel="0" collapsed="false">
      <c r="A136" s="1" t="s">
        <v>1013</v>
      </c>
    </row>
    <row r="137" customFormat="false" ht="15" hidden="false" customHeight="true" outlineLevel="0" collapsed="false">
      <c r="A137" s="1" t="s">
        <v>1014</v>
      </c>
    </row>
    <row r="138" customFormat="false" ht="15" hidden="false" customHeight="true" outlineLevel="0" collapsed="false">
      <c r="A138" s="1" t="s">
        <v>1015</v>
      </c>
    </row>
    <row r="139" customFormat="false" ht="15" hidden="false" customHeight="true" outlineLevel="0" collapsed="false">
      <c r="A139" s="1" t="s">
        <v>1016</v>
      </c>
    </row>
    <row r="141" customFormat="false" ht="15" hidden="false" customHeight="true" outlineLevel="0" collapsed="false">
      <c r="A141" s="1" t="s">
        <v>1017</v>
      </c>
    </row>
    <row r="142" customFormat="false" ht="15" hidden="false" customHeight="true" outlineLevel="0" collapsed="false">
      <c r="A142" s="1" t="s">
        <v>1018</v>
      </c>
    </row>
    <row r="143" customFormat="false" ht="15" hidden="false" customHeight="true" outlineLevel="0" collapsed="false">
      <c r="A143" s="1" t="s">
        <v>1019</v>
      </c>
    </row>
    <row r="144" customFormat="false" ht="15" hidden="false" customHeight="true" outlineLevel="0" collapsed="false">
      <c r="A144" s="1" t="s">
        <v>1020</v>
      </c>
    </row>
    <row r="145" customFormat="false" ht="15" hidden="false" customHeight="true" outlineLevel="0" collapsed="false">
      <c r="A145" s="1" t="s">
        <v>1021</v>
      </c>
    </row>
    <row r="146" customFormat="false" ht="15" hidden="false" customHeight="true" outlineLevel="0" collapsed="false">
      <c r="A146" s="1" t="s">
        <v>1022</v>
      </c>
    </row>
    <row r="147" customFormat="false" ht="15" hidden="false" customHeight="true" outlineLevel="0" collapsed="false">
      <c r="A147" s="1" t="s">
        <v>1023</v>
      </c>
    </row>
    <row r="148" customFormat="false" ht="15" hidden="false" customHeight="true" outlineLevel="0" collapsed="false">
      <c r="A148" s="1" t="s">
        <v>1024</v>
      </c>
    </row>
    <row r="149" customFormat="false" ht="15" hidden="false" customHeight="true" outlineLevel="0" collapsed="false">
      <c r="A149" s="1" t="s">
        <v>1025</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1026</v>
      </c>
      <c r="B1" s="4" t="s">
        <v>1027</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1028</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1029</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425898.62</v>
      </c>
      <c r="P4" s="257" t="n">
        <f aca="false">(SUMPRODUCT((Personnel!$O$9:$O$100&lt;&gt;"")*(Personnel!$G$9:$G$100="Yes")*(14&gt;=Personnel!$E$9:$E$100)*((Personnel!$K$9:$K$100="")+(14&lt;=Personnel!$K$9:$K$100)&gt;0)*Personnel!$D$9:$D$100*(1-Personnel!$H$9:$H$100))+Staffing!R81)*Escalation!$B$15</f>
        <v>456923.62</v>
      </c>
      <c r="Q4" s="257" t="n">
        <f aca="false">(SUMPRODUCT((Personnel!$O$9:$O$100&lt;&gt;"")*(Personnel!$G$9:$G$100="Yes")*(15&gt;=Personnel!$E$9:$E$100)*((Personnel!$K$9:$K$100="")+(15&lt;=Personnel!$K$9:$K$100)&gt;0)*Personnel!$D$9:$D$100*(1-Personnel!$H$9:$H$100))+Staffing!S81)*Escalation!$B$16</f>
        <v>478598.62</v>
      </c>
      <c r="R4" s="257" t="n">
        <f aca="false">(SUMPRODUCT((Personnel!$O$9:$O$100&lt;&gt;"")*(Personnel!$G$9:$G$100="Yes")*(16&gt;=Personnel!$E$9:$E$100)*((Personnel!$K$9:$K$100="")+(16&lt;=Personnel!$K$9:$K$100)&gt;0)*Personnel!$D$9:$D$100*(1-Personnel!$H$9:$H$100))+Staffing!T81)*Escalation!$B$17</f>
        <v>478598.62</v>
      </c>
      <c r="S4" s="257" t="n">
        <f aca="false">(SUMPRODUCT((Personnel!$O$9:$O$100&lt;&gt;"")*(Personnel!$G$9:$G$100="Yes")*(17&gt;=Personnel!$E$9:$E$100)*((Personnel!$K$9:$K$100="")+(17&lt;=Personnel!$K$9:$K$100)&gt;0)*Personnel!$D$9:$D$100*(1-Personnel!$H$9:$H$100))+Staffing!U81)*Escalation!$B$18</f>
        <v>478598.62</v>
      </c>
      <c r="T4" s="257" t="n">
        <f aca="false">(SUMPRODUCT((Personnel!$O$9:$O$100&lt;&gt;"")*(Personnel!$G$9:$G$100="Yes")*(18&gt;=Personnel!$E$9:$E$100)*((Personnel!$K$9:$K$100="")+(18&lt;=Personnel!$K$9:$K$100)&gt;0)*Personnel!$D$9:$D$100*(1-Personnel!$H$9:$H$100))+Staffing!V81)*Escalation!$B$19</f>
        <v>478598.62</v>
      </c>
      <c r="U4" s="257" t="n">
        <f aca="false">(SUMPRODUCT((Personnel!$O$9:$O$100&lt;&gt;"")*(Personnel!$G$9:$G$100="Yes")*(19&gt;=Personnel!$E$9:$E$100)*((Personnel!$K$9:$K$100="")+(19&lt;=Personnel!$K$9:$K$100)&gt;0)*Personnel!$D$9:$D$100*(1-Personnel!$H$9:$H$100))+Staffing!W81)*Escalation!$B$20</f>
        <v>478598.62</v>
      </c>
      <c r="V4" s="257" t="n">
        <f aca="false">(SUMPRODUCT((Personnel!$O$9:$O$100&lt;&gt;"")*(Personnel!$G$9:$G$100="Yes")*(20&gt;=Personnel!$E$9:$E$100)*((Personnel!$K$9:$K$100="")+(20&lt;=Personnel!$K$9:$K$100)&gt;0)*Personnel!$D$9:$D$100*(1-Personnel!$H$9:$H$100))+Staffing!X81)*Escalation!$B$21</f>
        <v>478598.62</v>
      </c>
      <c r="W4" s="257" t="n">
        <f aca="false">(SUMPRODUCT((Personnel!$O$9:$O$100&lt;&gt;"")*(Personnel!$G$9:$G$100="Yes")*(21&gt;=Personnel!$E$9:$E$100)*((Personnel!$K$9:$K$100="")+(21&lt;=Personnel!$K$9:$K$100)&gt;0)*Personnel!$D$9:$D$100*(1-Personnel!$H$9:$H$100))+Staffing!Y81)*Escalation!$B$22</f>
        <v>478598.62</v>
      </c>
      <c r="X4" s="257" t="n">
        <f aca="false">(SUMPRODUCT((Personnel!$O$9:$O$100&lt;&gt;"")*(Personnel!$G$9:$G$100="Yes")*(22&gt;=Personnel!$E$9:$E$100)*((Personnel!$K$9:$K$100="")+(22&lt;=Personnel!$K$9:$K$100)&gt;0)*Personnel!$D$9:$D$100*(1-Personnel!$H$9:$H$100))+Staffing!Z81)*Escalation!$B$23</f>
        <v>478598.62</v>
      </c>
      <c r="Y4" s="257" t="n">
        <f aca="false">(SUMPRODUCT((Personnel!$O$9:$O$100&lt;&gt;"")*(Personnel!$G$9:$G$100="Yes")*(23&gt;=Personnel!$E$9:$E$100)*((Personnel!$K$9:$K$100="")+(23&lt;=Personnel!$K$9:$K$100)&gt;0)*Personnel!$D$9:$D$100*(1-Personnel!$H$9:$H$100))+Staffing!AA81)*Escalation!$B$24</f>
        <v>478598.62</v>
      </c>
      <c r="Z4" s="257" t="n">
        <f aca="false">(SUMPRODUCT((Personnel!$O$9:$O$100&lt;&gt;"")*(Personnel!$G$9:$G$100="Yes")*(24&gt;=Personnel!$E$9:$E$100)*((Personnel!$K$9:$K$100="")+(24&lt;=Personnel!$K$9:$K$100)&gt;0)*Personnel!$D$9:$D$100*(1-Personnel!$H$9:$H$100))+Staffing!AB81)*Escalation!$B$25</f>
        <v>478598.62</v>
      </c>
      <c r="AA4" s="257" t="n">
        <f aca="false">(SUMPRODUCT((Personnel!$O$9:$O$100&lt;&gt;"")*(Personnel!$G$9:$G$100="Yes")*(25&gt;=Personnel!$E$9:$E$100)*((Personnel!$K$9:$K$100="")+(25&lt;=Personnel!$K$9:$K$100)&gt;0)*Personnel!$D$9:$D$100*(1-Personnel!$H$9:$H$100))+Staffing!AC81)*Escalation!$B$26</f>
        <v>470397.0924</v>
      </c>
      <c r="AB4" s="257" t="n">
        <f aca="false">(SUMPRODUCT((Personnel!$O$9:$O$100&lt;&gt;"")*(Personnel!$G$9:$G$100="Yes")*(26&gt;=Personnel!$E$9:$E$100)*((Personnel!$K$9:$K$100="")+(26&lt;=Personnel!$K$9:$K$100)&gt;0)*Personnel!$D$9:$D$100*(1-Personnel!$H$9:$H$100))+Staffing!AD81)*Escalation!$B$27</f>
        <v>445254.0924</v>
      </c>
      <c r="AC4" s="257" t="n">
        <f aca="false">(SUMPRODUCT((Personnel!$O$9:$O$100&lt;&gt;"")*(Personnel!$G$9:$G$100="Yes")*(27&gt;=Personnel!$E$9:$E$100)*((Personnel!$K$9:$K$100="")+(27&lt;=Personnel!$K$9:$K$100)&gt;0)*Personnel!$D$9:$D$100*(1-Personnel!$H$9:$H$100))+Staffing!AE81)*Escalation!$B$28</f>
        <v>445254.0924</v>
      </c>
      <c r="AD4" s="257" t="n">
        <f aca="false">(SUMPRODUCT((Personnel!$O$9:$O$100&lt;&gt;"")*(Personnel!$G$9:$G$100="Yes")*(28&gt;=Personnel!$E$9:$E$100)*((Personnel!$K$9:$K$100="")+(28&lt;=Personnel!$K$9:$K$100)&gt;0)*Personnel!$D$9:$D$100*(1-Personnel!$H$9:$H$100))+Staffing!AF81)*Escalation!$B$29</f>
        <v>445254.0924</v>
      </c>
      <c r="AE4" s="257" t="n">
        <f aca="false">(SUMPRODUCT((Personnel!$O$9:$O$100&lt;&gt;"")*(Personnel!$G$9:$G$100="Yes")*(29&gt;=Personnel!$E$9:$E$100)*((Personnel!$K$9:$K$100="")+(29&lt;=Personnel!$K$9:$K$100)&gt;0)*Personnel!$D$9:$D$100*(1-Personnel!$H$9:$H$100))+Staffing!AG81)*Escalation!$B$30</f>
        <v>445254.0924</v>
      </c>
      <c r="AF4" s="257" t="n">
        <f aca="false">(SUMPRODUCT((Personnel!$O$9:$O$100&lt;&gt;"")*(Personnel!$G$9:$G$100="Yes")*(30&gt;=Personnel!$E$9:$E$100)*((Personnel!$K$9:$K$100="")+(30&lt;=Personnel!$K$9:$K$100)&gt;0)*Personnel!$D$9:$D$100*(1-Personnel!$H$9:$H$100))+Staffing!AH81)*Escalation!$B$31</f>
        <v>431382.0924</v>
      </c>
      <c r="AG4" s="257" t="n">
        <f aca="false">(SUMPRODUCT((Personnel!$O$9:$O$100&lt;&gt;"")*(Personnel!$G$9:$G$100="Yes")*(31&gt;=Personnel!$E$9:$E$100)*((Personnel!$K$9:$K$100="")+(31&lt;=Personnel!$K$9:$K$100)&gt;0)*Personnel!$D$9:$D$100*(1-Personnel!$H$9:$H$100))+Staffing!AI81)*Escalation!$B$32</f>
        <v>415776.0924</v>
      </c>
      <c r="AH4" s="257" t="n">
        <f aca="false">(SUMPRODUCT((Personnel!$O$9:$O$100&lt;&gt;"")*(Personnel!$G$9:$G$100="Yes")*(32&gt;=Personnel!$E$9:$E$100)*((Personnel!$K$9:$K$100="")+(32&lt;=Personnel!$K$9:$K$100)&gt;0)*Personnel!$D$9:$D$100*(1-Personnel!$H$9:$H$100))+Staffing!AJ81)*Escalation!$B$33</f>
        <v>415776.0924</v>
      </c>
      <c r="AI4" s="257" t="n">
        <f aca="false">(SUMPRODUCT((Personnel!$O$9:$O$100&lt;&gt;"")*(Personnel!$G$9:$G$100="Yes")*(33&gt;=Personnel!$E$9:$E$100)*((Personnel!$K$9:$K$100="")+(33&lt;=Personnel!$K$9:$K$100)&gt;0)*Personnel!$D$9:$D$100*(1-Personnel!$H$9:$H$100))+Staffing!AK81)*Escalation!$B$34</f>
        <v>415776.0924</v>
      </c>
      <c r="AJ4" s="257" t="n">
        <f aca="false">(SUMPRODUCT((Personnel!$O$9:$O$100&lt;&gt;"")*(Personnel!$G$9:$G$100="Yes")*(34&gt;=Personnel!$E$9:$E$100)*((Personnel!$K$9:$K$100="")+(34&lt;=Personnel!$K$9:$K$100)&gt;0)*Personnel!$D$9:$D$100*(1-Personnel!$H$9:$H$100))+Staffing!AL81)*Escalation!$B$35</f>
        <v>408840.0924</v>
      </c>
      <c r="AK4" s="257" t="n">
        <f aca="false">(SUMPRODUCT((Personnel!$O$9:$O$100&lt;&gt;"")*(Personnel!$G$9:$G$100="Yes")*(35&gt;=Personnel!$E$9:$E$100)*((Personnel!$K$9:$K$100="")+(35&lt;=Personnel!$K$9:$K$100)&gt;0)*Personnel!$D$9:$D$100*(1-Personnel!$H$9:$H$100))+Staffing!AM81)*Escalation!$B$36</f>
        <v>370258.5924</v>
      </c>
      <c r="AL4" s="257" t="n">
        <f aca="false">(SUMPRODUCT((Personnel!$O$9:$O$100&lt;&gt;"")*(Personnel!$G$9:$G$100="Yes")*(36&gt;=Personnel!$E$9:$E$100)*((Personnel!$K$9:$K$100="")+(36&lt;=Personnel!$K$9:$K$100)&gt;0)*Personnel!$D$9:$D$100*(1-Personnel!$H$9:$H$100))+Staffing!AN81)*Escalation!$B$37</f>
        <v>356386.5924</v>
      </c>
      <c r="AM4" s="257" t="n">
        <f aca="false">(SUMPRODUCT((Personnel!$O$9:$O$100&lt;&gt;"")*(Personnel!$G$9:$G$100="Yes")*(37&gt;=Personnel!$E$9:$E$100)*((Personnel!$K$9:$K$100="")+(37&lt;=Personnel!$K$9:$K$100)&gt;0)*Personnel!$D$9:$D$100*(1-Personnel!$H$9:$H$100))+Staffing!AO81)*Escalation!$B$38</f>
        <v>340963.654248</v>
      </c>
      <c r="AN4" s="257" t="n">
        <f aca="false">(SUMPRODUCT((Personnel!$O$9:$O$100&lt;&gt;"")*(Personnel!$G$9:$G$100="Yes")*(38&gt;=Personnel!$E$9:$E$100)*((Personnel!$K$9:$K$100="")+(38&lt;=Personnel!$K$9:$K$100)&gt;0)*Personnel!$D$9:$D$100*(1-Personnel!$H$9:$H$100))+Staffing!AP81)*Escalation!$B$39</f>
        <v>340963.654248</v>
      </c>
      <c r="AO4" s="257" t="n">
        <f aca="false">(SUMPRODUCT((Personnel!$O$9:$O$100&lt;&gt;"")*(Personnel!$G$9:$G$100="Yes")*(39&gt;=Personnel!$E$9:$E$100)*((Personnel!$K$9:$K$100="")+(39&lt;=Personnel!$K$9:$K$100)&gt;0)*Personnel!$D$9:$D$100*(1-Personnel!$H$9:$H$100))+Staffing!AQ81)*Escalation!$B$40</f>
        <v>329909.404248</v>
      </c>
      <c r="AP4" s="257" t="n">
        <f aca="false">(SUMPRODUCT((Personnel!$O$9:$O$100&lt;&gt;"")*(Personnel!$G$9:$G$100="Yes")*(40&gt;=Personnel!$E$9:$E$100)*((Personnel!$K$9:$K$100="")+(40&lt;=Personnel!$K$9:$K$100)&gt;0)*Personnel!$D$9:$D$100*(1-Personnel!$H$9:$H$100))+Staffing!AR81)*Escalation!$B$41</f>
        <v>329909.404248</v>
      </c>
      <c r="AQ4" s="257" t="n">
        <f aca="false">(SUMPRODUCT((Personnel!$O$9:$O$100&lt;&gt;"")*(Personnel!$G$9:$G$100="Yes")*(41&gt;=Personnel!$E$9:$E$100)*((Personnel!$K$9:$K$100="")+(41&lt;=Personnel!$K$9:$K$100)&gt;0)*Personnel!$D$9:$D$100*(1-Personnel!$H$9:$H$100))+Staffing!AS81)*Escalation!$B$42</f>
        <v>329909.404248</v>
      </c>
      <c r="AR4" s="257" t="n">
        <f aca="false">(SUMPRODUCT((Personnel!$O$9:$O$100&lt;&gt;"")*(Personnel!$G$9:$G$100="Yes")*(42&gt;=Personnel!$E$9:$E$100)*((Personnel!$K$9:$K$100="")+(42&lt;=Personnel!$K$9:$K$100)&gt;0)*Personnel!$D$9:$D$100*(1-Personnel!$H$9:$H$100))+Staffing!AT81)*Escalation!$B$43</f>
        <v>329909.404248</v>
      </c>
      <c r="AS4" s="257" t="n">
        <f aca="false">(SUMPRODUCT((Personnel!$O$9:$O$100&lt;&gt;"")*(Personnel!$G$9:$G$100="Yes")*(43&gt;=Personnel!$E$9:$E$100)*((Personnel!$K$9:$K$100="")+(43&lt;=Personnel!$K$9:$K$100)&gt;0)*Personnel!$D$9:$D$100*(1-Personnel!$H$9:$H$100))+Staffing!AU81)*Escalation!$B$44</f>
        <v>329909.404248</v>
      </c>
      <c r="AT4" s="257" t="n">
        <f aca="false">(SUMPRODUCT((Personnel!$O$9:$O$100&lt;&gt;"")*(Personnel!$G$9:$G$100="Yes")*(44&gt;=Personnel!$E$9:$E$100)*((Personnel!$K$9:$K$100="")+(44&lt;=Personnel!$K$9:$K$100)&gt;0)*Personnel!$D$9:$D$100*(1-Personnel!$H$9:$H$100))+Staffing!AV81)*Escalation!$B$45</f>
        <v>329909.404248</v>
      </c>
      <c r="AU4" s="257" t="n">
        <f aca="false">(SUMPRODUCT((Personnel!$O$9:$O$100&lt;&gt;"")*(Personnel!$G$9:$G$100="Yes")*(45&gt;=Personnel!$E$9:$E$100)*((Personnel!$K$9:$K$100="")+(45&lt;=Personnel!$K$9:$K$100)&gt;0)*Personnel!$D$9:$D$100*(1-Personnel!$H$9:$H$100))+Staffing!AW81)*Escalation!$B$46</f>
        <v>329909.404248</v>
      </c>
      <c r="AV4" s="257" t="n">
        <f aca="false">(SUMPRODUCT((Personnel!$O$9:$O$100&lt;&gt;"")*(Personnel!$G$9:$G$100="Yes")*(46&gt;=Personnel!$E$9:$E$100)*((Personnel!$K$9:$K$100="")+(46&lt;=Personnel!$K$9:$K$100)&gt;0)*Personnel!$D$9:$D$100*(1-Personnel!$H$9:$H$100))+Staffing!AX81)*Escalation!$B$47</f>
        <v>329909.404248</v>
      </c>
      <c r="AW4" s="257" t="n">
        <f aca="false">(SUMPRODUCT((Personnel!$O$9:$O$100&lt;&gt;"")*(Personnel!$G$9:$G$100="Yes")*(47&gt;=Personnel!$E$9:$E$100)*((Personnel!$K$9:$K$100="")+(47&lt;=Personnel!$K$9:$K$100)&gt;0)*Personnel!$D$9:$D$100*(1-Personnel!$H$9:$H$100))+Staffing!AY81)*Escalation!$B$48</f>
        <v>329909.404248</v>
      </c>
      <c r="AX4" s="257" t="n">
        <f aca="false">(SUMPRODUCT((Personnel!$O$9:$O$100&lt;&gt;"")*(Personnel!$G$9:$G$100="Yes")*(48&gt;=Personnel!$E$9:$E$100)*((Personnel!$K$9:$K$100="")+(48&lt;=Personnel!$K$9:$K$100)&gt;0)*Personnel!$D$9:$D$100*(1-Personnel!$H$9:$H$100))+Staffing!AZ81)*Escalation!$B$49</f>
        <v>329909.404248</v>
      </c>
      <c r="AY4" s="257" t="n">
        <f aca="false">(SUMPRODUCT((Personnel!$O$9:$O$100&lt;&gt;"")*(Personnel!$G$9:$G$100="Yes")*(49&gt;=Personnel!$E$9:$E$100)*((Personnel!$K$9:$K$100="")+(49&lt;=Personnel!$K$9:$K$100)&gt;0)*Personnel!$D$9:$D$100*(1-Personnel!$H$9:$H$100))+Staffing!BA81)*Escalation!$B$50</f>
        <v>336507.59233296</v>
      </c>
      <c r="AZ4" s="257" t="n">
        <f aca="false">(SUMPRODUCT((Personnel!$O$9:$O$100&lt;&gt;"")*(Personnel!$G$9:$G$100="Yes")*(50&gt;=Personnel!$E$9:$E$100)*((Personnel!$K$9:$K$100="")+(50&lt;=Personnel!$K$9:$K$100)&gt;0)*Personnel!$D$9:$D$100*(1-Personnel!$H$9:$H$100))+Staffing!BB81)*Escalation!$B$51</f>
        <v>336507.59233296</v>
      </c>
      <c r="BA4" s="257" t="n">
        <f aca="false">(SUMPRODUCT((Personnel!$O$9:$O$100&lt;&gt;"")*(Personnel!$G$9:$G$100="Yes")*(51&gt;=Personnel!$E$9:$E$100)*((Personnel!$K$9:$K$100="")+(51&lt;=Personnel!$K$9:$K$100)&gt;0)*Personnel!$D$9:$D$100*(1-Personnel!$H$9:$H$100))+Staffing!BC81)*Escalation!$B$52</f>
        <v>336507.59233296</v>
      </c>
      <c r="BB4" s="257" t="n">
        <f aca="false">(SUMPRODUCT((Personnel!$O$9:$O$100&lt;&gt;"")*(Personnel!$G$9:$G$100="Yes")*(52&gt;=Personnel!$E$9:$E$100)*((Personnel!$K$9:$K$100="")+(52&lt;=Personnel!$K$9:$K$100)&gt;0)*Personnel!$D$9:$D$100*(1-Personnel!$H$9:$H$100))+Staffing!BD81)*Escalation!$B$53</f>
        <v>336507.59233296</v>
      </c>
      <c r="BC4" s="257" t="n">
        <f aca="false">(SUMPRODUCT((Personnel!$O$9:$O$100&lt;&gt;"")*(Personnel!$G$9:$G$100="Yes")*(53&gt;=Personnel!$E$9:$E$100)*((Personnel!$K$9:$K$100="")+(53&lt;=Personnel!$K$9:$K$100)&gt;0)*Personnel!$D$9:$D$100*(1-Personnel!$H$9:$H$100))+Staffing!BE81)*Escalation!$B$54</f>
        <v>336507.59233296</v>
      </c>
      <c r="BD4" s="257" t="n">
        <f aca="false">(SUMPRODUCT((Personnel!$O$9:$O$100&lt;&gt;"")*(Personnel!$G$9:$G$100="Yes")*(54&gt;=Personnel!$E$9:$E$100)*((Personnel!$K$9:$K$100="")+(54&lt;=Personnel!$K$9:$K$100)&gt;0)*Personnel!$D$9:$D$100*(1-Personnel!$H$9:$H$100))+Staffing!BF81)*Escalation!$B$55</f>
        <v>336507.59233296</v>
      </c>
      <c r="BE4" s="257" t="n">
        <f aca="false">(SUMPRODUCT((Personnel!$O$9:$O$100&lt;&gt;"")*(Personnel!$G$9:$G$100="Yes")*(55&gt;=Personnel!$E$9:$E$100)*((Personnel!$K$9:$K$100="")+(55&lt;=Personnel!$K$9:$K$100)&gt;0)*Personnel!$D$9:$D$100*(1-Personnel!$H$9:$H$100))+Staffing!BG81)*Escalation!$B$56</f>
        <v>336507.59233296</v>
      </c>
      <c r="BF4" s="257" t="n">
        <f aca="false">(SUMPRODUCT((Personnel!$O$9:$O$100&lt;&gt;"")*(Personnel!$G$9:$G$100="Yes")*(56&gt;=Personnel!$E$9:$E$100)*((Personnel!$K$9:$K$100="")+(56&lt;=Personnel!$K$9:$K$100)&gt;0)*Personnel!$D$9:$D$100*(1-Personnel!$H$9:$H$100))+Staffing!BH81)*Escalation!$B$57</f>
        <v>336507.59233296</v>
      </c>
      <c r="BG4" s="257" t="n">
        <f aca="false">(SUMPRODUCT((Personnel!$O$9:$O$100&lt;&gt;"")*(Personnel!$G$9:$G$100="Yes")*(57&gt;=Personnel!$E$9:$E$100)*((Personnel!$K$9:$K$100="")+(57&lt;=Personnel!$K$9:$K$100)&gt;0)*Personnel!$D$9:$D$100*(1-Personnel!$H$9:$H$100))+Staffing!BI81)*Escalation!$B$58</f>
        <v>336507.59233296</v>
      </c>
      <c r="BH4" s="257" t="n">
        <f aca="false">(SUMPRODUCT((Personnel!$O$9:$O$100&lt;&gt;"")*(Personnel!$G$9:$G$100="Yes")*(58&gt;=Personnel!$E$9:$E$100)*((Personnel!$K$9:$K$100="")+(58&lt;=Personnel!$K$9:$K$100)&gt;0)*Personnel!$D$9:$D$100*(1-Personnel!$H$9:$H$100))+Staffing!BJ81)*Escalation!$B$59</f>
        <v>336507.59233296</v>
      </c>
      <c r="BI4" s="257" t="n">
        <f aca="false">(SUMPRODUCT((Personnel!$O$9:$O$100&lt;&gt;"")*(Personnel!$G$9:$G$100="Yes")*(59&gt;=Personnel!$E$9:$E$100)*((Personnel!$K$9:$K$100="")+(59&lt;=Personnel!$K$9:$K$100)&gt;0)*Personnel!$D$9:$D$100*(1-Personnel!$H$9:$H$100))+Staffing!BK81)*Escalation!$B$60</f>
        <v>336507.59233296</v>
      </c>
      <c r="BJ4" s="257" t="n">
        <f aca="false">(SUMPRODUCT((Personnel!$O$9:$O$100&lt;&gt;"")*(Personnel!$G$9:$G$100="Yes")*(60&gt;=Personnel!$E$9:$E$100)*((Personnel!$K$9:$K$100="")+(60&lt;=Personnel!$K$9:$K$100)&gt;0)*Personnel!$D$9:$D$100*(1-Personnel!$H$9:$H$100))+Staffing!BL81)*Escalation!$B$61</f>
        <v>336507.59233296</v>
      </c>
      <c r="BK4" s="257" t="n">
        <f aca="false">(SUMPRODUCT((Personnel!$O$9:$O$100&lt;&gt;"")*(Personnel!$G$9:$G$100="Yes")*(61&gt;=Personnel!$E$9:$E$100)*((Personnel!$K$9:$K$100="")+(61&lt;=Personnel!$K$9:$K$100)&gt;0)*Personnel!$D$9:$D$100*(1-Personnel!$H$9:$H$100))+Staffing!BM81)*Escalation!$B$62</f>
        <v>343237.744179619</v>
      </c>
      <c r="BL4" s="257" t="n">
        <f aca="false">(SUMPRODUCT((Personnel!$O$9:$O$100&lt;&gt;"")*(Personnel!$G$9:$G$100="Yes")*(62&gt;=Personnel!$E$9:$E$100)*((Personnel!$K$9:$K$100="")+(62&lt;=Personnel!$K$9:$K$100)&gt;0)*Personnel!$D$9:$D$100*(1-Personnel!$H$9:$H$100))+Staffing!BN81)*Escalation!$B$63</f>
        <v>343237.744179619</v>
      </c>
      <c r="BM4" s="257" t="n">
        <f aca="false">(SUMPRODUCT((Personnel!$O$9:$O$100&lt;&gt;"")*(Personnel!$G$9:$G$100="Yes")*(63&gt;=Personnel!$E$9:$E$100)*((Personnel!$K$9:$K$100="")+(63&lt;=Personnel!$K$9:$K$100)&gt;0)*Personnel!$D$9:$D$100*(1-Personnel!$H$9:$H$100))+Staffing!BO81)*Escalation!$B$64</f>
        <v>343237.744179619</v>
      </c>
      <c r="BN4" s="257" t="n">
        <f aca="false">(SUMPRODUCT((Personnel!$O$9:$O$100&lt;&gt;"")*(Personnel!$G$9:$G$100="Yes")*(64&gt;=Personnel!$E$9:$E$100)*((Personnel!$K$9:$K$100="")+(64&lt;=Personnel!$K$9:$K$100)&gt;0)*Personnel!$D$9:$D$100*(1-Personnel!$H$9:$H$100))+Staffing!BP81)*Escalation!$B$65</f>
        <v>343237.744179619</v>
      </c>
      <c r="BO4" s="257" t="n">
        <f aca="false">(SUMPRODUCT((Personnel!$O$9:$O$100&lt;&gt;"")*(Personnel!$G$9:$G$100="Yes")*(65&gt;=Personnel!$E$9:$E$100)*((Personnel!$K$9:$K$100="")+(65&lt;=Personnel!$K$9:$K$100)&gt;0)*Personnel!$D$9:$D$100*(1-Personnel!$H$9:$H$100))+Staffing!BQ81)*Escalation!$B$66</f>
        <v>343237.744179619</v>
      </c>
      <c r="BP4" s="257" t="n">
        <f aca="false">(SUMPRODUCT((Personnel!$O$9:$O$100&lt;&gt;"")*(Personnel!$G$9:$G$100="Yes")*(66&gt;=Personnel!$E$9:$E$100)*((Personnel!$K$9:$K$100="")+(66&lt;=Personnel!$K$9:$K$100)&gt;0)*Personnel!$D$9:$D$100*(1-Personnel!$H$9:$H$100))+Staffing!BR81)*Escalation!$B$67</f>
        <v>343237.744179619</v>
      </c>
      <c r="BQ4" s="257" t="n">
        <f aca="false">(SUMPRODUCT((Personnel!$O$9:$O$100&lt;&gt;"")*(Personnel!$G$9:$G$100="Yes")*(67&gt;=Personnel!$E$9:$E$100)*((Personnel!$K$9:$K$100="")+(67&lt;=Personnel!$K$9:$K$100)&gt;0)*Personnel!$D$9:$D$100*(1-Personnel!$H$9:$H$100))+Staffing!BS81)*Escalation!$B$68</f>
        <v>343237.744179619</v>
      </c>
      <c r="BR4" s="257" t="n">
        <f aca="false">(SUMPRODUCT((Personnel!$O$9:$O$100&lt;&gt;"")*(Personnel!$G$9:$G$100="Yes")*(68&gt;=Personnel!$E$9:$E$100)*((Personnel!$K$9:$K$100="")+(68&lt;=Personnel!$K$9:$K$100)&gt;0)*Personnel!$D$9:$D$100*(1-Personnel!$H$9:$H$100))+Staffing!BT81)*Escalation!$B$69</f>
        <v>343237.744179619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1030</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1031</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40688781.070168</v>
      </c>
      <c r="AD15" s="257" t="n">
        <f aca="false">IF(AND(Projects!$G$14="Yes",Projects!$F$14="Yes",28&gt;=Projects!$C$14,28&lt;Projects!$C$14+Projects!$D$14),Projects!$B$14*(1-SUMPRODUCT((Curves!$B$2:$AO$2)*(COLUMN(Curves!$B$2:$AO$2)-COLUMN(Curves!$B$2)+1&lt;=28-Projects!$C$14+1))),0)</f>
        <v>39922975.994792</v>
      </c>
      <c r="AE15" s="257" t="n">
        <f aca="false">IF(AND(Projects!$G$14="Yes",Projects!$F$14="Yes",29&gt;=Projects!$C$14,29&lt;Projects!$C$14+Projects!$D$14),Projects!$B$14*(1-SUMPRODUCT((Curves!$B$2:$AO$2)*(COLUMN(Curves!$B$2:$AO$2)-COLUMN(Curves!$B$2)+1&lt;=29-Projects!$C$14+1))),0)</f>
        <v>39050930.869808</v>
      </c>
      <c r="AF15" s="257" t="n">
        <f aca="false">IF(AND(Projects!$G$14="Yes",Projects!$F$14="Yes",30&gt;=Projects!$C$14,30&lt;Projects!$C$14+Projects!$D$14),Projects!$B$14*(1-SUMPRODUCT((Curves!$B$2:$AO$2)*(COLUMN(Curves!$B$2:$AO$2)-COLUMN(Curves!$B$2)+1&lt;=30-Projects!$C$14+1))),0)</f>
        <v>38067807.203272</v>
      </c>
      <c r="AG15" s="257" t="n">
        <f aca="false">IF(AND(Projects!$G$14="Yes",Projects!$F$14="Yes",31&gt;=Projects!$C$14,31&lt;Projects!$C$14+Projects!$D$14),Projects!$B$14*(1-SUMPRODUCT((Curves!$B$2:$AO$2)*(COLUMN(Curves!$B$2:$AO$2)-COLUMN(Curves!$B$2)+1&lt;=31-Projects!$C$14+1))),0)</f>
        <v>36970462.043152</v>
      </c>
      <c r="AH15" s="257" t="n">
        <f aca="false">IF(AND(Projects!$G$14="Yes",Projects!$F$14="Yes",32&gt;=Projects!$C$14,32&lt;Projects!$C$14+Projects!$D$14),Projects!$B$14*(1-SUMPRODUCT((Curves!$B$2:$AO$2)*(COLUMN(Curves!$B$2:$AO$2)-COLUMN(Curves!$B$2)+1&lt;=32-Projects!$C$14+1))),0)</f>
        <v>35757820.169016</v>
      </c>
      <c r="AI15" s="257" t="n">
        <f aca="false">IF(AND(Projects!$G$14="Yes",Projects!$F$14="Yes",33&gt;=Projects!$C$14,33&lt;Projects!$C$14+Projects!$D$14),Projects!$B$14*(1-SUMPRODUCT((Curves!$B$2:$AO$2)*(COLUMN(Curves!$B$2:$AO$2)-COLUMN(Curves!$B$2)+1&lt;=33-Projects!$C$14+1))),0)</f>
        <v>34431080.865192</v>
      </c>
      <c r="AJ15" s="257" t="n">
        <f aca="false">IF(AND(Projects!$G$14="Yes",Projects!$F$14="Yes",34&gt;=Projects!$C$14,34&lt;Projects!$C$14+Projects!$D$14),Projects!$B$14*(1-SUMPRODUCT((Curves!$B$2:$AO$2)*(COLUMN(Curves!$B$2:$AO$2)-COLUMN(Curves!$B$2)+1&lt;=34-Projects!$C$14+1))),0)</f>
        <v>32993924.693928</v>
      </c>
      <c r="AK15" s="257" t="n">
        <f aca="false">IF(AND(Projects!$G$14="Yes",Projects!$F$14="Yes",35&gt;=Projects!$C$14,35&lt;Projects!$C$14+Projects!$D$14),Projects!$B$14*(1-SUMPRODUCT((Curves!$B$2:$AO$2)*(COLUMN(Curves!$B$2:$AO$2)-COLUMN(Curves!$B$2)+1&lt;=35-Projects!$C$14+1))),0)</f>
        <v>31452678.91392</v>
      </c>
      <c r="AL15" s="257" t="n">
        <f aca="false">IF(AND(Projects!$G$14="Yes",Projects!$F$14="Yes",36&gt;=Projects!$C$14,36&lt;Projects!$C$14+Projects!$D$14),Projects!$B$14*(1-SUMPRODUCT((Curves!$B$2:$AO$2)*(COLUMN(Curves!$B$2:$AO$2)-COLUMN(Curves!$B$2)+1&lt;=36-Projects!$C$14+1))),0)</f>
        <v>29816193.416416</v>
      </c>
      <c r="AM15" s="257" t="n">
        <f aca="false">IF(AND(Projects!$G$14="Yes",Projects!$F$14="Yes",37&gt;=Projects!$C$14,37&lt;Projects!$C$14+Projects!$D$14),Projects!$B$14*(1-SUMPRODUCT((Curves!$B$2:$AO$2)*(COLUMN(Curves!$B$2:$AO$2)-COLUMN(Curves!$B$2)+1&lt;=37-Projects!$C$14+1))),0)</f>
        <v>28095882.079848</v>
      </c>
      <c r="AN15" s="257" t="n">
        <f aca="false">IF(AND(Projects!$G$14="Yes",Projects!$F$14="Yes",38&gt;=Projects!$C$14,38&lt;Projects!$C$14+Projects!$D$14),Projects!$B$14*(1-SUMPRODUCT((Curves!$B$2:$AO$2)*(COLUMN(Curves!$B$2:$AO$2)-COLUMN(Curves!$B$2)+1&lt;=38-Projects!$C$14+1))),0)</f>
        <v>26305433.287408</v>
      </c>
      <c r="AO15" s="257" t="n">
        <f aca="false">IF(AND(Projects!$G$14="Yes",Projects!$F$14="Yes",39&gt;=Projects!$C$14,39&lt;Projects!$C$14+Projects!$D$14),Projects!$B$14*(1-SUMPRODUCT((Curves!$B$2:$AO$2)*(COLUMN(Curves!$B$2:$AO$2)-COLUMN(Curves!$B$2)+1&lt;=39-Projects!$C$14+1))),0)</f>
        <v>24460479.089992</v>
      </c>
      <c r="AP15" s="257" t="n">
        <f aca="false">IF(AND(Projects!$G$14="Yes",Projects!$F$14="Yes",40&gt;=Projects!$C$14,40&lt;Projects!$C$14+Projects!$D$14),Projects!$B$14*(1-SUMPRODUCT((Curves!$B$2:$AO$2)*(COLUMN(Curves!$B$2:$AO$2)-COLUMN(Curves!$B$2)+1&lt;=40-Projects!$C$14+1))),0)</f>
        <v>22578305.723776</v>
      </c>
      <c r="AQ15" s="257" t="n">
        <f aca="false">IF(AND(Projects!$G$14="Yes",Projects!$F$14="Yes",41&gt;=Projects!$C$14,41&lt;Projects!$C$14+Projects!$D$14),Projects!$B$14*(1-SUMPRODUCT((Curves!$B$2:$AO$2)*(COLUMN(Curves!$B$2:$AO$2)-COLUMN(Curves!$B$2)+1&lt;=41-Projects!$C$14+1))),0)</f>
        <v>20677233.290736</v>
      </c>
      <c r="AR15" s="257" t="n">
        <f aca="false">IF(AND(Projects!$G$14="Yes",Projects!$F$14="Yes",42&gt;=Projects!$C$14,42&lt;Projects!$C$14+Projects!$D$14),Projects!$B$14*(1-SUMPRODUCT((Curves!$B$2:$AO$2)*(COLUMN(Curves!$B$2:$AO$2)-COLUMN(Curves!$B$2)+1&lt;=42-Projects!$C$14+1))),0)</f>
        <v>18776160.857696</v>
      </c>
      <c r="AS15" s="257" t="n">
        <f aca="false">IF(AND(Projects!$G$14="Yes",Projects!$F$14="Yes",43&gt;=Projects!$C$14,43&lt;Projects!$C$14+Projects!$D$14),Projects!$B$14*(1-SUMPRODUCT((Curves!$B$2:$AO$2)*(COLUMN(Curves!$B$2:$AO$2)-COLUMN(Curves!$B$2)+1&lt;=43-Projects!$C$14+1))),0)</f>
        <v>16893987.49148</v>
      </c>
      <c r="AT15" s="257" t="n">
        <f aca="false">IF(AND(Projects!$G$14="Yes",Projects!$F$14="Yes",44&gt;=Projects!$C$14,44&lt;Projects!$C$14+Projects!$D$14),Projects!$B$14*(1-SUMPRODUCT((Curves!$B$2:$AO$2)*(COLUMN(Curves!$B$2:$AO$2)-COLUMN(Curves!$B$2)+1&lt;=44-Projects!$C$14+1))),0)</f>
        <v>15049033.294064</v>
      </c>
      <c r="AU15" s="257" t="n">
        <f aca="false">IF(AND(Projects!$G$14="Yes",Projects!$F$14="Yes",45&gt;=Projects!$C$14,45&lt;Projects!$C$14+Projects!$D$14),Projects!$B$14*(1-SUMPRODUCT((Curves!$B$2:$AO$2)*(COLUMN(Curves!$B$2:$AO$2)-COLUMN(Curves!$B$2)+1&lt;=45-Projects!$C$14+1))),0)</f>
        <v>13258584.501624</v>
      </c>
      <c r="AV15" s="257" t="n">
        <f aca="false">IF(AND(Projects!$G$14="Yes",Projects!$F$14="Yes",46&gt;=Projects!$C$14,46&lt;Projects!$C$14+Projects!$D$14),Projects!$B$14*(1-SUMPRODUCT((Curves!$B$2:$AO$2)*(COLUMN(Curves!$B$2:$AO$2)-COLUMN(Curves!$B$2)+1&lt;=46-Projects!$C$14+1))),0)</f>
        <v>11538273.165056</v>
      </c>
      <c r="AW15" s="257" t="n">
        <f aca="false">IF(AND(Projects!$G$14="Yes",Projects!$F$14="Yes",47&gt;=Projects!$C$14,47&lt;Projects!$C$14+Projects!$D$14),Projects!$B$14*(1-SUMPRODUCT((Curves!$B$2:$AO$2)*(COLUMN(Curves!$B$2:$AO$2)-COLUMN(Curves!$B$2)+1&lt;=47-Projects!$C$14+1))),0)</f>
        <v>9901787.667552</v>
      </c>
      <c r="AX15" s="257" t="n">
        <f aca="false">IF(AND(Projects!$G$14="Yes",Projects!$F$14="Yes",48&gt;=Projects!$C$14,48&lt;Projects!$C$14+Projects!$D$14),Projects!$B$14*(1-SUMPRODUCT((Curves!$B$2:$AO$2)*(COLUMN(Curves!$B$2:$AO$2)-COLUMN(Curves!$B$2)+1&lt;=48-Projects!$C$14+1))),0)</f>
        <v>8360541.887544</v>
      </c>
      <c r="AY15" s="257" t="n">
        <f aca="false">IF(AND(Projects!$G$14="Yes",Projects!$F$14="Yes",49&gt;=Projects!$C$14,49&lt;Projects!$C$14+Projects!$D$14),Projects!$B$14*(1-SUMPRODUCT((Curves!$B$2:$AO$2)*(COLUMN(Curves!$B$2:$AO$2)-COLUMN(Curves!$B$2)+1&lt;=49-Projects!$C$14+1))),0)</f>
        <v>6923385.71628</v>
      </c>
      <c r="AZ15" s="257" t="n">
        <f aca="false">IF(AND(Projects!$G$14="Yes",Projects!$F$14="Yes",50&gt;=Projects!$C$14,50&lt;Projects!$C$14+Projects!$D$14),Projects!$B$14*(1-SUMPRODUCT((Curves!$B$2:$AO$2)*(COLUMN(Curves!$B$2:$AO$2)-COLUMN(Curves!$B$2)+1&lt;=50-Projects!$C$14+1))),0)</f>
        <v>5596646.412456</v>
      </c>
      <c r="BA15" s="257" t="n">
        <f aca="false">IF(AND(Projects!$G$14="Yes",Projects!$F$14="Yes",51&gt;=Projects!$C$14,51&lt;Projects!$C$14+Projects!$D$14),Projects!$B$14*(1-SUMPRODUCT((Curves!$B$2:$AO$2)*(COLUMN(Curves!$B$2:$AO$2)-COLUMN(Curves!$B$2)+1&lt;=51-Projects!$C$14+1))),0)</f>
        <v>4384004.53832</v>
      </c>
      <c r="BB15" s="257" t="n">
        <f aca="false">IF(AND(Projects!$G$14="Yes",Projects!$F$14="Yes",52&gt;=Projects!$C$14,52&lt;Projects!$C$14+Projects!$D$14),Projects!$B$14*(1-SUMPRODUCT((Curves!$B$2:$AO$2)*(COLUMN(Curves!$B$2:$AO$2)-COLUMN(Curves!$B$2)+1&lt;=52-Projects!$C$14+1))),0)</f>
        <v>3286659.3782</v>
      </c>
      <c r="BC15" s="257" t="n">
        <f aca="false">IF(AND(Projects!$G$14="Yes",Projects!$F$14="Yes",53&gt;=Projects!$C$14,53&lt;Projects!$C$14+Projects!$D$14),Projects!$B$14*(1-SUMPRODUCT((Curves!$B$2:$AO$2)*(COLUMN(Curves!$B$2:$AO$2)-COLUMN(Curves!$B$2)+1&lt;=53-Projects!$C$14+1))),0)</f>
        <v>2303535.711664</v>
      </c>
      <c r="BD15" s="257" t="n">
        <f aca="false">IF(AND(Projects!$G$14="Yes",Projects!$F$14="Yes",54&gt;=Projects!$C$14,54&lt;Projects!$C$14+Projects!$D$14),Projects!$B$14*(1-SUMPRODUCT((Curves!$B$2:$AO$2)*(COLUMN(Curves!$B$2:$AO$2)-COLUMN(Curves!$B$2)+1&lt;=54-Projects!$C$14+1))),0)</f>
        <v>1431490.58668</v>
      </c>
      <c r="BE15" s="257" t="n">
        <f aca="false">IF(AND(Projects!$G$14="Yes",Projects!$F$14="Yes",55&gt;=Projects!$C$14,55&lt;Projects!$C$14+Projects!$D$14),Projects!$B$14*(1-SUMPRODUCT((Curves!$B$2:$AO$2)*(COLUMN(Curves!$B$2:$AO$2)-COLUMN(Curves!$B$2)+1&lt;=55-Projects!$C$14+1))),0)</f>
        <v>665685.511304001</v>
      </c>
      <c r="BF15" s="257" t="n">
        <f aca="false">IF(AND(Projects!$G$14="Yes",Projects!$F$14="Yes",56&gt;=Projects!$C$14,56&lt;Projects!$C$14+Projects!$D$14),Projects!$B$14*(1-SUMPRODUCT((Curves!$B$2:$AO$2)*(COLUMN(Curves!$B$2:$AO$2)-COLUMN(Curves!$B$2)+1&lt;=56-Projects!$C$14+1))),0)</f>
        <v>-165.418527995574</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181</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80838923.206538</v>
      </c>
      <c r="AD16" s="273" t="n">
        <f aca="false">SUM(AD8:AD15)</f>
        <v>76589073.628152</v>
      </c>
      <c r="AE16" s="273" t="n">
        <f aca="false">SUM(AE8:AE15)</f>
        <v>71163489.146268</v>
      </c>
      <c r="AF16" s="273" t="n">
        <f aca="false">SUM(AF8:AF15)</f>
        <v>65804687.822832</v>
      </c>
      <c r="AG16" s="273" t="n">
        <f aca="false">SUM(AG8:AG15)</f>
        <v>60403622.019702</v>
      </c>
      <c r="AH16" s="273" t="n">
        <f aca="false">SUM(AH8:AH15)</f>
        <v>55947479.505556</v>
      </c>
      <c r="AI16" s="273" t="n">
        <f aca="false">SUM(AI8:AI15)</f>
        <v>51644812.734582</v>
      </c>
      <c r="AJ16" s="273" t="n">
        <f aca="false">SUM(AJ8:AJ15)</f>
        <v>47189530.498088</v>
      </c>
      <c r="AK16" s="273" t="n">
        <f aca="false">SUM(AK8:AK15)</f>
        <v>42623131.65564</v>
      </c>
      <c r="AL16" s="273" t="n">
        <f aca="false">SUM(AL8:AL15)</f>
        <v>38967640.507006</v>
      </c>
      <c r="AM16" s="273" t="n">
        <f aca="false">SUM(AM8:AM15)</f>
        <v>35674218.379398</v>
      </c>
      <c r="AN16" s="273" t="n">
        <f aca="false">SUM(AN8:AN15)</f>
        <v>32431521.071818</v>
      </c>
      <c r="AO16" s="273" t="n">
        <f aca="false">SUM(AO8:AO15)</f>
        <v>29259209.377692</v>
      </c>
      <c r="AP16" s="273" t="n">
        <f aca="false">SUM(AP8:AP15)</f>
        <v>26175882.269526</v>
      </c>
      <c r="AQ16" s="273" t="n">
        <f aca="false">SUM(AQ8:AQ15)</f>
        <v>23198682.913276</v>
      </c>
      <c r="AR16" s="273" t="n">
        <f aca="false">SUM(AR8:AR15)</f>
        <v>20343070.101246</v>
      </c>
      <c r="AS16" s="273" t="n">
        <f aca="false">SUM(AS8:AS15)</f>
        <v>17622646.68817</v>
      </c>
      <c r="AT16" s="273" t="n">
        <f aca="false">SUM(AT8:AT15)</f>
        <v>15048852.226984</v>
      </c>
      <c r="AU16" s="273" t="n">
        <f aca="false">SUM(AU8:AU15)</f>
        <v>13258584.501624</v>
      </c>
      <c r="AV16" s="273" t="n">
        <f aca="false">SUM(AV8:AV15)</f>
        <v>11538273.165056</v>
      </c>
      <c r="AW16" s="273" t="n">
        <f aca="false">SUM(AW8:AW15)</f>
        <v>9901787.667552</v>
      </c>
      <c r="AX16" s="273" t="n">
        <f aca="false">SUM(AX8:AX15)</f>
        <v>8360541.887544</v>
      </c>
      <c r="AY16" s="273" t="n">
        <f aca="false">SUM(AY8:AY15)</f>
        <v>6923385.71628</v>
      </c>
      <c r="AZ16" s="273" t="n">
        <f aca="false">SUM(AZ8:AZ15)</f>
        <v>5596646.412456</v>
      </c>
      <c r="BA16" s="273" t="n">
        <f aca="false">SUM(BA8:BA15)</f>
        <v>4384004.53832</v>
      </c>
      <c r="BB16" s="273" t="n">
        <f aca="false">SUM(BB8:BB15)</f>
        <v>3286659.3782</v>
      </c>
      <c r="BC16" s="273" t="n">
        <f aca="false">SUM(BC8:BC15)</f>
        <v>2303535.711664</v>
      </c>
      <c r="BD16" s="273" t="n">
        <f aca="false">SUM(BD8:BD15)</f>
        <v>1431490.58668</v>
      </c>
      <c r="BE16" s="273" t="n">
        <f aca="false">SUM(BE8:BE15)</f>
        <v>665685.511304001</v>
      </c>
      <c r="BF16" s="273" t="n">
        <f aca="false">SUM(BF8:BF15)</f>
        <v>-165.418527995574</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1032</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1033</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1034</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1035</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1036</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1037</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1038</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1039</v>
      </c>
      <c r="B25" s="1" t="s">
        <v>1040</v>
      </c>
      <c r="C25" s="276"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1041</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1042</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1043</v>
      </c>
      <c r="B30" s="260"/>
      <c r="C30" s="260"/>
      <c r="D30" s="260"/>
      <c r="E30" s="260"/>
      <c r="F30" s="260"/>
      <c r="G30" s="260"/>
      <c r="H30" s="260"/>
      <c r="I30" s="260"/>
    </row>
    <row r="31" customFormat="false" ht="15" hidden="false" customHeight="true" outlineLevel="0" collapsed="false">
      <c r="A31" s="277" t="s">
        <v>1044</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73155</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1045</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3</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1046</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37</v>
      </c>
    </row>
    <row r="44" customFormat="false" ht="15" hidden="false" customHeight="true" outlineLevel="0" collapsed="false">
      <c r="A44" s="278" t="s">
        <v>18</v>
      </c>
      <c r="B44" s="90" t="n">
        <f aca="false">40-B39</f>
        <v>29</v>
      </c>
    </row>
    <row r="46" customFormat="false" ht="15" hidden="false" customHeight="true" outlineLevel="0" collapsed="false">
      <c r="A46" s="277" t="s">
        <v>1047</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2706735</v>
      </c>
    </row>
    <row r="49" customFormat="false" ht="15" hidden="false" customHeight="true" outlineLevel="0" collapsed="false">
      <c r="A49" s="278" t="s">
        <v>18</v>
      </c>
      <c r="B49" s="279" t="n">
        <f aca="false">B34*B44</f>
        <v>2359498</v>
      </c>
    </row>
    <row r="51" customFormat="false" ht="15" hidden="false" customHeight="true" outlineLevel="0" collapsed="false">
      <c r="A51" s="260" t="s">
        <v>1048</v>
      </c>
      <c r="B51" s="260"/>
      <c r="C51" s="260"/>
      <c r="D51" s="260"/>
      <c r="E51" s="260"/>
      <c r="F51" s="260"/>
      <c r="G51" s="260"/>
    </row>
    <row r="52" customFormat="false" ht="15" hidden="false" customHeight="true" outlineLevel="0" collapsed="false">
      <c r="A52" s="277" t="s">
        <v>1049</v>
      </c>
      <c r="B52" s="277" t="s">
        <v>1050</v>
      </c>
      <c r="C52" s="277" t="s">
        <v>1051</v>
      </c>
      <c r="D52" s="277" t="s">
        <v>1052</v>
      </c>
      <c r="E52" s="277" t="s">
        <v>1053</v>
      </c>
      <c r="F52" s="277" t="s">
        <v>1054</v>
      </c>
      <c r="G52" s="277" t="s">
        <v>1055</v>
      </c>
    </row>
    <row r="53" customFormat="false" ht="15" hidden="false" customHeight="true" outlineLevel="0" collapsed="false">
      <c r="A53" s="90" t="n">
        <v>1</v>
      </c>
      <c r="B53" s="279" t="n">
        <f aca="false">IFERROR($B$33,0)</f>
        <v>73155</v>
      </c>
      <c r="C53" s="279" t="n">
        <f aca="false">CH27</f>
        <v>270925.32</v>
      </c>
      <c r="D53" s="279" t="n">
        <f aca="false">IFERROR(MIN(C53,B53),0)</f>
        <v>73155</v>
      </c>
      <c r="E53" s="279" t="n">
        <f aca="false">Model!CJ340</f>
        <v>570021.547005172</v>
      </c>
      <c r="F53" s="279" t="n">
        <f aca="false">E53*Assumptions!$B$59</f>
        <v>21375.8080126939</v>
      </c>
      <c r="G53" s="279" t="n">
        <f aca="false">IFERROR(MIN(E53+F53,MAX(0,B53-D53)),0)</f>
        <v>0</v>
      </c>
    </row>
    <row r="54" customFormat="false" ht="15" hidden="false" customHeight="true" outlineLevel="0" collapsed="false">
      <c r="A54" s="90" t="n">
        <v>2</v>
      </c>
      <c r="B54" s="279" t="n">
        <f aca="false">IFERROR($B$33,0)</f>
        <v>73155</v>
      </c>
      <c r="C54" s="279" t="n">
        <f aca="false">IFERROR(MAX(0,C53-D53),0)</f>
        <v>197770.32</v>
      </c>
      <c r="D54" s="279" t="n">
        <f aca="false">IFERROR(MIN(C54,B54),0)</f>
        <v>73155</v>
      </c>
      <c r="E54" s="279" t="n">
        <f aca="false">IFERROR(MAX(0,E53+F53-G53),0)</f>
        <v>591397.355017866</v>
      </c>
      <c r="F54" s="279" t="n">
        <f aca="false">IFERROR(E54*Assumptions!$B$59,0)</f>
        <v>22177.40081317</v>
      </c>
      <c r="G54" s="279" t="n">
        <f aca="false">IFERROR(MIN(E54+F54,MAX(0,B54-D54)),0)</f>
        <v>0</v>
      </c>
    </row>
    <row r="55" customFormat="false" ht="15" hidden="false" customHeight="true" outlineLevel="0" collapsed="false">
      <c r="A55" s="90" t="n">
        <v>3</v>
      </c>
      <c r="B55" s="279" t="n">
        <f aca="false">IFERROR($B$33,0)</f>
        <v>73155</v>
      </c>
      <c r="C55" s="279" t="n">
        <f aca="false">IFERROR(MAX(0,C54-D54),0)</f>
        <v>124615.32</v>
      </c>
      <c r="D55" s="279" t="n">
        <f aca="false">IFERROR(MIN(C55,B55),0)</f>
        <v>73155</v>
      </c>
      <c r="E55" s="279" t="n">
        <f aca="false">IFERROR(MAX(0,E54+F54-G54),0)</f>
        <v>613574.755831036</v>
      </c>
      <c r="F55" s="279" t="n">
        <f aca="false">IFERROR(E55*Assumptions!$B$59,0)</f>
        <v>23009.0533436638</v>
      </c>
      <c r="G55" s="279" t="n">
        <f aca="false">IFERROR(MIN(E55+F55,MAX(0,B55-D55)),0)</f>
        <v>0</v>
      </c>
    </row>
    <row r="56" customFormat="false" ht="15" hidden="false" customHeight="true" outlineLevel="0" collapsed="false">
      <c r="A56" s="90" t="n">
        <v>4</v>
      </c>
      <c r="B56" s="279" t="n">
        <f aca="false">IFERROR($B$33,0)</f>
        <v>73155</v>
      </c>
      <c r="C56" s="279" t="n">
        <f aca="false">IFERROR(MAX(0,C55-D55),0)</f>
        <v>51460.3200000001</v>
      </c>
      <c r="D56" s="279" t="n">
        <f aca="false">IFERROR(MIN(C56,B56),0)</f>
        <v>51460.3200000001</v>
      </c>
      <c r="E56" s="279" t="n">
        <f aca="false">IFERROR(MAX(0,E55+F55-G55),0)</f>
        <v>636583.8091747</v>
      </c>
      <c r="F56" s="279" t="n">
        <f aca="false">IFERROR(E56*Assumptions!$B$59,0)</f>
        <v>23871.8928440512</v>
      </c>
      <c r="G56" s="279" t="n">
        <f aca="false">IFERROR(MIN(E56+F56,MAX(0,B56-D56)),0)</f>
        <v>21694.6799999999</v>
      </c>
    </row>
    <row r="57" customFormat="false" ht="15" hidden="false" customHeight="true" outlineLevel="0" collapsed="false">
      <c r="A57" s="90" t="n">
        <v>5</v>
      </c>
      <c r="B57" s="279" t="n">
        <f aca="false">IFERROR($B$33,0)</f>
        <v>73155</v>
      </c>
      <c r="C57" s="279" t="n">
        <f aca="false">IFERROR(MAX(0,C56-D56),0)</f>
        <v>0</v>
      </c>
      <c r="D57" s="279" t="n">
        <f aca="false">IFERROR(MIN(C57,B57),0)</f>
        <v>0</v>
      </c>
      <c r="E57" s="279" t="n">
        <f aca="false">IFERROR(MAX(0,E56+F56-G56),0)</f>
        <v>638761.022018751</v>
      </c>
      <c r="F57" s="279" t="n">
        <f aca="false">IFERROR(E57*Assumptions!$B$59,0)</f>
        <v>23953.5383257032</v>
      </c>
      <c r="G57" s="279" t="n">
        <f aca="false">IFERROR(MIN(E57+F57,MAX(0,B57-D57)),0)</f>
        <v>73155</v>
      </c>
    </row>
    <row r="58" customFormat="false" ht="15" hidden="false" customHeight="true" outlineLevel="0" collapsed="false">
      <c r="A58" s="90" t="n">
        <v>6</v>
      </c>
      <c r="B58" s="279" t="n">
        <f aca="false">IFERROR($B$33,0)</f>
        <v>73155</v>
      </c>
      <c r="C58" s="279" t="n">
        <f aca="false">IFERROR(MAX(0,C57-D57),0)</f>
        <v>0</v>
      </c>
      <c r="D58" s="279" t="n">
        <f aca="false">IFERROR(MIN(C58,B58),0)</f>
        <v>0</v>
      </c>
      <c r="E58" s="279" t="n">
        <f aca="false">IFERROR(MAX(0,E57+F57-G57),0)</f>
        <v>589559.560344454</v>
      </c>
      <c r="F58" s="279" t="n">
        <f aca="false">IFERROR(E58*Assumptions!$B$59,0)</f>
        <v>22108.483512917</v>
      </c>
      <c r="G58" s="279" t="n">
        <f aca="false">IFERROR(MIN(E58+F58,MAX(0,B58-D58)),0)</f>
        <v>73155</v>
      </c>
    </row>
    <row r="59" customFormat="false" ht="15" hidden="false" customHeight="true" outlineLevel="0" collapsed="false">
      <c r="A59" s="90" t="n">
        <v>7</v>
      </c>
      <c r="B59" s="279" t="n">
        <f aca="false">IFERROR($B$33,0)</f>
        <v>73155</v>
      </c>
      <c r="C59" s="279" t="n">
        <f aca="false">IFERROR(MAX(0,C58-D58),0)</f>
        <v>0</v>
      </c>
      <c r="D59" s="279" t="n">
        <f aca="false">IFERROR(MIN(C59,B59),0)</f>
        <v>0</v>
      </c>
      <c r="E59" s="279" t="n">
        <f aca="false">IFERROR(MAX(0,E58+F58-G58),0)</f>
        <v>538513.043857371</v>
      </c>
      <c r="F59" s="279" t="n">
        <f aca="false">IFERROR(E59*Assumptions!$B$59,0)</f>
        <v>20194.2391446514</v>
      </c>
      <c r="G59" s="279" t="n">
        <f aca="false">IFERROR(MIN(E59+F59,MAX(0,B59-D59)),0)</f>
        <v>73155</v>
      </c>
    </row>
    <row r="60" customFormat="false" ht="15" hidden="false" customHeight="true" outlineLevel="0" collapsed="false">
      <c r="A60" s="90" t="n">
        <v>8</v>
      </c>
      <c r="B60" s="279" t="n">
        <f aca="false">IFERROR($B$33,0)</f>
        <v>73155</v>
      </c>
      <c r="C60" s="279" t="n">
        <f aca="false">IFERROR(MAX(0,C59-D59),0)</f>
        <v>0</v>
      </c>
      <c r="D60" s="279" t="n">
        <f aca="false">IFERROR(MIN(C60,B60),0)</f>
        <v>0</v>
      </c>
      <c r="E60" s="279" t="n">
        <f aca="false">IFERROR(MAX(0,E59+F59-G59),0)</f>
        <v>485552.283002023</v>
      </c>
      <c r="F60" s="279" t="n">
        <f aca="false">IFERROR(E60*Assumptions!$B$59,0)</f>
        <v>18208.2106125758</v>
      </c>
      <c r="G60" s="279" t="n">
        <f aca="false">IFERROR(MIN(E60+F60,MAX(0,B60-D60)),0)</f>
        <v>73155</v>
      </c>
    </row>
    <row r="61" customFormat="false" ht="15" hidden="false" customHeight="true" outlineLevel="0" collapsed="false">
      <c r="A61" s="90" t="n">
        <v>9</v>
      </c>
      <c r="B61" s="279" t="n">
        <f aca="false">IFERROR($B$33,0)</f>
        <v>73155</v>
      </c>
      <c r="C61" s="279" t="n">
        <f aca="false">IFERROR(MAX(0,C60-D60),0)</f>
        <v>0</v>
      </c>
      <c r="D61" s="279" t="n">
        <f aca="false">IFERROR(MIN(C61,B61),0)</f>
        <v>0</v>
      </c>
      <c r="E61" s="279" t="n">
        <f aca="false">IFERROR(MAX(0,E60+F60-G60),0)</f>
        <v>430605.493614598</v>
      </c>
      <c r="F61" s="279" t="n">
        <f aca="false">IFERROR(E61*Assumptions!$B$59,0)</f>
        <v>16147.7060105474</v>
      </c>
      <c r="G61" s="279" t="n">
        <f aca="false">IFERROR(MIN(E61+F61,MAX(0,B61-D61)),0)</f>
        <v>73155</v>
      </c>
    </row>
    <row r="62" customFormat="false" ht="15" hidden="false" customHeight="true" outlineLevel="0" collapsed="false">
      <c r="A62" s="90" t="n">
        <v>10</v>
      </c>
      <c r="B62" s="279" t="n">
        <f aca="false">IFERROR($B$33,0)</f>
        <v>73155</v>
      </c>
      <c r="C62" s="279" t="n">
        <f aca="false">IFERROR(MAX(0,C61-D61),0)</f>
        <v>0</v>
      </c>
      <c r="D62" s="279" t="n">
        <f aca="false">IFERROR(MIN(C62,B62),0)</f>
        <v>0</v>
      </c>
      <c r="E62" s="279" t="n">
        <f aca="false">IFERROR(MAX(0,E61+F61-G61),0)</f>
        <v>373598.199625146</v>
      </c>
      <c r="F62" s="279" t="n">
        <f aca="false">IFERROR(E62*Assumptions!$B$59,0)</f>
        <v>14009.932485943</v>
      </c>
      <c r="G62" s="279" t="n">
        <f aca="false">IFERROR(MIN(E62+F62,MAX(0,B62-D62)),0)</f>
        <v>73155</v>
      </c>
    </row>
    <row r="63" customFormat="false" ht="15" hidden="false" customHeight="true" outlineLevel="0" collapsed="false">
      <c r="A63" s="90" t="n">
        <v>11</v>
      </c>
      <c r="B63" s="279" t="n">
        <f aca="false">IFERROR($B$33,0)</f>
        <v>73155</v>
      </c>
      <c r="C63" s="279" t="n">
        <f aca="false">IFERROR(MAX(0,C62-D62),0)</f>
        <v>0</v>
      </c>
      <c r="D63" s="279" t="n">
        <f aca="false">IFERROR(MIN(C63,B63),0)</f>
        <v>0</v>
      </c>
      <c r="E63" s="279" t="n">
        <f aca="false">IFERROR(MAX(0,E62+F62-G62),0)</f>
        <v>314453.132111089</v>
      </c>
      <c r="F63" s="279" t="n">
        <f aca="false">IFERROR(E63*Assumptions!$B$59,0)</f>
        <v>11791.9924541658</v>
      </c>
      <c r="G63" s="279" t="n">
        <f aca="false">IFERROR(MIN(E63+F63,MAX(0,B63-D63)),0)</f>
        <v>73155</v>
      </c>
    </row>
    <row r="64" customFormat="false" ht="15" hidden="false" customHeight="true" outlineLevel="0" collapsed="false">
      <c r="A64" s="90" t="n">
        <v>12</v>
      </c>
      <c r="B64" s="279" t="n">
        <f aca="false">IFERROR($B$33,0)</f>
        <v>73155</v>
      </c>
      <c r="C64" s="279" t="n">
        <f aca="false">IFERROR(MAX(0,C63-D63),0)</f>
        <v>0</v>
      </c>
      <c r="D64" s="279" t="n">
        <f aca="false">IFERROR(MIN(C64,B64),0)</f>
        <v>0</v>
      </c>
      <c r="E64" s="279" t="n">
        <f aca="false">IFERROR(MAX(0,E63+F63-G63),0)</f>
        <v>253090.124565255</v>
      </c>
      <c r="F64" s="279" t="n">
        <f aca="false">IFERROR(E64*Assumptions!$B$59,0)</f>
        <v>9490.87967119705</v>
      </c>
      <c r="G64" s="279" t="n">
        <f aca="false">IFERROR(MIN(E64+F64,MAX(0,B64-D64)),0)</f>
        <v>73155</v>
      </c>
    </row>
    <row r="65" customFormat="false" ht="15" hidden="false" customHeight="true" outlineLevel="0" collapsed="false">
      <c r="A65" s="90" t="n">
        <v>13</v>
      </c>
      <c r="B65" s="279" t="n">
        <f aca="false">IFERROR($B$33,0)</f>
        <v>73155</v>
      </c>
      <c r="C65" s="279" t="n">
        <f aca="false">IFERROR(MAX(0,C64-D64),0)</f>
        <v>0</v>
      </c>
      <c r="D65" s="279" t="n">
        <f aca="false">IFERROR(MIN(C65,B65),0)</f>
        <v>0</v>
      </c>
      <c r="E65" s="279" t="n">
        <f aca="false">IFERROR(MAX(0,E64+F64-G64),0)</f>
        <v>189426.004236452</v>
      </c>
      <c r="F65" s="279" t="n">
        <f aca="false">IFERROR(E65*Assumptions!$B$59,0)</f>
        <v>7103.47515886694</v>
      </c>
      <c r="G65" s="279" t="n">
        <f aca="false">IFERROR(MIN(E65+F65,MAX(0,B65-D65)),0)</f>
        <v>73155</v>
      </c>
    </row>
    <row r="66" customFormat="false" ht="15" hidden="false" customHeight="true" outlineLevel="0" collapsed="false">
      <c r="A66" s="90" t="n">
        <v>14</v>
      </c>
      <c r="B66" s="279" t="n">
        <f aca="false">IFERROR($B$33,0)</f>
        <v>73155</v>
      </c>
      <c r="C66" s="279" t="n">
        <f aca="false">IFERROR(MAX(0,C65-D65),0)</f>
        <v>0</v>
      </c>
      <c r="D66" s="279" t="n">
        <f aca="false">IFERROR(MIN(C66,B66),0)</f>
        <v>0</v>
      </c>
      <c r="E66" s="279" t="n">
        <f aca="false">IFERROR(MAX(0,E65+F65-G65),0)</f>
        <v>123374.479395319</v>
      </c>
      <c r="F66" s="279" t="n">
        <f aca="false">IFERROR(E66*Assumptions!$B$59,0)</f>
        <v>4626.54297732445</v>
      </c>
      <c r="G66" s="279" t="n">
        <f aca="false">IFERROR(MIN(E66+F66,MAX(0,B66-D66)),0)</f>
        <v>73155</v>
      </c>
    </row>
    <row r="67" customFormat="false" ht="15" hidden="false" customHeight="true" outlineLevel="0" collapsed="false">
      <c r="A67" s="90" t="n">
        <v>15</v>
      </c>
      <c r="B67" s="279" t="n">
        <f aca="false">IFERROR($B$33,0)</f>
        <v>73155</v>
      </c>
      <c r="C67" s="279" t="n">
        <f aca="false">IFERROR(MAX(0,C66-D66),0)</f>
        <v>0</v>
      </c>
      <c r="D67" s="279" t="n">
        <f aca="false">IFERROR(MIN(C67,B67),0)</f>
        <v>0</v>
      </c>
      <c r="E67" s="279" t="n">
        <f aca="false">IFERROR(MAX(0,E66+F66-G66),0)</f>
        <v>54846.0223726431</v>
      </c>
      <c r="F67" s="279" t="n">
        <f aca="false">IFERROR(E67*Assumptions!$B$59,0)</f>
        <v>2056.72583897412</v>
      </c>
      <c r="G67" s="279" t="n">
        <f aca="false">IFERROR(MIN(E67+F67,MAX(0,B67-D67)),0)</f>
        <v>56902.7482116172</v>
      </c>
    </row>
    <row r="68" customFormat="false" ht="15" hidden="false" customHeight="true" outlineLevel="0" collapsed="false">
      <c r="A68" s="90" t="n">
        <v>16</v>
      </c>
      <c r="B68" s="279" t="n">
        <f aca="false">IFERROR($B$33,0)</f>
        <v>73155</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73155</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73155</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73155</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73155</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73155</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73155</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73155</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73155</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73155</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73155</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73155</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73155</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73155</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73155</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73155</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73155</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73155</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73155</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73155</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73155</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73155</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73155</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73155</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73155</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1056</v>
      </c>
      <c r="D93" s="280" t="n">
        <f aca="false">IFERROR(SUM(D53:D92),0)</f>
        <v>270925.32</v>
      </c>
      <c r="F93" s="280" t="n">
        <f aca="false">IFERROR(SUM(F53:F92),0)</f>
        <v>240125.881206445</v>
      </c>
      <c r="G93" s="280" t="n">
        <f aca="false">IFERROR(SUM(G53:G92),0)</f>
        <v>810147.428211617</v>
      </c>
    </row>
    <row r="94" customFormat="false" ht="15" hidden="false" customHeight="true" outlineLevel="0" collapsed="false">
      <c r="A94" s="1" t="s">
        <v>1057</v>
      </c>
    </row>
    <row r="95" customFormat="false" ht="15" hidden="false" customHeight="true" outlineLevel="0" collapsed="false">
      <c r="A95" s="1" t="s">
        <v>1058</v>
      </c>
    </row>
    <row r="96" customFormat="false" ht="15" hidden="false" customHeight="true" outlineLevel="0" collapsed="false">
      <c r="A96" s="72" t="s">
        <v>1059</v>
      </c>
      <c r="B96" s="281" t="n">
        <f aca="false">SUM(Actuals!C112:N112)</f>
        <v>-1672913.98</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1060</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1061</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v>
      </c>
      <c r="Z98" s="283" t="n">
        <f aca="false">IFERROR((Z97-Z96)/(Model!Y199-(Model!Y196)),0)</f>
        <v>0</v>
      </c>
      <c r="AA98" s="283" t="n">
        <f aca="false">IFERROR((AA97-AA96)/(Model!Z199-(Model!Z196)),0)</f>
        <v>0</v>
      </c>
      <c r="AB98" s="283" t="n">
        <f aca="false">IFERROR((AB97-AB96)/(Model!AA199-(Model!AA196)),0)</f>
        <v>0</v>
      </c>
      <c r="AC98" s="283" t="n">
        <f aca="false">IFERROR((AC97-AC96)/(Model!AB199-(Model!AB196)),0)</f>
        <v>0</v>
      </c>
      <c r="AD98" s="283" t="n">
        <f aca="false">IFERROR((AD97-AD96)/(Model!AC199-(Model!AC196)),0)</f>
        <v>0</v>
      </c>
      <c r="AE98" s="283" t="n">
        <f aca="false">IFERROR((AE97-AE96)/(Model!AD199-(Model!AD196)),0)</f>
        <v>0</v>
      </c>
      <c r="AF98" s="283" t="n">
        <f aca="false">IFERROR((AF97-AF96)/(Model!AE199-(Model!AE196)),0)</f>
        <v>0</v>
      </c>
      <c r="AG98" s="283" t="n">
        <f aca="false">IFERROR((AG97-AG96)/(Model!AF199-(Model!AF196)),0)</f>
        <v>0</v>
      </c>
      <c r="AH98" s="283" t="n">
        <f aca="false">IFERROR((AH97-AH96)/(Model!AG199-(Model!AG196)),0)</f>
        <v>0</v>
      </c>
      <c r="AI98" s="283" t="n">
        <f aca="false">IFERROR((AI97-AI96)/(Model!AH199-(Model!AH196)),0)</f>
        <v>0</v>
      </c>
      <c r="AJ98" s="283" t="n">
        <f aca="false">IFERROR((AJ97-AJ96)/(Model!AI199-(Model!AI196)),0)</f>
        <v>0</v>
      </c>
      <c r="AK98" s="283" t="n">
        <f aca="false">IFERROR((AK97-AK96)/(Model!AJ199-(Model!AJ196)),0)</f>
        <v>0</v>
      </c>
      <c r="AL98" s="283" t="n">
        <f aca="false">IFERROR((AL97-AL96)/(Model!AK199-(Model!AK196)),0)</f>
        <v>0</v>
      </c>
      <c r="AM98" s="283" t="n">
        <f aca="false">IFERROR((AM97-AM96)/(Model!AL199-(Model!AL196)),0)</f>
        <v>0</v>
      </c>
      <c r="AN98" s="283" t="n">
        <f aca="false">IFERROR((AN97-AN96)/(Model!AM199-(Model!AM196)),0)</f>
        <v>0</v>
      </c>
      <c r="AO98" s="283" t="n">
        <f aca="false">IFERROR((AO97-AO96)/(Model!AN199-(Model!AN196)),0)</f>
        <v>0</v>
      </c>
      <c r="AP98" s="283" t="n">
        <f aca="false">IFERROR((AP97-AP96)/(Model!AO199-(Model!AO196)),0)</f>
        <v>0</v>
      </c>
      <c r="AQ98" s="283" t="n">
        <f aca="false">IFERROR((AQ97-AQ96)/(Model!AP199-(Model!AP196)),0)</f>
        <v>0</v>
      </c>
      <c r="AR98" s="283" t="n">
        <f aca="false">IFERROR((AR97-AR96)/(Model!AQ199-(Model!AQ196)),0)</f>
        <v>0</v>
      </c>
      <c r="AS98" s="283" t="n">
        <f aca="false">IFERROR((AS97-AS96)/(Model!AR199-(Model!AR196)),0)</f>
        <v>0</v>
      </c>
      <c r="AT98" s="283" t="n">
        <f aca="false">IFERROR((AT97-AT96)/(Model!AS199-(Model!AS196)),0)</f>
        <v>0</v>
      </c>
      <c r="AU98" s="283" t="n">
        <f aca="false">IFERROR((AU97-AU96)/(Model!AT199-(Model!AT196)),0)</f>
        <v>0</v>
      </c>
      <c r="AV98" s="283" t="n">
        <f aca="false">IFERROR((AV97-AV96)/(Model!AU199-(Model!AU196)),0)</f>
        <v>0</v>
      </c>
      <c r="AW98" s="283" t="n">
        <f aca="false">IFERROR((AW97-AW96)/(Model!AV199-(Model!AV196)),0)</f>
        <v>0</v>
      </c>
      <c r="AX98" s="283" t="n">
        <f aca="false">IFERROR((AX97-AX96)/(Model!AW199-(Model!AW196)),0)</f>
        <v>0</v>
      </c>
      <c r="AY98" s="283" t="n">
        <f aca="false">IFERROR((AY97-AY96)/(Model!AX199-(Model!AX196)),0)</f>
        <v>0</v>
      </c>
      <c r="AZ98" s="283" t="n">
        <f aca="false">IFERROR((AZ97-AZ96)/(Model!AY199-(Model!AY196)),0)</f>
        <v>0</v>
      </c>
      <c r="BA98" s="283" t="n">
        <f aca="false">IFERROR((BA97-BA96)/(Model!AZ199-(Model!AZ196)),0)</f>
        <v>0</v>
      </c>
      <c r="BB98" s="283" t="n">
        <f aca="false">IFERROR((BB97-BB96)/(Model!BA199-(Model!BA196)),0)</f>
        <v>0</v>
      </c>
      <c r="BC98" s="283" t="n">
        <f aca="false">IFERROR((BC97-BC96)/(Model!BB199-(Model!BB196)),0)</f>
        <v>0</v>
      </c>
      <c r="BD98" s="283" t="n">
        <f aca="false">IFERROR((BD97-BD96)/(Model!BC199-(Model!BC196)),0)</f>
        <v>0</v>
      </c>
      <c r="BE98" s="283" t="n">
        <f aca="false">IFERROR((BE97-BE96)/(Model!BD199-(Model!BD196)),0)</f>
        <v>0</v>
      </c>
      <c r="BF98" s="283" t="n">
        <f aca="false">IFERROR((BF97-BF96)/(Model!BE199-(Model!BE196)),0)</f>
        <v>0</v>
      </c>
      <c r="BG98" s="283" t="n">
        <f aca="false">IFERROR((BG97-BG96)/(Model!BF199-(Model!BF196)),0)</f>
        <v>0</v>
      </c>
      <c r="BH98" s="283" t="n">
        <f aca="false">IFERROR((BH97-BH96)/(Model!BG199-(Model!BG196)),0)</f>
        <v>0</v>
      </c>
      <c r="BI98" s="283" t="n">
        <f aca="false">IFERROR((BI97-BI96)/(Model!BH199-(Model!BH196)),0)</f>
        <v>0</v>
      </c>
      <c r="BJ98" s="283" t="n">
        <f aca="false">IFERROR((BJ97-BJ96)/(Model!BI199-(Model!BI196)),0)</f>
        <v>0</v>
      </c>
      <c r="BK98" s="283" t="n">
        <f aca="false">IFERROR((BK97-BK96)/(Model!BJ199-(Model!BJ196)),0)</f>
        <v>0</v>
      </c>
      <c r="BL98" s="283" t="n">
        <f aca="false">IFERROR((BL97-BL96)/(Model!BK199-(Model!BK196)),0)</f>
        <v>0</v>
      </c>
      <c r="BM98" s="283" t="n">
        <f aca="false">IFERROR((BM97-BM96)/(Model!BL199-(Model!BL196)),0)</f>
        <v>0</v>
      </c>
      <c r="BN98" s="283" t="n">
        <f aca="false">IFERROR((BN97-BN96)/(Model!BM199-(Model!BM196)),0)</f>
        <v>0</v>
      </c>
      <c r="BO98" s="283" t="n">
        <f aca="false">IFERROR((BO97-BO96)/(Model!BN199-(Model!BN196)),0)</f>
        <v>0</v>
      </c>
      <c r="BP98" s="283" t="n">
        <f aca="false">IFERROR((BP97-BP96)/(Model!BO199-(Model!BO196)),0)</f>
        <v>0</v>
      </c>
      <c r="BQ98" s="283" t="n">
        <f aca="false">IFERROR((BQ97-BQ96)/(Model!BP199-(Model!BP196)),0)</f>
        <v>0</v>
      </c>
      <c r="BR98" s="283" t="n">
        <f aca="false">IFERROR((BR97-BR96)/(Model!BQ199-(Model!BQ196)),0)</f>
        <v>0</v>
      </c>
      <c r="BS98" s="283" t="n">
        <f aca="false">IFERROR((BS97-BS96)/(Model!BR199-(Model!BR196)),0)</f>
        <v>0</v>
      </c>
      <c r="BT98" s="283" t="n">
        <f aca="false">IFERROR((BT97-BT96)/(Model!BS199-(Model!BS196)),0)</f>
        <v>0</v>
      </c>
      <c r="BU98" s="283" t="n">
        <f aca="false">IFERROR((BU97-BU96)/(Model!BT199-(Model!BT196)),0)</f>
        <v>0</v>
      </c>
      <c r="BV98" s="283" t="n">
        <f aca="false">IFERROR((BV97-BV96)/(Model!BU199-(Model!BU196)),0)</f>
        <v>0</v>
      </c>
      <c r="BW98" s="283" t="n">
        <f aca="false">IFERROR((BW97-BW96)/(Model!BV199-(Model!BV196)),0)</f>
        <v>0</v>
      </c>
      <c r="BX98" s="283" t="n">
        <f aca="false">IFERROR((BX97-BX96)/(Model!BW199-(Model!BW196)),0)</f>
        <v>0</v>
      </c>
      <c r="BY98" s="283" t="n">
        <f aca="false">IFERROR((BY97-BY96)/(Model!BX199-(Model!BX196)),0)</f>
        <v>0</v>
      </c>
      <c r="BZ98" s="283" t="n">
        <f aca="false">IFERROR((BZ97-BZ96)/(Model!BY199-(Model!BY196)),0)</f>
        <v>0</v>
      </c>
      <c r="CA98" s="283" t="n">
        <f aca="false">IFERROR((CA97-CA96)/(Model!BZ199-(Model!BZ196)),0)</f>
        <v>0</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1062</v>
      </c>
      <c r="B99" s="281" t="n">
        <f aca="false">SUM(Actuals!C17:N17)</f>
        <v>4643571.59</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306134.398730297</v>
      </c>
      <c r="L99" s="282" t="n">
        <f aca="false">Model!K199+SUM(Model!K203:K233)+Model!K235-(Model!K196)</f>
        <v>384022.760052101</v>
      </c>
      <c r="M99" s="282" t="n">
        <f aca="false">Model!L199+SUM(Model!L203:L233)+Model!L235-(Model!L196)</f>
        <v>222829.998449374</v>
      </c>
      <c r="N99" s="282" t="n">
        <f aca="false">Model!M199+SUM(Model!M203:M233)+Model!M235-(Model!M196)</f>
        <v>173153.581953611</v>
      </c>
      <c r="O99" s="282" t="n">
        <f aca="false">Model!N199+SUM(Model!N203:N233)+Model!N235-(Model!N196)</f>
        <v>473582.130942704</v>
      </c>
      <c r="P99" s="282" t="n">
        <f aca="false">Model!O199+SUM(Model!O203:O233)+Model!O235-(Model!O196)</f>
        <v>299693.857423652</v>
      </c>
      <c r="Q99" s="282" t="n">
        <f aca="false">Model!P199+SUM(Model!P203:P233)+Model!P235-(Model!P196)</f>
        <v>361392.347423654</v>
      </c>
      <c r="R99" s="282" t="n">
        <f aca="false">Model!Q199+SUM(Model!Q203:Q233)+Model!Q235-(Model!Q196)</f>
        <v>390500.822891333</v>
      </c>
      <c r="S99" s="282" t="n">
        <f aca="false">Model!R199+SUM(Model!R203:R233)+Model!R235-(Model!R196)</f>
        <v>354127.907287084</v>
      </c>
      <c r="T99" s="282" t="n">
        <f aca="false">Model!S199+SUM(Model!S203:S233)+Model!S235-(Model!S196)</f>
        <v>496608.776344301</v>
      </c>
      <c r="U99" s="282" t="n">
        <f aca="false">Model!T199+SUM(Model!T203:T233)+Model!T235-(Model!T196)</f>
        <v>592712.056344299</v>
      </c>
      <c r="V99" s="282" t="n">
        <f aca="false">Model!U199+SUM(Model!U203:U233)+Model!U235-(Model!U196)</f>
        <v>486982.7663443</v>
      </c>
      <c r="W99" s="282" t="n">
        <f aca="false">Model!V199+SUM(Model!V203:V233)+Model!V235-(Model!V196)</f>
        <v>651157.118449048</v>
      </c>
      <c r="X99" s="282" t="n">
        <f aca="false">Model!W199+SUM(Model!W203:W233)+Model!W235-(Model!W196)</f>
        <v>621974.77074905</v>
      </c>
      <c r="Y99" s="282" t="n">
        <f aca="false">Model!X199+SUM(Model!X203:X233)+Model!X235-(Model!X196)</f>
        <v>796590.310749051</v>
      </c>
      <c r="Z99" s="282" t="n">
        <f aca="false">Model!Y199+SUM(Model!Y203:Y233)+Model!Y235-(Model!Y196)</f>
        <v>634829.490749051</v>
      </c>
      <c r="AA99" s="282" t="n">
        <f aca="false">Model!Z199+SUM(Model!Z203:Z233)+Model!Z235-(Model!Z196)</f>
        <v>761175.67074905</v>
      </c>
      <c r="AB99" s="282" t="n">
        <f aca="false">Model!AA199+SUM(Model!AA203:AA233)+Model!AA235-(Model!AA196)</f>
        <v>790414.32411019</v>
      </c>
      <c r="AC99" s="282" t="n">
        <f aca="false">Model!AB199+SUM(Model!AB203:AB233)+Model!AB235-(Model!AB196)</f>
        <v>604082.602009688</v>
      </c>
      <c r="AD99" s="282" t="n">
        <f aca="false">Model!AC199+SUM(Model!AC203:AC233)+Model!AC235-(Model!AC196)</f>
        <v>368475.499351701</v>
      </c>
      <c r="AE99" s="282" t="n">
        <f aca="false">Model!AD199+SUM(Model!AD203:AD233)+Model!AD235-(Model!AD196)</f>
        <v>412871.106813241</v>
      </c>
      <c r="AF99" s="282" t="n">
        <f aca="false">Model!AE199+SUM(Model!AE203:AE233)+Model!AE235-(Model!AE196)</f>
        <v>583770.44998948</v>
      </c>
      <c r="AG99" s="282" t="n">
        <f aca="false">Model!AF199+SUM(Model!AF203:AF233)+Model!AF235-(Model!AF196)</f>
        <v>742702.65670813</v>
      </c>
      <c r="AH99" s="282" t="n">
        <f aca="false">Model!AG199+SUM(Model!AG203:AG233)+Model!AG235-(Model!AG196)</f>
        <v>678212.279751779</v>
      </c>
      <c r="AI99" s="282" t="n">
        <f aca="false">Model!AH199+SUM(Model!AH203:AH233)+Model!AH235-(Model!AH196)</f>
        <v>657605.158118938</v>
      </c>
      <c r="AJ99" s="282" t="n">
        <f aca="false">Model!AI199+SUM(Model!AI203:AI233)+Model!AI235-(Model!AI196)</f>
        <v>435085.347216045</v>
      </c>
      <c r="AK99" s="282" t="n">
        <f aca="false">Model!AJ199+SUM(Model!AJ203:AJ233)+Model!AJ235-(Model!AJ196)</f>
        <v>523753.550025699</v>
      </c>
      <c r="AL99" s="282" t="n">
        <f aca="false">Model!AK199+SUM(Model!AK203:AK233)+Model!AK235-(Model!AK196)</f>
        <v>130517.232425313</v>
      </c>
      <c r="AM99" s="282" t="n">
        <f aca="false">Model!AL199+SUM(Model!AL203:AL233)+Model!AL235-(Model!AL196)</f>
        <v>146393.224271467</v>
      </c>
      <c r="AN99" s="282" t="n">
        <f aca="false">Model!AM199+SUM(Model!AM203:AM233)+Model!AM235-(Model!AM196)</f>
        <v>173139.290694545</v>
      </c>
      <c r="AO99" s="282" t="n">
        <f aca="false">Model!AN199+SUM(Model!AN203:AN233)+Model!AN235-(Model!AN196)</f>
        <v>187615.115722371</v>
      </c>
      <c r="AP99" s="282" t="n">
        <f aca="false">Model!AO199+SUM(Model!AO203:AO233)+Model!AO235-(Model!AO196)</f>
        <v>68612.4547470749</v>
      </c>
      <c r="AQ99" s="282" t="n">
        <f aca="false">Model!AP199+SUM(Model!AP203:AP233)+Model!AP235-(Model!AP196)</f>
        <v>-76780.0652375409</v>
      </c>
      <c r="AR99" s="282" t="n">
        <f aca="false">Model!AQ199+SUM(Model!AQ203:AQ233)+Model!AQ235-(Model!AQ196)</f>
        <v>-74092.0696029256</v>
      </c>
      <c r="AS99" s="282" t="n">
        <f aca="false">Model!AR199+SUM(Model!AR203:AR233)+Model!AR235-(Model!AR196)</f>
        <v>-64476.6849875409</v>
      </c>
      <c r="AT99" s="282" t="n">
        <f aca="false">Model!AS199+SUM(Model!AS203:AS233)+Model!AS235-(Model!AS196)</f>
        <v>-64476.6849875409</v>
      </c>
      <c r="AU99" s="282" t="n">
        <f aca="false">Model!AT199+SUM(Model!AT203:AT233)+Model!AT235-(Model!AT196)</f>
        <v>-64476.6849875409</v>
      </c>
      <c r="AV99" s="282" t="n">
        <f aca="false">Model!AU199+SUM(Model!AU203:AU233)+Model!AU235-(Model!AU196)</f>
        <v>-64476.6849875405</v>
      </c>
      <c r="AW99" s="282" t="n">
        <f aca="false">Model!AV199+SUM(Model!AV203:AV233)+Model!AV235-(Model!AV196)</f>
        <v>208008.900365959</v>
      </c>
      <c r="AX99" s="282" t="n">
        <f aca="false">Model!AW199+SUM(Model!AW203:AW233)+Model!AW235-(Model!AW196)</f>
        <v>-237050.889044757</v>
      </c>
      <c r="AY99" s="282" t="n">
        <f aca="false">Model!AX199+SUM(Model!AX203:AX233)+Model!AX235-(Model!AX196)</f>
        <v>-237050.889044757</v>
      </c>
      <c r="AZ99" s="282" t="n">
        <f aca="false">Model!AY199+SUM(Model!AY203:AY233)+Model!AY235-(Model!AY196)</f>
        <v>-237050.889044757</v>
      </c>
      <c r="BA99" s="282" t="n">
        <f aca="false">Model!AZ199+SUM(Model!AZ203:AZ233)+Model!AZ235-(Model!AZ196)</f>
        <v>-237050.889044757</v>
      </c>
      <c r="BB99" s="282" t="n">
        <f aca="false">Model!BA199+SUM(Model!BA203:BA233)+Model!BA235-(Model!BA196)</f>
        <v>-244645.099643023</v>
      </c>
      <c r="BC99" s="282" t="n">
        <f aca="false">Model!BB199+SUM(Model!BB203:BB233)+Model!BB235-(Model!BB196)</f>
        <v>-244645.099643023</v>
      </c>
      <c r="BD99" s="282" t="n">
        <f aca="false">Model!BC199+SUM(Model!BC203:BC233)+Model!BC235-(Model!BC196)</f>
        <v>-244645.099643023</v>
      </c>
      <c r="BE99" s="282" t="n">
        <f aca="false">Model!BD199+SUM(Model!BD203:BD233)+Model!BD235-(Model!BD196)</f>
        <v>-244645.099643023</v>
      </c>
      <c r="BF99" s="282" t="n">
        <f aca="false">Model!BE199+SUM(Model!BE203:BE233)+Model!BE235-(Model!BE196)</f>
        <v>-244645.099643023</v>
      </c>
      <c r="BG99" s="282" t="n">
        <f aca="false">Model!BF199+SUM(Model!BF203:BF233)+Model!BF235-(Model!BF196)</f>
        <v>-244645.099643023</v>
      </c>
      <c r="BH99" s="282" t="n">
        <f aca="false">Model!BG199+SUM(Model!BG203:BG233)+Model!BG235-(Model!BG196)</f>
        <v>-244645.099643023</v>
      </c>
      <c r="BI99" s="282" t="n">
        <f aca="false">Model!BH199+SUM(Model!BH203:BH233)+Model!BH235-(Model!BH196)</f>
        <v>4291.17541257658</v>
      </c>
      <c r="BJ99" s="282" t="n">
        <f aca="false">Model!BI199+SUM(Model!BI203:BI233)+Model!BI235-(Model!BI196)</f>
        <v>-402304.74051157</v>
      </c>
      <c r="BK99" s="282" t="n">
        <f aca="false">Model!BJ199+SUM(Model!BJ203:BJ233)+Model!BJ235-(Model!BJ196)</f>
        <v>-402304.74051157</v>
      </c>
      <c r="BL99" s="282" t="n">
        <f aca="false">Model!BK199+SUM(Model!BK203:BK233)+Model!BK235-(Model!BK196)</f>
        <v>-402304.74051157</v>
      </c>
      <c r="BM99" s="282" t="n">
        <f aca="false">Model!BL199+SUM(Model!BL203:BL233)+Model!BL235-(Model!BL196)</f>
        <v>-402304.74051157</v>
      </c>
      <c r="BN99" s="282" t="n">
        <f aca="false">Model!BM199+SUM(Model!BM203:BM233)+Model!BM235-(Model!BM196)</f>
        <v>-410050.835321802</v>
      </c>
      <c r="BO99" s="282" t="n">
        <f aca="false">Model!BN199+SUM(Model!BN203:BN233)+Model!BN235-(Model!BN196)</f>
        <v>-410050.835321802</v>
      </c>
      <c r="BP99" s="282" t="n">
        <f aca="false">Model!BO199+SUM(Model!BO203:BO233)+Model!BO235-(Model!BO196)</f>
        <v>-410050.835321802</v>
      </c>
      <c r="BQ99" s="282" t="n">
        <f aca="false">Model!BP199+SUM(Model!BP203:BP233)+Model!BP235-(Model!BP196)</f>
        <v>-410050.835321802</v>
      </c>
      <c r="BR99" s="282" t="n">
        <f aca="false">Model!BQ199+SUM(Model!BQ203:BQ233)+Model!BQ235-(Model!BQ196)</f>
        <v>-410050.835321802</v>
      </c>
      <c r="BS99" s="282" t="n">
        <f aca="false">Model!BR199+SUM(Model!BR203:BR233)+Model!BR235-(Model!BR196)</f>
        <v>-410050.835321802</v>
      </c>
      <c r="BT99" s="282" t="n">
        <f aca="false">Model!BS199+SUM(Model!BS203:BS233)+Model!BS235-(Model!BS196)</f>
        <v>-410050.835321802</v>
      </c>
      <c r="BU99" s="282" t="n">
        <f aca="false">Model!BT199+SUM(Model!BT203:BT233)+Model!BT235-(Model!BT196)</f>
        <v>-410050.835321802</v>
      </c>
      <c r="BV99" s="282" t="n">
        <f aca="false">Model!BU199+SUM(Model!BU203:BU233)+Model!BU235-(Model!BU196)</f>
        <v>-410050.835321802</v>
      </c>
      <c r="BW99" s="282" t="n">
        <f aca="false">Model!BV199+SUM(Model!BV203:BV233)+Model!BV235-(Model!BV196)</f>
        <v>-410050.835321802</v>
      </c>
      <c r="BX99" s="282" t="n">
        <f aca="false">Model!BW199+SUM(Model!BW203:BW233)+Model!BW235-(Model!BW196)</f>
        <v>-410050.835321802</v>
      </c>
      <c r="BY99" s="282" t="n">
        <f aca="false">Model!BX199+SUM(Model!BX203:BX233)+Model!BX235-(Model!BX196)</f>
        <v>-410050.835321802</v>
      </c>
      <c r="BZ99" s="282" t="n">
        <f aca="false">Model!BY199+SUM(Model!BY203:BY233)+Model!BY235-(Model!BY196)</f>
        <v>-417951.852028238</v>
      </c>
      <c r="CA99" s="282" t="n">
        <f aca="false">Model!BZ199+SUM(Model!BZ203:BZ233)+Model!BZ235-(Model!BZ196)</f>
        <v>-417951.852028238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1063</v>
      </c>
      <c r="B100" s="281" t="n">
        <f aca="false">SUM(Actuals!C55:N55)</f>
        <v>-2414322.82</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0</v>
      </c>
      <c r="Z100" s="125" t="n">
        <f aca="false">Z98*Z99</f>
        <v>0</v>
      </c>
      <c r="AA100" s="125" t="n">
        <f aca="false">AA98*AA99</f>
        <v>0</v>
      </c>
      <c r="AB100" s="125" t="n">
        <f aca="false">AB98*AB99</f>
        <v>0</v>
      </c>
      <c r="AC100" s="125" t="n">
        <f aca="false">AC98*AC99</f>
        <v>0</v>
      </c>
      <c r="AD100" s="125" t="n">
        <f aca="false">AD98*AD99</f>
        <v>0</v>
      </c>
      <c r="AE100" s="125" t="n">
        <f aca="false">AE98*AE99</f>
        <v>0</v>
      </c>
      <c r="AF100" s="125" t="n">
        <f aca="false">AF98*AF99</f>
        <v>0</v>
      </c>
      <c r="AG100" s="125" t="n">
        <f aca="false">AG98*AG99</f>
        <v>0</v>
      </c>
      <c r="AH100" s="125" t="n">
        <f aca="false">AH98*AH99</f>
        <v>0</v>
      </c>
      <c r="AI100" s="125" t="n">
        <f aca="false">AI98*AI99</f>
        <v>0</v>
      </c>
      <c r="AJ100" s="125" t="n">
        <f aca="false">AJ98*AJ99</f>
        <v>0</v>
      </c>
      <c r="AK100" s="125" t="n">
        <f aca="false">AK98*AK99</f>
        <v>0</v>
      </c>
      <c r="AL100" s="125" t="n">
        <f aca="false">AL98*AL99</f>
        <v>0</v>
      </c>
      <c r="AM100" s="125" t="n">
        <f aca="false">AM98*AM99</f>
        <v>0</v>
      </c>
      <c r="AN100" s="125" t="n">
        <f aca="false">AN98*AN99</f>
        <v>0</v>
      </c>
      <c r="AO100" s="125" t="n">
        <f aca="false">AO98*AO99</f>
        <v>0</v>
      </c>
      <c r="AP100" s="125" t="n">
        <f aca="false">AP98*AP99</f>
        <v>0</v>
      </c>
      <c r="AQ100" s="125" t="n">
        <f aca="false">AQ98*AQ99</f>
        <v>-0</v>
      </c>
      <c r="AR100" s="125" t="n">
        <f aca="false">AR98*AR99</f>
        <v>-0</v>
      </c>
      <c r="AS100" s="125" t="n">
        <f aca="false">AS98*AS99</f>
        <v>-0</v>
      </c>
      <c r="AT100" s="125" t="n">
        <f aca="false">AT98*AT99</f>
        <v>-0</v>
      </c>
      <c r="AU100" s="125" t="n">
        <f aca="false">AU98*AU99</f>
        <v>-0</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1064</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1065</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1066</v>
      </c>
      <c r="C3" s="287" t="s">
        <v>1067</v>
      </c>
      <c r="D3" s="287" t="s">
        <v>1068</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1069</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1070</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1071</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1054</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1072</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1073</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1069</v>
      </c>
      <c r="B13" s="291" t="n">
        <f aca="false">SUM(Model!E256:CG256)</f>
        <v>219466</v>
      </c>
      <c r="C13" s="291" t="n">
        <f aca="false">IFERROR(Helpers!B48,0)</f>
        <v>2706735</v>
      </c>
      <c r="D13" s="291" t="n">
        <f aca="false">IFERROR(B13+C13,0)</f>
        <v>2926201</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1070</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1071</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1054</v>
      </c>
      <c r="B16" s="298" t="n">
        <f aca="false">-SUM(Model!E337:CG337)</f>
        <v>-583237.358559202</v>
      </c>
      <c r="C16" s="298" t="n">
        <f aca="false">IFERROR(-Helpers!F93,0)</f>
        <v>-240125.881206445</v>
      </c>
      <c r="D16" s="298"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1072</v>
      </c>
      <c r="B17" s="299" t="n">
        <f aca="false">SUM(B13:B16)</f>
        <v>-927317.678559202</v>
      </c>
      <c r="C17" s="299" t="n">
        <f aca="false">IFERROR(SUM(C13:C16),0)</f>
        <v>2466609.11879355</v>
      </c>
      <c r="D17" s="299" t="n">
        <f aca="false">IFERROR(SUM(D13:D16),0)</f>
        <v>1539291.44023435</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1069</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1070</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1071</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1054</v>
      </c>
      <c r="B23" s="279" t="n">
        <f aca="false">-SUM(Model!E342:CG342)</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1072</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1074</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1075</v>
      </c>
      <c r="B27" s="314" t="n">
        <f aca="false">B6+B13+B20</f>
        <v>2934389</v>
      </c>
      <c r="C27" s="314" t="n">
        <f aca="false">IFERROR(C6+C13+C20,0)</f>
        <v>6978708</v>
      </c>
      <c r="D27" s="314"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1076</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1077</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1078</v>
      </c>
      <c r="B30" s="318" t="n">
        <f aca="false">B9+B16+B23</f>
        <v>-1318548.68110717</v>
      </c>
      <c r="C30" s="318" t="n">
        <f aca="false">IFERROR(C9+C16+C23,0)</f>
        <v>-240125.881206445</v>
      </c>
      <c r="D30" s="318" t="n">
        <f aca="false">IFERROR(D9+D16+D23,0)</f>
        <v>-1558674.56231362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1079</v>
      </c>
      <c r="B31" s="299" t="n">
        <f aca="false">B10+B17+B24</f>
        <v>-128321.351107174</v>
      </c>
      <c r="C31" s="299" t="n">
        <f aca="false">IFERROR(C10+C17+C24,0)</f>
        <v>6738582.11879356</v>
      </c>
      <c r="D31" s="299" t="n">
        <f aca="false">IFERROR(D10+D17+D24,0)</f>
        <v>6610260.76768638</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1080</v>
      </c>
    </row>
    <row r="41" customFormat="false" ht="15" hidden="false" customHeight="true" outlineLevel="0" collapsed="false">
      <c r="A41" s="322" t="s">
        <v>1081</v>
      </c>
    </row>
    <row r="42" customFormat="false" ht="15" hidden="false" customHeight="true" outlineLevel="0" collapsed="false">
      <c r="A42" s="322" t="s">
        <v>1082</v>
      </c>
    </row>
    <row r="43" customFormat="false" ht="15" hidden="false" customHeight="true" outlineLevel="0" collapsed="false">
      <c r="A43" s="322" t="s">
        <v>1083</v>
      </c>
    </row>
    <row r="44" customFormat="false" ht="15" hidden="false" customHeight="true" outlineLevel="0" collapsed="false">
      <c r="A44" s="322" t="s">
        <v>1084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1085</v>
      </c>
    </row>
    <row r="2" customFormat="false" ht="15" hidden="false" customHeight="true" outlineLevel="0" collapsed="false">
      <c r="A2" s="90" t="s">
        <v>1086</v>
      </c>
      <c r="B2" s="323" t="n">
        <v>0.0025</v>
      </c>
    </row>
    <row r="3" customFormat="false" ht="15" hidden="false" customHeight="true" outlineLevel="0" collapsed="false">
      <c r="A3" s="90" t="s">
        <v>1087</v>
      </c>
      <c r="B3" s="324" t="n">
        <v>0.1</v>
      </c>
    </row>
    <row r="4" customFormat="false" ht="15" hidden="false" customHeight="true" outlineLevel="0" collapsed="false"/>
    <row r="5" customFormat="false" ht="30" hidden="false" customHeight="true" outlineLevel="0" collapsed="false">
      <c r="A5" s="325" t="s">
        <v>1088</v>
      </c>
      <c r="B5" s="325" t="s">
        <v>1089</v>
      </c>
      <c r="C5" s="325" t="s">
        <v>1090</v>
      </c>
      <c r="D5" s="326" t="s">
        <v>1091</v>
      </c>
      <c r="E5" s="326" t="s">
        <v>1092</v>
      </c>
      <c r="F5" s="326" t="s">
        <v>1093</v>
      </c>
      <c r="G5" s="327" t="s">
        <v>544</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28"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28"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28"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28"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1094</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396472.629666667</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513060.30726</v>
      </c>
      <c r="S16" s="104" t="n">
        <f aca="false">-SUM(Model!R203:R233)-Model!R235</f>
        <v>562966.13226</v>
      </c>
      <c r="T16" s="104" t="n">
        <f aca="false">-SUM(Model!S203:S233)-Model!S235</f>
        <v>578840.40726</v>
      </c>
      <c r="U16" s="104" t="n">
        <f aca="false">-SUM(Model!T203:T233)-Model!T235</f>
        <v>559715.40726</v>
      </c>
      <c r="V16" s="104" t="n">
        <f aca="false">-SUM(Model!U203:U233)-Model!U235</f>
        <v>559715.40726</v>
      </c>
      <c r="W16" s="104" t="n">
        <f aca="false">-SUM(Model!V203:V233)-Model!V235</f>
        <v>559715.40726</v>
      </c>
      <c r="X16" s="104" t="n">
        <f aca="false">-SUM(Model!W203:W233)-Model!W235</f>
        <v>559715.40726</v>
      </c>
      <c r="Y16" s="104" t="n">
        <f aca="false">-SUM(Model!X203:X233)-Model!X235</f>
        <v>559715.40726</v>
      </c>
      <c r="Z16" s="104" t="n">
        <f aca="false">-SUM(Model!Y203:Y233)-Model!Y235</f>
        <v>559715.40726</v>
      </c>
      <c r="AA16" s="104" t="n">
        <f aca="false">-SUM(Model!Z203:Z233)-Model!Z235</f>
        <v>559715.40726</v>
      </c>
      <c r="AB16" s="104" t="n">
        <f aca="false">-SUM(Model!AA203:AA233)-Model!AA235</f>
        <v>559715.40726</v>
      </c>
      <c r="AC16" s="104" t="n">
        <f aca="false">-SUM(Model!AB203:AB233)-Model!AB235</f>
        <v>559715.40726</v>
      </c>
      <c r="AD16" s="104" t="n">
        <f aca="false">-SUM(Model!AC203:AC233)-Model!AC235</f>
        <v>566597.040674431</v>
      </c>
      <c r="AE16" s="104" t="n">
        <f aca="false">-SUM(Model!AD203:AD233)-Model!AD235</f>
        <v>545151.343212892</v>
      </c>
      <c r="AF16" s="104" t="n">
        <f aca="false">-SUM(Model!AE203:AE233)-Model!AE235</f>
        <v>522843.6509052</v>
      </c>
      <c r="AG16" s="104" t="n">
        <f aca="false">-SUM(Model!AF203:AF233)-Model!AF235</f>
        <v>522843.6509052</v>
      </c>
      <c r="AH16" s="104" t="n">
        <f aca="false">-SUM(Model!AG203:AG233)-Model!AG235</f>
        <v>522843.6509052</v>
      </c>
      <c r="AI16" s="104" t="n">
        <f aca="false">-SUM(Model!AH203:AH233)-Model!AH235</f>
        <v>519711.807212892</v>
      </c>
      <c r="AJ16" s="104" t="n">
        <f aca="false">-SUM(Model!AI203:AI233)-Model!AI235</f>
        <v>503880.790751354</v>
      </c>
      <c r="AK16" s="104" t="n">
        <f aca="false">-SUM(Model!AJ203:AJ233)-Model!AJ235</f>
        <v>490034.6369052</v>
      </c>
      <c r="AL16" s="104" t="n">
        <f aca="false">-SUM(Model!AK203:AK233)-Model!AK235</f>
        <v>490034.6369052</v>
      </c>
      <c r="AM16" s="104" t="n">
        <f aca="false">-SUM(Model!AL203:AL233)-Model!AL235</f>
        <v>488468.715059046</v>
      </c>
      <c r="AN16" s="104" t="n">
        <f aca="false">-SUM(Model!AM203:AM233)-Model!AM235</f>
        <v>473604.428635969</v>
      </c>
      <c r="AO16" s="104" t="n">
        <f aca="false">-SUM(Model!AN203:AN233)-Model!AN235</f>
        <v>436241.815712892</v>
      </c>
      <c r="AP16" s="104" t="n">
        <f aca="false">-SUM(Model!AO203:AO233)-Model!AO235</f>
        <v>426629.294778689</v>
      </c>
      <c r="AQ16" s="104" t="n">
        <f aca="false">-SUM(Model!AP203:AP233)-Model!AP235</f>
        <v>407013.910163304</v>
      </c>
      <c r="AR16" s="104" t="n">
        <f aca="false">-SUM(Model!AQ203:AQ233)-Model!AQ235</f>
        <v>404325.914528689</v>
      </c>
      <c r="AS16" s="104" t="n">
        <f aca="false">-SUM(Model!AR203:AR233)-Model!AR235</f>
        <v>394710.529913304</v>
      </c>
      <c r="AT16" s="104" t="n">
        <f aca="false">-SUM(Model!AS203:AS233)-Model!AS235</f>
        <v>394710.529913304</v>
      </c>
      <c r="AU16" s="104" t="n">
        <f aca="false">-SUM(Model!AT203:AT233)-Model!AT235</f>
        <v>394710.529913304</v>
      </c>
      <c r="AV16" s="104" t="n">
        <f aca="false">-SUM(Model!AU203:AU233)-Model!AU235</f>
        <v>394710.529913304</v>
      </c>
      <c r="AW16" s="104" t="n">
        <f aca="false">-SUM(Model!AV203:AV233)-Model!AV235</f>
        <v>394710.529913304</v>
      </c>
      <c r="AX16" s="104" t="n">
        <f aca="false">-SUM(Model!AW203:AW233)-Model!AW235</f>
        <v>394710.529913304</v>
      </c>
      <c r="AY16" s="104" t="n">
        <f aca="false">-SUM(Model!AX203:AX233)-Model!AX235</f>
        <v>394710.529913304</v>
      </c>
      <c r="AZ16" s="104" t="n">
        <f aca="false">-SUM(Model!AY203:AY233)-Model!AY235</f>
        <v>394710.529913304</v>
      </c>
      <c r="BA16" s="104" t="n">
        <f aca="false">-SUM(Model!AZ203:AZ233)-Model!AZ235</f>
        <v>394710.529913304</v>
      </c>
      <c r="BB16" s="104" t="n">
        <f aca="false">-SUM(Model!BA203:BA233)-Model!BA235</f>
        <v>402304.74051157</v>
      </c>
      <c r="BC16" s="104" t="n">
        <f aca="false">-SUM(Model!BB203:BB233)-Model!BB235</f>
        <v>402304.74051157</v>
      </c>
      <c r="BD16" s="104" t="n">
        <f aca="false">-SUM(Model!BC203:BC233)-Model!BC235</f>
        <v>402304.74051157</v>
      </c>
      <c r="BE16" s="104" t="n">
        <f aca="false">-SUM(Model!BD203:BD233)-Model!BD235</f>
        <v>402304.74051157</v>
      </c>
      <c r="BF16" s="104" t="n">
        <f aca="false">-SUM(Model!BE203:BE233)-Model!BE235</f>
        <v>402304.74051157</v>
      </c>
      <c r="BG16" s="104" t="n">
        <f aca="false">-SUM(Model!BF203:BF233)-Model!BF235</f>
        <v>402304.74051157</v>
      </c>
      <c r="BH16" s="104" t="n">
        <f aca="false">-SUM(Model!BG203:BG233)-Model!BG235</f>
        <v>402304.74051157</v>
      </c>
      <c r="BI16" s="104" t="n">
        <f aca="false">-SUM(Model!BH203:BH233)-Model!BH235</f>
        <v>402304.74051157</v>
      </c>
      <c r="BJ16" s="104" t="n">
        <f aca="false">-SUM(Model!BI203:BI233)-Model!BI235</f>
        <v>402304.74051157</v>
      </c>
      <c r="BK16" s="104" t="n">
        <f aca="false">-SUM(Model!BJ203:BJ233)-Model!BJ235</f>
        <v>402304.74051157</v>
      </c>
      <c r="BL16" s="104" t="n">
        <f aca="false">-SUM(Model!BK203:BK233)-Model!BK235</f>
        <v>402304.74051157</v>
      </c>
      <c r="BM16" s="104" t="n">
        <f aca="false">-SUM(Model!BL203:BL233)-Model!BL235</f>
        <v>402304.74051157</v>
      </c>
      <c r="BN16" s="104" t="n">
        <f aca="false">-SUM(Model!BM203:BM233)-Model!BM235</f>
        <v>410050.835321802</v>
      </c>
      <c r="BO16" s="104" t="n">
        <f aca="false">-SUM(Model!BN203:BN233)-Model!BN235</f>
        <v>410050.835321802</v>
      </c>
      <c r="BP16" s="104" t="n">
        <f aca="false">-SUM(Model!BO203:BO233)-Model!BO235</f>
        <v>410050.835321802</v>
      </c>
      <c r="BQ16" s="104" t="n">
        <f aca="false">-SUM(Model!BP203:BP233)-Model!BP235</f>
        <v>410050.835321802</v>
      </c>
      <c r="BR16" s="104" t="n">
        <f aca="false">-SUM(Model!BQ203:BQ233)-Model!BQ235</f>
        <v>410050.835321802</v>
      </c>
      <c r="BS16" s="104" t="n">
        <f aca="false">-SUM(Model!BR203:BR233)-Model!BR235</f>
        <v>410050.835321802</v>
      </c>
      <c r="BT16" s="104" t="n">
        <f aca="false">-SUM(Model!BS203:BS233)-Model!BS235</f>
        <v>410050.835321802</v>
      </c>
      <c r="BU16" s="104" t="n">
        <f aca="false">-SUM(Model!BT203:BT233)-Model!BT235</f>
        <v>410050.835321802</v>
      </c>
      <c r="BV16" s="104" t="n">
        <f aca="false">-SUM(Model!BU203:BU233)-Model!BU235</f>
        <v>410050.835321802</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1095</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6</v>
      </c>
      <c r="AK17" s="9" t="n">
        <f aca="false">SUMPRODUCT((Projects!$G$2:$G$14="Yes")*(AK$15&gt;=Projects!$C$2:$C$14)*(AK$15&lt;Projects!$C$2:$C$14+Projects!$D$2:$D$14))+SUMPRODUCT((Projects!$G$17:$G$46="Yes")*(AK$15&gt;=Projects!$C$17:$C$46)*(AK$15&lt;Projects!$C$17:$C$46+Projects!$D$17:$D$46))</f>
        <v>6</v>
      </c>
      <c r="AL17" s="9" t="n">
        <f aca="false">SUMPRODUCT((Projects!$G$2:$G$14="Yes")*(AL$15&gt;=Projects!$C$2:$C$14)*(AL$15&lt;Projects!$C$2:$C$14+Projects!$D$2:$D$14))+SUMPRODUCT((Projects!$G$17:$G$46="Yes")*(AL$15&gt;=Projects!$C$17:$C$46)*(AL$15&lt;Projects!$C$17:$C$46+Projects!$D$17:$D$46))</f>
        <v>4</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4</v>
      </c>
      <c r="AO17" s="9" t="n">
        <f aca="false">SUMPRODUCT((Projects!$G$2:$G$14="Yes")*(AO$15&gt;=Projects!$C$2:$C$14)*(AO$15&lt;Projects!$C$2:$C$14+Projects!$D$2:$D$14))+SUMPRODUCT((Projects!$G$17:$G$46="Yes")*(AO$15&gt;=Projects!$C$17:$C$46)*(AO$15&lt;Projects!$C$17:$C$46+Projects!$D$17:$D$46))</f>
        <v>4</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2</v>
      </c>
      <c r="AR17" s="9" t="n">
        <f aca="false">SUMPRODUCT((Projects!$G$2:$G$14="Yes")*(AR$15&gt;=Projects!$C$2:$C$14)*(AR$15&lt;Projects!$C$2:$C$14+Projects!$D$2:$D$14))+SUMPRODUCT((Projects!$G$17:$G$46="Yes")*(AR$15&gt;=Projects!$C$17:$C$46)*(AR$15&lt;Projects!$C$17:$C$46+Projects!$D$17:$D$46))</f>
        <v>2</v>
      </c>
      <c r="AS17" s="9" t="n">
        <f aca="false">SUMPRODUCT((Projects!$G$2:$G$14="Yes")*(AS$15&gt;=Projects!$C$2:$C$14)*(AS$15&lt;Projects!$C$2:$C$14+Projects!$D$2:$D$14))+SUMPRODUCT((Projects!$G$17:$G$46="Yes")*(AS$15&gt;=Projects!$C$17:$C$46)*(AS$15&lt;Projects!$C$17:$C$46+Projects!$D$17:$D$46))</f>
        <v>2</v>
      </c>
      <c r="AT17" s="9" t="n">
        <f aca="false">SUMPRODUCT((Projects!$G$2:$G$14="Yes")*(AT$15&gt;=Projects!$C$2:$C$14)*(AT$15&lt;Projects!$C$2:$C$14+Projects!$D$2:$D$14))+SUMPRODUCT((Projects!$G$17:$G$46="Yes")*(AT$15&gt;=Projects!$C$17:$C$46)*(AT$15&lt;Projects!$C$17:$C$46+Projects!$D$17:$D$46))</f>
        <v>2</v>
      </c>
      <c r="AU17" s="9" t="n">
        <f aca="false">SUMPRODUCT((Projects!$G$2:$G$14="Yes")*(AU$15&gt;=Projects!$C$2:$C$14)*(AU$15&lt;Projects!$C$2:$C$14+Projects!$D$2:$D$14))+SUMPRODUCT((Projects!$G$17:$G$46="Yes")*(AU$15&gt;=Projects!$C$17:$C$46)*(AU$15&lt;Projects!$C$17:$C$46+Projects!$D$17:$D$46))</f>
        <v>2</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2</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1096</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132157.543222222</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73294.3296085714</v>
      </c>
      <c r="S18" s="104" t="n">
        <f aca="false">IFERROR(S16/S17,0)</f>
        <v>70370.7665325</v>
      </c>
      <c r="T18" s="104" t="n">
        <f aca="false">IFERROR(T16/T17,0)</f>
        <v>64315.6008066667</v>
      </c>
      <c r="U18" s="104" t="n">
        <f aca="false">IFERROR(U16/U17,0)</f>
        <v>62190.6008066667</v>
      </c>
      <c r="V18" s="104" t="n">
        <f aca="false">IFERROR(V16/V17,0)</f>
        <v>62190.6008066667</v>
      </c>
      <c r="W18" s="104" t="n">
        <f aca="false">IFERROR(W16/W17,0)</f>
        <v>55971.540726</v>
      </c>
      <c r="X18" s="104" t="n">
        <f aca="false">IFERROR(X16/X17,0)</f>
        <v>50883.2188418182</v>
      </c>
      <c r="Y18" s="104" t="n">
        <f aca="false">IFERROR(Y16/Y17,0)</f>
        <v>50883.2188418182</v>
      </c>
      <c r="Z18" s="104" t="n">
        <f aca="false">IFERROR(Z16/Z17,0)</f>
        <v>50883.2188418182</v>
      </c>
      <c r="AA18" s="104" t="n">
        <f aca="false">IFERROR(AA16/AA17,0)</f>
        <v>50883.2188418182</v>
      </c>
      <c r="AB18" s="104" t="n">
        <f aca="false">IFERROR(AB16/AB17,0)</f>
        <v>50883.2188418182</v>
      </c>
      <c r="AC18" s="104" t="n">
        <f aca="false">IFERROR(AC16/AC17,0)</f>
        <v>55971.540726</v>
      </c>
      <c r="AD18" s="104" t="n">
        <f aca="false">IFERROR(AD16/AD17,0)</f>
        <v>62955.2267416034</v>
      </c>
      <c r="AE18" s="104" t="n">
        <f aca="false">IFERROR(AE16/AE17,0)</f>
        <v>60572.3714680992</v>
      </c>
      <c r="AF18" s="104" t="n">
        <f aca="false">IFERROR(AF16/AF17,0)</f>
        <v>52284.36509052</v>
      </c>
      <c r="AG18" s="104" t="n">
        <f aca="false">IFERROR(AG16/AG17,0)</f>
        <v>52284.36509052</v>
      </c>
      <c r="AH18" s="104" t="n">
        <f aca="false">IFERROR(AH16/AH17,0)</f>
        <v>65355.45636315</v>
      </c>
      <c r="AI18" s="104" t="n">
        <f aca="false">IFERROR(AI16/AI17,0)</f>
        <v>74244.5438875561</v>
      </c>
      <c r="AJ18" s="104" t="n">
        <f aca="false">IFERROR(AJ16/AJ17,0)</f>
        <v>83980.1317918923</v>
      </c>
      <c r="AK18" s="104" t="n">
        <f aca="false">IFERROR(AK16/AK17,0)</f>
        <v>81672.4394842</v>
      </c>
      <c r="AL18" s="104" t="n">
        <f aca="false">IFERROR(AL16/AL17,0)</f>
        <v>122508.6592263</v>
      </c>
      <c r="AM18" s="104" t="n">
        <f aca="false">IFERROR(AM16/AM17,0)</f>
        <v>122117.178764762</v>
      </c>
      <c r="AN18" s="104" t="n">
        <f aca="false">IFERROR(AN16/AN17,0)</f>
        <v>118401.107158992</v>
      </c>
      <c r="AO18" s="104" t="n">
        <f aca="false">IFERROR(AO16/AO17,0)</f>
        <v>109060.453928223</v>
      </c>
      <c r="AP18" s="104" t="n">
        <f aca="false">IFERROR(AP16/AP17,0)</f>
        <v>142209.76492623</v>
      </c>
      <c r="AQ18" s="104" t="n">
        <f aca="false">IFERROR(AQ16/AQ17,0)</f>
        <v>203506.955081652</v>
      </c>
      <c r="AR18" s="104" t="n">
        <f aca="false">IFERROR(AR16/AR17,0)</f>
        <v>202162.957264344</v>
      </c>
      <c r="AS18" s="104" t="n">
        <f aca="false">IFERROR(AS16/AS17,0)</f>
        <v>197355.264956652</v>
      </c>
      <c r="AT18" s="104" t="n">
        <f aca="false">IFERROR(AT16/AT17,0)</f>
        <v>197355.264956652</v>
      </c>
      <c r="AU18" s="104" t="n">
        <f aca="false">IFERROR(AU16/AU17,0)</f>
        <v>197355.264956652</v>
      </c>
      <c r="AV18" s="104" t="n">
        <f aca="false">IFERROR(AV16/AV17,0)</f>
        <v>197355.264956652</v>
      </c>
      <c r="AW18" s="104" t="n">
        <f aca="false">IFERROR(AW16/AW17,0)</f>
        <v>197355.264956652</v>
      </c>
      <c r="AX18" s="104" t="n">
        <f aca="false">IFERROR(AX16/AX17,0)</f>
        <v>394710.529913304</v>
      </c>
      <c r="AY18" s="104" t="n">
        <f aca="false">IFERROR(AY16/AY17,0)</f>
        <v>394710.529913304</v>
      </c>
      <c r="AZ18" s="104" t="n">
        <f aca="false">IFERROR(AZ16/AZ17,0)</f>
        <v>394710.529913304</v>
      </c>
      <c r="BA18" s="104" t="n">
        <f aca="false">IFERROR(BA16/BA17,0)</f>
        <v>394710.529913304</v>
      </c>
      <c r="BB18" s="104" t="n">
        <f aca="false">IFERROR(BB16/BB17,0)</f>
        <v>402304.74051157</v>
      </c>
      <c r="BC18" s="104" t="n">
        <f aca="false">IFERROR(BC16/BC17,0)</f>
        <v>402304.74051157</v>
      </c>
      <c r="BD18" s="104" t="n">
        <f aca="false">IFERROR(BD16/BD17,0)</f>
        <v>402304.74051157</v>
      </c>
      <c r="BE18" s="104" t="n">
        <f aca="false">IFERROR(BE16/BE17,0)</f>
        <v>402304.74051157</v>
      </c>
      <c r="BF18" s="104" t="n">
        <f aca="false">IFERROR(BF16/BF17,0)</f>
        <v>402304.74051157</v>
      </c>
      <c r="BG18" s="104" t="n">
        <f aca="false">IFERROR(BG16/BG17,0)</f>
        <v>402304.74051157</v>
      </c>
      <c r="BH18" s="104" t="n">
        <f aca="false">IFERROR(BH16/BH17,0)</f>
        <v>402304.74051157</v>
      </c>
      <c r="BI18" s="104" t="n">
        <f aca="false">IFERROR(BI16/BI17,0)</f>
        <v>402304.74051157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1097</v>
      </c>
      <c r="B20" s="122" t="s">
        <v>780</v>
      </c>
      <c r="C20" s="122" t="s">
        <v>590</v>
      </c>
      <c r="D20" s="122" t="s">
        <v>592</v>
      </c>
      <c r="E20" s="122" t="s">
        <v>564</v>
      </c>
      <c r="F20" s="122" t="s">
        <v>1098</v>
      </c>
      <c r="G20" s="122" t="s">
        <v>591</v>
      </c>
      <c r="H20" s="122" t="s">
        <v>1099</v>
      </c>
      <c r="I20" s="122" t="s">
        <v>1100</v>
      </c>
      <c r="J20" s="122" t="s">
        <v>1101</v>
      </c>
      <c r="K20" s="122" t="s">
        <v>1102</v>
      </c>
      <c r="L20" s="122" t="s">
        <v>1103</v>
      </c>
      <c r="M20" s="122" t="s">
        <v>1104</v>
      </c>
      <c r="N20" s="122" t="s">
        <v>1105</v>
      </c>
      <c r="O20" s="122" t="s">
        <v>1106</v>
      </c>
      <c r="P20" s="122" t="s">
        <v>484</v>
      </c>
      <c r="Q20" s="122" t="s">
        <v>1107</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24"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24"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24"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24"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24"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24"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24"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24"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24"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24"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24"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24"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24"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24"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24"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24"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24"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24"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24"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24"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24"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24"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24"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24"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24"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24"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24"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24"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24"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24"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24"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24"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24"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24"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24"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24"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24"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24"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24"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24"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24"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24"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24"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24"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24"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24"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24"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24"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1108</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484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558</v>
      </c>
      <c r="B1" s="330" t="s">
        <v>1109</v>
      </c>
      <c r="C1" s="330" t="s">
        <v>1110</v>
      </c>
      <c r="D1" s="330" t="s">
        <v>1111</v>
      </c>
      <c r="E1" s="330" t="s">
        <v>1112</v>
      </c>
      <c r="F1" s="330" t="s">
        <v>1113</v>
      </c>
      <c r="G1" s="330" t="s">
        <v>1114</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4978725.501112</v>
      </c>
      <c r="D14" s="332" t="n">
        <f aca="false">C14*0.05</f>
        <v>248936.2750556</v>
      </c>
      <c r="E14" s="332" t="n">
        <f aca="false">B14+D14</f>
        <v>248936.2750556</v>
      </c>
      <c r="F14" s="333" t="n">
        <f aca="false">Projects!$C$14+Projects!$D$14-1</f>
        <v>56</v>
      </c>
      <c r="G14" s="334" t="n">
        <f aca="false">EDATE(DATE(2026,4,1),F14-1)</f>
        <v>47788</v>
      </c>
    </row>
    <row r="15" customFormat="false" ht="15" hidden="false" customHeight="true" outlineLevel="0" collapsed="false">
      <c r="A15" s="175" t="s">
        <v>1115</v>
      </c>
      <c r="B15" s="176" t="n">
        <v>0</v>
      </c>
      <c r="C15" s="332" t="n">
        <f aca="false">IF(Projects!$G$17="Yes",Projects!$B$17*(Assumptions!$B$10+Assumptions!$B$11+Assumptions!$B$12),0)</f>
        <v>1711905.242095</v>
      </c>
      <c r="D15" s="332" t="n">
        <f aca="false">C15*0.05</f>
        <v>85595.26210475</v>
      </c>
      <c r="E15" s="332" t="n">
        <f aca="false">B15+D15</f>
        <v>85595.26210475</v>
      </c>
      <c r="F15" s="333" t="n">
        <f aca="false">Projects!$C$17+Projects!$D$17-1</f>
        <v>36</v>
      </c>
      <c r="G15" s="334" t="n">
        <f aca="false">EDATE(DATE(2026,4,1),F15-1)</f>
        <v>47178</v>
      </c>
    </row>
    <row r="16" customFormat="false" ht="15" hidden="false" customHeight="true" outlineLevel="0" collapsed="false">
      <c r="A16" s="175" t="s">
        <v>1116</v>
      </c>
      <c r="B16" s="176" t="n">
        <v>0</v>
      </c>
      <c r="C16" s="332" t="n">
        <f aca="false">IF(Projects!$G$18="Yes",Projects!$B$18*(Assumptions!$B$10+Assumptions!$B$11+Assumptions!$B$12),0)</f>
        <v>1389018.987915</v>
      </c>
      <c r="D16" s="332" t="n">
        <f aca="false">C16*0.05</f>
        <v>69450.94939575</v>
      </c>
      <c r="E16" s="332" t="n">
        <f aca="false">B16+D16</f>
        <v>69450.94939575</v>
      </c>
      <c r="F16" s="333" t="n">
        <f aca="false">Projects!$C$18+Projects!$D$18-1</f>
        <v>32</v>
      </c>
      <c r="G16" s="334" t="n">
        <f aca="false">EDATE(DATE(2026,4,1),F16-1)</f>
        <v>47058</v>
      </c>
    </row>
    <row r="17" customFormat="false" ht="15" hidden="false" customHeight="true" outlineLevel="0" collapsed="false">
      <c r="A17" s="175" t="s">
        <v>1117</v>
      </c>
      <c r="B17" s="176" t="n">
        <v>0</v>
      </c>
      <c r="C17" s="332" t="n">
        <f aca="false">IF(Projects!$G$19="Yes",Projects!$B$19*(Assumptions!$B$10+Assumptions!$B$11+Assumptions!$B$12),0)</f>
        <v>2259087.152735</v>
      </c>
      <c r="D17" s="332" t="n">
        <f aca="false">C17*0.05</f>
        <v>112954.35763675</v>
      </c>
      <c r="E17" s="332" t="n">
        <f aca="false">B17+D17</f>
        <v>112954.35763675</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0</v>
      </c>
      <c r="D18" s="332" t="n">
        <f aca="false">C18*0.05</f>
        <v>0</v>
      </c>
      <c r="E18" s="332" t="n">
        <f aca="false">B18+D18</f>
        <v>0</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1650079.046</v>
      </c>
      <c r="D20" s="332" t="n">
        <f aca="false">C20*0.05</f>
        <v>82503.9523</v>
      </c>
      <c r="E20" s="332" t="n">
        <f aca="false">B20+D20</f>
        <v>82503.9523</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52</v>
      </c>
      <c r="G21" s="334" t="n">
        <f aca="false">EDATE(DATE(2026,4,1),F21-1)</f>
        <v>47665</v>
      </c>
    </row>
    <row r="22" customFormat="false" ht="15" hidden="false" customHeight="true" outlineLevel="0" collapsed="false">
      <c r="A22" s="175" t="s">
        <v>27</v>
      </c>
      <c r="B22" s="176" t="n">
        <v>0</v>
      </c>
      <c r="C22" s="332" t="n">
        <f aca="false">IF(Projects!$G$24="Yes",Projects!$B$24*(Assumptions!$B$10+Assumptions!$B$11+Assumptions!$B$12),0)</f>
        <v>0</v>
      </c>
      <c r="D22" s="332" t="n">
        <f aca="false">C22*0.05</f>
        <v>0</v>
      </c>
      <c r="E22" s="332" t="n">
        <f aca="false">B22+D22</f>
        <v>0</v>
      </c>
      <c r="F22" s="333" t="n">
        <f aca="false">Projects!$C$24+Projects!$D$24-1</f>
        <v>55</v>
      </c>
      <c r="G22" s="334" t="n">
        <f aca="false">EDATE(DATE(2026,4,1),F22-1)</f>
        <v>47757</v>
      </c>
    </row>
    <row r="23" customFormat="false" ht="15" hidden="false" customHeight="true" outlineLevel="0" collapsed="false">
      <c r="A23" s="175" t="s">
        <v>28</v>
      </c>
      <c r="B23" s="176" t="n">
        <v>0</v>
      </c>
      <c r="C23" s="332" t="n">
        <f aca="false">IF(Projects!$G$25="Yes",Projects!$B$25*(Assumptions!$B$10+Assumptions!$B$11+Assumptions!$B$12),0)</f>
        <v>0</v>
      </c>
      <c r="D23" s="332" t="n">
        <f aca="false">C23*0.05</f>
        <v>0</v>
      </c>
      <c r="E23" s="332" t="n">
        <f aca="false">B23+D23</f>
        <v>0</v>
      </c>
      <c r="F23" s="333" t="n">
        <f aca="false">Projects!$C$25+Projects!$D$25-1</f>
        <v>58</v>
      </c>
      <c r="G23" s="334" t="n">
        <f aca="false">EDATE(DATE(2026,4,1),F23-1)</f>
        <v>47849</v>
      </c>
    </row>
    <row r="24" customFormat="false" ht="15" hidden="false" customHeight="true" outlineLevel="0" collapsed="false">
      <c r="A24" s="175" t="s">
        <v>29</v>
      </c>
      <c r="B24" s="176" t="n">
        <v>0</v>
      </c>
      <c r="C24" s="332" t="n">
        <f aca="false">IF(Projects!$G$26="Yes",Projects!$B$26*(Assumptions!$B$10+Assumptions!$B$11+Assumptions!$B$12),0)</f>
        <v>0</v>
      </c>
      <c r="D24" s="332" t="n">
        <f aca="false">C24*0.05</f>
        <v>0</v>
      </c>
      <c r="E24" s="332" t="n">
        <f aca="false">B24+D24</f>
        <v>0</v>
      </c>
      <c r="F24" s="333" t="n">
        <f aca="false">Projects!$C$26+Projects!$D$26-1</f>
        <v>60</v>
      </c>
      <c r="G24" s="334" t="n">
        <f aca="false">EDATE(DATE(2026,4,1),F24-1)</f>
        <v>47908</v>
      </c>
    </row>
    <row r="25" customFormat="false" ht="15" hidden="false" customHeight="true" outlineLevel="0" collapsed="false">
      <c r="A25" s="175" t="s">
        <v>30</v>
      </c>
      <c r="B25" s="176" t="n">
        <v>0</v>
      </c>
      <c r="C25" s="332" t="n">
        <f aca="false">IF(Projects!$G$27="Yes",Projects!$B$27*(Assumptions!$B$10+Assumptions!$B$11+Assumptions!$B$12),0)</f>
        <v>0</v>
      </c>
      <c r="D25" s="332" t="n">
        <f aca="false">C25*0.05</f>
        <v>0</v>
      </c>
      <c r="E25" s="332" t="n">
        <f aca="false">B25+D25</f>
        <v>0</v>
      </c>
      <c r="F25" s="333" t="n">
        <f aca="false">Projects!$C$27+Projects!$D$27-1</f>
        <v>62</v>
      </c>
      <c r="G25" s="334" t="n">
        <f aca="false">EDATE(DATE(2026,4,1),F25-1)</f>
        <v>47969</v>
      </c>
    </row>
    <row r="26" customFormat="false" ht="15" hidden="false" customHeight="true" outlineLevel="0" collapsed="false">
      <c r="A26" s="175" t="s">
        <v>31</v>
      </c>
      <c r="B26" s="176" t="n">
        <v>0</v>
      </c>
      <c r="C26" s="332" t="n">
        <f aca="false">IF(Projects!$G$28="Yes",Projects!$B$28*(Assumptions!$B$10+Assumptions!$B$11+Assumptions!$B$12),0)</f>
        <v>0</v>
      </c>
      <c r="D26" s="332" t="n">
        <f aca="false">C26*0.05</f>
        <v>0</v>
      </c>
      <c r="E26" s="332" t="n">
        <f aca="false">B26+D26</f>
        <v>0</v>
      </c>
      <c r="F26" s="333" t="n">
        <f aca="false">Projects!$C$28+Projects!$D$28-1</f>
        <v>64</v>
      </c>
      <c r="G26" s="334" t="n">
        <f aca="false">EDATE(DATE(2026,4,1),F26-1)</f>
        <v>48030</v>
      </c>
    </row>
    <row r="27" customFormat="false" ht="15" hidden="false" customHeight="true" outlineLevel="0" collapsed="false">
      <c r="A27" s="175" t="s">
        <v>32</v>
      </c>
      <c r="B27" s="176" t="n">
        <v>0</v>
      </c>
      <c r="C27" s="332" t="n">
        <f aca="false">IF(Projects!$G$29="Yes",Projects!$B$29*(Assumptions!$B$10+Assumptions!$B$11+Assumptions!$B$12),0)</f>
        <v>0</v>
      </c>
      <c r="D27" s="332" t="n">
        <f aca="false">C27*0.05</f>
        <v>0</v>
      </c>
      <c r="E27" s="332" t="n">
        <f aca="false">B27+D27</f>
        <v>0</v>
      </c>
      <c r="F27" s="333" t="n">
        <f aca="false">Projects!$C$29+Projects!$D$29-1</f>
        <v>66</v>
      </c>
      <c r="G27" s="334" t="n">
        <f aca="false">EDATE(DATE(2026,4,1),F27-1)</f>
        <v>48092</v>
      </c>
    </row>
    <row r="28" customFormat="false" ht="15" hidden="false" customHeight="true" outlineLevel="0" collapsed="false">
      <c r="A28" s="175" t="s">
        <v>33</v>
      </c>
      <c r="B28" s="176" t="n">
        <v>0</v>
      </c>
      <c r="C28" s="332" t="n">
        <f aca="false">IF(Projects!$G$30="Yes",Projects!$B$30*(Assumptions!$B$10+Assumptions!$B$11+Assumptions!$B$12),0)</f>
        <v>0</v>
      </c>
      <c r="D28" s="332" t="n">
        <f aca="false">C28*0.05</f>
        <v>0</v>
      </c>
      <c r="E28" s="332" t="n">
        <f aca="false">B28+D28</f>
        <v>0</v>
      </c>
      <c r="F28" s="333" t="n">
        <f aca="false">Projects!$C$30+Projects!$D$30-1</f>
        <v>68</v>
      </c>
      <c r="G28" s="334" t="n">
        <f aca="false">EDATE(DATE(2026,4,1),F28-1)</f>
        <v>48153</v>
      </c>
    </row>
    <row r="29" customFormat="false" ht="15" hidden="false" customHeight="true" outlineLevel="0" collapsed="false">
      <c r="A29" s="175" t="s">
        <v>34</v>
      </c>
      <c r="B29" s="176" t="n">
        <v>0</v>
      </c>
      <c r="C29" s="332" t="n">
        <f aca="false">IF(Projects!$G$31="Yes",Projects!$B$31*(Assumptions!$B$10+Assumptions!$B$11+Assumptions!$B$12),0)</f>
        <v>0</v>
      </c>
      <c r="D29" s="332" t="n">
        <f aca="false">C29*0.05</f>
        <v>0</v>
      </c>
      <c r="E29" s="332" t="n">
        <f aca="false">B29+D29</f>
        <v>0</v>
      </c>
      <c r="F29" s="333" t="n">
        <f aca="false">Projects!$C$31+Projects!$D$31-1</f>
        <v>70</v>
      </c>
      <c r="G29" s="334" t="n">
        <f aca="false">EDATE(DATE(2026,4,1),F29-1)</f>
        <v>48214</v>
      </c>
    </row>
    <row r="30" customFormat="false" ht="15" hidden="false" customHeight="true" outlineLevel="0" collapsed="false">
      <c r="A30" s="175" t="s">
        <v>35</v>
      </c>
      <c r="B30" s="176" t="n">
        <v>0</v>
      </c>
      <c r="C30" s="332" t="n">
        <f aca="false">IF(Projects!$G$32="Yes",Projects!$B$32*(Assumptions!$B$10+Assumptions!$B$11+Assumptions!$B$12),0)</f>
        <v>0</v>
      </c>
      <c r="D30" s="332" t="n">
        <f aca="false">C30*0.05</f>
        <v>0</v>
      </c>
      <c r="E30" s="332" t="n">
        <f aca="false">B30+D30</f>
        <v>0</v>
      </c>
      <c r="F30" s="333" t="n">
        <f aca="false">Projects!$C$32+Projects!$D$32-1</f>
        <v>72</v>
      </c>
      <c r="G30" s="334" t="n">
        <f aca="false">EDATE(DATE(2026,4,1),F30-1)</f>
        <v>48274</v>
      </c>
    </row>
    <row r="31" customFormat="false" ht="15" hidden="false" customHeight="true" outlineLevel="0" collapsed="false">
      <c r="A31" s="175" t="s">
        <v>36</v>
      </c>
      <c r="B31" s="176" t="n">
        <v>0</v>
      </c>
      <c r="C31" s="332" t="n">
        <f aca="false">IF(Projects!$G$33="Yes",Projects!$B$33*(Assumptions!$B$10+Assumptions!$B$11+Assumptions!$B$12),0)</f>
        <v>0</v>
      </c>
      <c r="D31" s="332" t="n">
        <f aca="false">C31*0.05</f>
        <v>0</v>
      </c>
      <c r="E31" s="332" t="n">
        <f aca="false">B31+D31</f>
        <v>0</v>
      </c>
      <c r="F31" s="333" t="n">
        <f aca="false">Projects!$C$33+Projects!$D$33-1</f>
        <v>74</v>
      </c>
      <c r="G31" s="334" t="n">
        <f aca="false">EDATE(DATE(2026,4,1),F31-1)</f>
        <v>48335</v>
      </c>
    </row>
    <row r="32" customFormat="false" ht="15" hidden="false" customHeight="true" outlineLevel="0" collapsed="false">
      <c r="A32" s="175" t="s">
        <v>37</v>
      </c>
      <c r="B32" s="176" t="n">
        <v>0</v>
      </c>
      <c r="C32" s="332" t="n">
        <f aca="false">IF(Projects!$G$34="Yes",Projects!$B$34*(Assumptions!$B$10+Assumptions!$B$11+Assumptions!$B$12),0)</f>
        <v>0</v>
      </c>
      <c r="D32" s="332" t="n">
        <f aca="false">C32*0.05</f>
        <v>0</v>
      </c>
      <c r="E32" s="332" t="n">
        <f aca="false">B32+D32</f>
        <v>0</v>
      </c>
      <c r="F32" s="333" t="n">
        <f aca="false">Projects!$C$34+Projects!$D$34-1</f>
        <v>76</v>
      </c>
      <c r="G32" s="334" t="n">
        <f aca="false">EDATE(DATE(2026,4,1),F32-1)</f>
        <v>48396</v>
      </c>
    </row>
    <row r="33" customFormat="false" ht="15" hidden="false" customHeight="true" outlineLevel="0" collapsed="false">
      <c r="A33" s="175" t="s">
        <v>38</v>
      </c>
      <c r="B33" s="176" t="n">
        <v>0</v>
      </c>
      <c r="C33" s="332" t="n">
        <f aca="false">IF(Projects!$G$35="Yes",Projects!$B$35*(Assumptions!$B$10+Assumptions!$B$11+Assumptions!$B$12),0)</f>
        <v>0</v>
      </c>
      <c r="D33" s="332" t="n">
        <f aca="false">C33*0.05</f>
        <v>0</v>
      </c>
      <c r="E33" s="332" t="n">
        <f aca="false">B33+D33</f>
        <v>0</v>
      </c>
      <c r="F33" s="333" t="n">
        <f aca="false">Projects!$C$35+Projects!$D$35-1</f>
        <v>78</v>
      </c>
      <c r="G33" s="334" t="n">
        <f aca="false">EDATE(DATE(2026,4,1),F33-1)</f>
        <v>48458</v>
      </c>
    </row>
    <row r="34" customFormat="false" ht="15" hidden="false" customHeight="true" outlineLevel="0" collapsed="false">
      <c r="A34" s="175" t="s">
        <v>39</v>
      </c>
      <c r="B34" s="176" t="n">
        <v>0</v>
      </c>
      <c r="C34" s="332" t="n">
        <f aca="false">IF(Projects!$G$36="Yes",Projects!$B$36*(Assumptions!$B$10+Assumptions!$B$11+Assumptions!$B$12),0)</f>
        <v>0</v>
      </c>
      <c r="D34" s="332" t="n">
        <f aca="false">C34*0.05</f>
        <v>0</v>
      </c>
      <c r="E34" s="332" t="n">
        <f aca="false">B34+D34</f>
        <v>0</v>
      </c>
      <c r="F34" s="333" t="n">
        <f aca="false">Projects!$C$36+Projects!$D$36-1</f>
        <v>80</v>
      </c>
      <c r="G34" s="334" t="n">
        <f aca="false">EDATE(DATE(2026,4,1),F34-1)</f>
        <v>48519</v>
      </c>
    </row>
    <row r="35" customFormat="false" ht="15" hidden="false" customHeight="true" outlineLevel="0" collapsed="false">
      <c r="A35" s="175" t="s">
        <v>40</v>
      </c>
      <c r="B35" s="176" t="n">
        <v>0</v>
      </c>
      <c r="C35" s="332" t="n">
        <f aca="false">IF(Projects!$G$37="Yes",Projects!$B$37*(Assumptions!$B$10+Assumptions!$B$11+Assumptions!$B$12),0)</f>
        <v>0</v>
      </c>
      <c r="D35" s="332" t="n">
        <f aca="false">C35*0.05</f>
        <v>0</v>
      </c>
      <c r="E35" s="332" t="n">
        <f aca="false">B35+D35</f>
        <v>0</v>
      </c>
      <c r="F35" s="333" t="n">
        <f aca="false">Projects!$C$37+Projects!$D$37-1</f>
        <v>82</v>
      </c>
      <c r="G35" s="334" t="n">
        <f aca="false">EDATE(DATE(2026,4,1),F35-1)</f>
        <v>48580</v>
      </c>
    </row>
    <row r="36" customFormat="false" ht="15" hidden="false" customHeight="true" outlineLevel="0" collapsed="false">
      <c r="A36" s="175" t="s">
        <v>41</v>
      </c>
      <c r="B36" s="176" t="n">
        <v>0</v>
      </c>
      <c r="C36" s="332" t="n">
        <f aca="false">IF(Projects!$G$38="Yes",Projects!$B$38*(Assumptions!$B$10+Assumptions!$B$11+Assumptions!$B$12),0)</f>
        <v>0</v>
      </c>
      <c r="D36" s="332" t="n">
        <f aca="false">C36*0.05</f>
        <v>0</v>
      </c>
      <c r="E36" s="332" t="n">
        <f aca="false">B36+D36</f>
        <v>0</v>
      </c>
      <c r="F36" s="333" t="n">
        <f aca="false">Projects!$C$38+Projects!$D$38-1</f>
        <v>84</v>
      </c>
      <c r="G36" s="334" t="n">
        <f aca="false">EDATE(DATE(2026,4,1),F36-1)</f>
        <v>48639</v>
      </c>
    </row>
    <row r="37" customFormat="false" ht="15" hidden="false" customHeight="true" outlineLevel="0" collapsed="false">
      <c r="A37" s="175" t="s">
        <v>42</v>
      </c>
      <c r="B37" s="176" t="n">
        <v>0</v>
      </c>
      <c r="C37" s="332" t="n">
        <f aca="false">IF(Projects!$G$39="Yes",Projects!$B$39*(Assumptions!$B$10+Assumptions!$B$11+Assumptions!$B$12),0)</f>
        <v>0</v>
      </c>
      <c r="D37" s="332" t="n">
        <f aca="false">C37*0.05</f>
        <v>0</v>
      </c>
      <c r="E37" s="332" t="n">
        <f aca="false">B37+D37</f>
        <v>0</v>
      </c>
      <c r="F37" s="333" t="n">
        <f aca="false">Projects!$C$39+Projects!$D$39-1</f>
        <v>86</v>
      </c>
      <c r="G37" s="334" t="n">
        <f aca="false">EDATE(DATE(2026,4,1),F37-1)</f>
        <v>48700</v>
      </c>
    </row>
    <row r="38" customFormat="false" ht="15" hidden="false" customHeight="true" outlineLevel="0" collapsed="false">
      <c r="A38" s="175" t="s">
        <v>43</v>
      </c>
      <c r="B38" s="176" t="n">
        <v>0</v>
      </c>
      <c r="C38" s="332" t="n">
        <f aca="false">IF(Projects!$G$40="Yes",Projects!$B$40*(Assumptions!$B$10+Assumptions!$B$11+Assumptions!$B$12),0)</f>
        <v>0</v>
      </c>
      <c r="D38" s="332" t="n">
        <f aca="false">C38*0.05</f>
        <v>0</v>
      </c>
      <c r="E38" s="332" t="n">
        <f aca="false">B38+D38</f>
        <v>0</v>
      </c>
      <c r="F38" s="333" t="n">
        <f aca="false">Projects!$C$40+Projects!$D$40-1</f>
        <v>88</v>
      </c>
      <c r="G38" s="334" t="n">
        <f aca="false">EDATE(DATE(2026,4,1),F38-1)</f>
        <v>48761</v>
      </c>
    </row>
    <row r="39" customFormat="false" ht="15" hidden="false" customHeight="true" outlineLevel="0" collapsed="false">
      <c r="A39" s="175" t="s">
        <v>44</v>
      </c>
      <c r="B39" s="176" t="n">
        <v>0</v>
      </c>
      <c r="C39" s="332" t="n">
        <f aca="false">IF(Projects!$G$41="Yes",Projects!$B$41*(Assumptions!$B$10+Assumptions!$B$11+Assumptions!$B$12),0)</f>
        <v>0</v>
      </c>
      <c r="D39" s="332" t="n">
        <f aca="false">C39*0.05</f>
        <v>0</v>
      </c>
      <c r="E39" s="332" t="n">
        <f aca="false">B39+D39</f>
        <v>0</v>
      </c>
      <c r="F39" s="333" t="n">
        <f aca="false">Projects!$C$41+Projects!$D$41-1</f>
        <v>90</v>
      </c>
      <c r="G39" s="334" t="n">
        <f aca="false">EDATE(DATE(2026,4,1),F39-1)</f>
        <v>48823</v>
      </c>
    </row>
    <row r="40" customFormat="false" ht="15" hidden="false" customHeight="true" outlineLevel="0" collapsed="false">
      <c r="A40" s="175" t="s">
        <v>45</v>
      </c>
      <c r="B40" s="176" t="n">
        <v>0</v>
      </c>
      <c r="C40" s="332" t="n">
        <f aca="false">IF(Projects!$G$42="Yes",Projects!$B$42*(Assumptions!$B$10+Assumptions!$B$11+Assumptions!$B$12),0)</f>
        <v>0</v>
      </c>
      <c r="D40" s="332" t="n">
        <f aca="false">C40*0.05</f>
        <v>0</v>
      </c>
      <c r="E40" s="332" t="n">
        <f aca="false">B40+D40</f>
        <v>0</v>
      </c>
      <c r="F40" s="333" t="n">
        <f aca="false">Projects!$C$42+Projects!$D$42-1</f>
        <v>92</v>
      </c>
      <c r="G40" s="334" t="n">
        <f aca="false">EDATE(DATE(2026,4,1),F40-1)</f>
        <v>48884</v>
      </c>
    </row>
    <row r="41" customFormat="false" ht="15" hidden="false" customHeight="true" outlineLevel="0" collapsed="false">
      <c r="A41" s="175" t="s">
        <v>46</v>
      </c>
      <c r="B41" s="176" t="n">
        <v>0</v>
      </c>
      <c r="C41" s="332" t="n">
        <f aca="false">IF(Projects!$G$43="Yes",Projects!$B$43*(Assumptions!$B$10+Assumptions!$B$11+Assumptions!$B$12),0)</f>
        <v>0</v>
      </c>
      <c r="D41" s="332" t="n">
        <f aca="false">C41*0.05</f>
        <v>0</v>
      </c>
      <c r="E41" s="332" t="n">
        <f aca="false">B41+D41</f>
        <v>0</v>
      </c>
      <c r="F41" s="333" t="n">
        <f aca="false">Projects!$C$43+Projects!$D$43-1</f>
        <v>94</v>
      </c>
      <c r="G41" s="334" t="n">
        <f aca="false">EDATE(DATE(2026,4,1),F41-1)</f>
        <v>48945</v>
      </c>
    </row>
    <row r="42" customFormat="false" ht="15" hidden="false" customHeight="true" outlineLevel="0" collapsed="false">
      <c r="A42" s="175" t="s">
        <v>47</v>
      </c>
      <c r="B42" s="176" t="n">
        <v>0</v>
      </c>
      <c r="C42" s="332" t="n">
        <f aca="false">IF(Projects!$G$44="Yes",Projects!$B$44*(Assumptions!$B$10+Assumptions!$B$11+Assumptions!$B$12),0)</f>
        <v>0</v>
      </c>
      <c r="D42" s="332" t="n">
        <f aca="false">C42*0.05</f>
        <v>0</v>
      </c>
      <c r="E42" s="332" t="n">
        <f aca="false">B42+D42</f>
        <v>0</v>
      </c>
      <c r="F42" s="333" t="n">
        <f aca="false">Projects!$C$44+Projects!$D$44-1</f>
        <v>96</v>
      </c>
      <c r="G42" s="334" t="n">
        <f aca="false">EDATE(DATE(2026,4,1),F42-1)</f>
        <v>49004</v>
      </c>
    </row>
    <row r="43" customFormat="false" ht="15" hidden="false" customHeight="true" outlineLevel="0" collapsed="false">
      <c r="A43" s="175" t="s">
        <v>48</v>
      </c>
      <c r="B43" s="176" t="n">
        <v>0</v>
      </c>
      <c r="C43" s="332" t="n">
        <f aca="false">IF(Projects!$G$45="Yes",Projects!$B$45*(Assumptions!$B$10+Assumptions!$B$11+Assumptions!$B$12),0)</f>
        <v>0</v>
      </c>
      <c r="D43" s="332" t="n">
        <f aca="false">C43*0.05</f>
        <v>0</v>
      </c>
      <c r="E43" s="332" t="n">
        <f aca="false">B43+D43</f>
        <v>0</v>
      </c>
      <c r="F43" s="333" t="n">
        <f aca="false">Projects!$C$45+Projects!$D$45-1</f>
        <v>98</v>
      </c>
      <c r="G43" s="334" t="n">
        <f aca="false">EDATE(DATE(2026,4,1),F43-1)</f>
        <v>49065</v>
      </c>
    </row>
    <row r="44" customFormat="false" ht="15" hidden="false" customHeight="true" outlineLevel="0" collapsed="false">
      <c r="A44" s="175" t="s">
        <v>49</v>
      </c>
      <c r="B44" s="176" t="n">
        <v>0</v>
      </c>
      <c r="C44" s="332" t="n">
        <f aca="false">IF(Projects!$G$46="Yes",Projects!$B$46*(Assumptions!$B$10+Assumptions!$B$11+Assumptions!$B$12),0)</f>
        <v>0</v>
      </c>
      <c r="D44" s="332" t="n">
        <f aca="false">C44*0.05</f>
        <v>0</v>
      </c>
      <c r="E44" s="332" t="n">
        <f aca="false">B44+D44</f>
        <v>0</v>
      </c>
      <c r="F44" s="333" t="n">
        <f aca="false">Projects!$C$46+Projects!$D$46-1</f>
        <v>100</v>
      </c>
      <c r="G44" s="334"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4218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1118</v>
      </c>
      <c r="N1" s="1" t="s">
        <v>1119</v>
      </c>
      <c r="O1" s="336" t="n">
        <v>1</v>
      </c>
    </row>
    <row r="2" customFormat="false" ht="13.5" hidden="false" customHeight="true" outlineLevel="0" collapsed="false">
      <c r="A2" s="337" t="s">
        <v>1120</v>
      </c>
      <c r="N2" s="1" t="s">
        <v>1121</v>
      </c>
    </row>
    <row r="3" customFormat="false" ht="57" hidden="false" customHeight="true" outlineLevel="0" collapsed="false">
      <c r="A3" s="173" t="s">
        <v>1122</v>
      </c>
      <c r="B3" s="173" t="s">
        <v>465</v>
      </c>
      <c r="C3" s="173" t="s">
        <v>1123</v>
      </c>
      <c r="D3" s="173" t="s">
        <v>1124</v>
      </c>
      <c r="E3" s="173" t="s">
        <v>1125</v>
      </c>
      <c r="F3" s="173" t="s">
        <v>1126</v>
      </c>
      <c r="G3" s="173" t="s">
        <v>1127</v>
      </c>
      <c r="H3" s="173" t="s">
        <v>626</v>
      </c>
      <c r="I3" s="173" t="s">
        <v>1128</v>
      </c>
      <c r="J3" s="173" t="s">
        <v>1129</v>
      </c>
      <c r="K3" s="173" t="s">
        <v>1130</v>
      </c>
      <c r="L3" s="173" t="s">
        <v>1131</v>
      </c>
    </row>
    <row r="4" customFormat="false" ht="13.5" hidden="false" customHeight="true" outlineLevel="0" collapsed="false">
      <c r="A4" s="215" t="n">
        <v>13</v>
      </c>
      <c r="B4" s="213" t="s">
        <v>7</v>
      </c>
      <c r="C4" s="213" t="s">
        <v>1132</v>
      </c>
      <c r="D4" s="215" t="n">
        <v>0</v>
      </c>
      <c r="E4" s="215" t="n">
        <v>1</v>
      </c>
      <c r="F4" s="338" t="n">
        <v>150000</v>
      </c>
      <c r="G4" s="215" t="n">
        <v>9</v>
      </c>
      <c r="H4" s="213" t="s">
        <v>1133</v>
      </c>
      <c r="I4" s="215" t="n">
        <f aca="false">IF(OR($D4=1,$E4=1),SUM(INDEX(Model!$J$13:$DE$56,$A4-12,0))+SUM(INDEX(Model!$J$60:$DE$103,$A4-12,0)),0)</f>
        <v>5373.77120754728</v>
      </c>
      <c r="J4" s="338" t="n">
        <v>142810</v>
      </c>
      <c r="K4" s="215" t="n">
        <f aca="false">IF(OR($D4=1,$E4=1),J4+IF(AND($D4=1,$O$1=1),0,I4),0)</f>
        <v>148183.771207547</v>
      </c>
      <c r="L4" s="339" t="n">
        <v>0.5</v>
      </c>
    </row>
    <row r="5" customFormat="false" ht="13.5" hidden="false" customHeight="true" outlineLevel="0" collapsed="false">
      <c r="A5" s="340" t="n">
        <v>14</v>
      </c>
      <c r="B5" s="341" t="s">
        <v>8</v>
      </c>
      <c r="C5" s="341" t="s">
        <v>1132</v>
      </c>
      <c r="D5" s="340" t="n">
        <v>0</v>
      </c>
      <c r="E5" s="340" t="n">
        <v>1</v>
      </c>
      <c r="F5" s="342" t="n">
        <v>358268</v>
      </c>
      <c r="G5" s="340" t="n">
        <v>19</v>
      </c>
      <c r="H5" s="341" t="s">
        <v>1133</v>
      </c>
      <c r="I5" s="340" t="n">
        <f aca="false">IF(OR($D5=1,$E5=1),SUM(INDEX(Model!$J$13:$DE$56,$A5-12,0))+SUM(INDEX(Model!$J$60:$DE$103,$A5-12,0)),0)</f>
        <v>-332620.069999998</v>
      </c>
      <c r="J5" s="342" t="n">
        <v>133665</v>
      </c>
      <c r="K5" s="340" t="n">
        <f aca="false">IF(OR($D5=1,$E5=1),J5+IF(AND($D5=1,$O$1=1),0,I5),0)</f>
        <v>-198955.069999998</v>
      </c>
      <c r="L5" s="343" t="n">
        <v>0.5</v>
      </c>
    </row>
    <row r="6" customFormat="false" ht="13.5" hidden="false" customHeight="true" outlineLevel="0" collapsed="false">
      <c r="A6" s="215" t="n">
        <v>15</v>
      </c>
      <c r="B6" s="213" t="s">
        <v>9</v>
      </c>
      <c r="C6" s="213" t="s">
        <v>1134</v>
      </c>
      <c r="D6" s="215" t="n">
        <v>1</v>
      </c>
      <c r="E6" s="215" t="n">
        <v>0</v>
      </c>
      <c r="F6" s="338" t="n">
        <v>0</v>
      </c>
      <c r="G6" s="344" t="n">
        <f aca="false">Retention!$F$4</f>
        <v>17</v>
      </c>
      <c r="H6" s="1" t="s">
        <v>1135</v>
      </c>
      <c r="I6" s="215" t="n">
        <f aca="false">IF(OR($D6=1,$E6=1),SUM(INDEX(Model!$J$13:$DE$56,$A6-12,0))+SUM(INDEX(Model!$J$60:$DE$103,$A6-12,0)),0)</f>
        <v>151039.86</v>
      </c>
      <c r="J6" s="338" t="n">
        <f aca="false">92186-100503</f>
        <v>-8317</v>
      </c>
      <c r="K6" s="215" t="n">
        <f aca="false">IF(OR($D6=1,$E6=1),J6+IF(AND($D6=1,$O$1=1),0,I6),0)</f>
        <v>-8317</v>
      </c>
      <c r="L6" s="339" t="n">
        <v>0</v>
      </c>
    </row>
    <row r="7" customFormat="false" ht="13.5" hidden="false" customHeight="true" outlineLevel="0" collapsed="false">
      <c r="A7" s="340" t="n">
        <v>16</v>
      </c>
      <c r="B7" s="341" t="s">
        <v>10</v>
      </c>
      <c r="C7" s="341" t="s">
        <v>1134</v>
      </c>
      <c r="D7" s="340" t="n">
        <v>1</v>
      </c>
      <c r="E7" s="340" t="n">
        <v>0</v>
      </c>
      <c r="F7" s="342" t="n">
        <v>0</v>
      </c>
      <c r="G7" s="345" t="n">
        <f aca="false">Retention!$F$5</f>
        <v>19</v>
      </c>
      <c r="H7" s="1" t="s">
        <v>1135</v>
      </c>
      <c r="I7" s="340" t="n">
        <f aca="false">IF(OR($D7=1,$E7=1),SUM(INDEX(Model!$J$13:$DE$56,$A7-12,0))+SUM(INDEX(Model!$J$60:$DE$103,$A7-12,0)),0)</f>
        <v>52497.3800000008</v>
      </c>
      <c r="J7" s="342" t="n">
        <f aca="false">107920-116123</f>
        <v>-8203</v>
      </c>
      <c r="K7" s="340" t="n">
        <f aca="false">IF(OR($D7=1,$E7=1),J7+IF(AND($D7=1,$O$1=1),0,I7),0)</f>
        <v>-8203</v>
      </c>
      <c r="L7" s="343" t="n">
        <v>0</v>
      </c>
    </row>
    <row r="8" customFormat="false" ht="13.5" hidden="false" customHeight="true" outlineLevel="0" collapsed="false">
      <c r="A8" s="215" t="n">
        <v>17</v>
      </c>
      <c r="B8" s="213" t="s">
        <v>11</v>
      </c>
      <c r="C8" s="213" t="s">
        <v>1132</v>
      </c>
      <c r="D8" s="215" t="n">
        <v>0</v>
      </c>
      <c r="E8" s="215" t="n">
        <v>1</v>
      </c>
      <c r="F8" s="338" t="n">
        <v>0</v>
      </c>
      <c r="G8" s="344" t="n">
        <f aca="false">Retention!$F$6</f>
        <v>15</v>
      </c>
      <c r="H8" s="213" t="s">
        <v>1133</v>
      </c>
      <c r="I8" s="215" t="n">
        <f aca="false">IF(OR($D8=1,$E8=1),SUM(INDEX(Model!$J$13:$DE$56,$A8-12,0))+SUM(INDEX(Model!$J$60:$DE$103,$A8-12,0)),0)</f>
        <v>0</v>
      </c>
      <c r="J8" s="338" t="n">
        <v>3381</v>
      </c>
      <c r="K8" s="215" t="n">
        <f aca="false">IF(OR($D8=1,$E8=1),J8+IF(AND($D8=1,$O$1=1),0,I8),0)</f>
        <v>3381</v>
      </c>
      <c r="L8" s="339" t="n">
        <v>0.5</v>
      </c>
    </row>
    <row r="9" customFormat="false" ht="13.5" hidden="false" customHeight="true" outlineLevel="0" collapsed="false">
      <c r="A9" s="340" t="n">
        <v>18</v>
      </c>
      <c r="B9" s="341" t="s">
        <v>12</v>
      </c>
      <c r="C9" s="341" t="s">
        <v>1134</v>
      </c>
      <c r="D9" s="340" t="n">
        <v>1</v>
      </c>
      <c r="E9" s="340" t="n">
        <v>0</v>
      </c>
      <c r="F9" s="342" t="n">
        <v>0</v>
      </c>
      <c r="G9" s="345" t="n">
        <f aca="false">Retention!$F$7</f>
        <v>36</v>
      </c>
      <c r="H9" s="1" t="s">
        <v>1135</v>
      </c>
      <c r="I9" s="340" t="n">
        <f aca="false">IF(OR($D9=1,$E9=1),SUM(INDEX(Model!$J$13:$DE$56,$A9-12,0))+SUM(INDEX(Model!$J$60:$DE$103,$A9-12,0)),0)</f>
        <v>0</v>
      </c>
      <c r="J9" s="342" t="n">
        <f aca="false">514466.85-525378</f>
        <v>-10911.15</v>
      </c>
      <c r="K9" s="340" t="n">
        <f aca="false">IF(OR($D9=1,$E9=1),J9+IF(AND($D9=1,$O$1=1),0,I9),0)</f>
        <v>-10911.15</v>
      </c>
      <c r="L9" s="343" t="n">
        <v>0</v>
      </c>
    </row>
    <row r="10" customFormat="false" ht="13.5" hidden="false" customHeight="true" outlineLevel="0" collapsed="false">
      <c r="A10" s="215" t="n">
        <v>19</v>
      </c>
      <c r="B10" s="213" t="s">
        <v>13</v>
      </c>
      <c r="C10" s="213" t="s">
        <v>1134</v>
      </c>
      <c r="D10" s="215" t="n">
        <v>1</v>
      </c>
      <c r="E10" s="215" t="n">
        <v>0</v>
      </c>
      <c r="F10" s="338" t="n">
        <v>0</v>
      </c>
      <c r="G10" s="344" t="n">
        <f aca="false">Retention!$F$8</f>
        <v>24</v>
      </c>
      <c r="H10" s="1" t="s">
        <v>1135</v>
      </c>
      <c r="I10" s="215" t="n">
        <f aca="false">IF(OR($D10=1,$E10=1),SUM(INDEX(Model!$J$13:$DE$56,$A10-12,0))+SUM(INDEX(Model!$J$60:$DE$103,$A10-12,0)),0)</f>
        <v>0</v>
      </c>
      <c r="J10" s="338" t="n">
        <f aca="false">96942.25-96992.25</f>
        <v>-50</v>
      </c>
      <c r="K10" s="215" t="n">
        <f aca="false">IF(OR($D10=1,$E10=1),J10+IF(AND($D10=1,$O$1=1),0,I10),0)</f>
        <v>-50</v>
      </c>
      <c r="L10" s="339" t="n">
        <v>0</v>
      </c>
    </row>
    <row r="11" customFormat="false" ht="13.5" hidden="false" customHeight="true" outlineLevel="0" collapsed="false">
      <c r="A11" s="340" t="n">
        <v>20</v>
      </c>
      <c r="B11" s="341" t="s">
        <v>14</v>
      </c>
      <c r="C11" s="341" t="s">
        <v>1134</v>
      </c>
      <c r="D11" s="340" t="n">
        <v>1</v>
      </c>
      <c r="E11" s="340" t="n">
        <v>0</v>
      </c>
      <c r="F11" s="342" t="n">
        <v>0</v>
      </c>
      <c r="G11" s="345" t="n">
        <f aca="false">Retention!$F$9</f>
        <v>23</v>
      </c>
      <c r="H11" s="1" t="s">
        <v>1135</v>
      </c>
      <c r="I11" s="340" t="n">
        <f aca="false">IF(OR($D11=1,$E11=1),SUM(INDEX(Model!$J$13:$DE$56,$A11-12,0))+SUM(INDEX(Model!$J$60:$DE$103,$A11-12,0)),0)</f>
        <v>0</v>
      </c>
      <c r="J11" s="342" t="n">
        <f aca="false">104889.4-107911</f>
        <v>-3021.60000000001</v>
      </c>
      <c r="K11" s="340" t="n">
        <f aca="false">IF(OR($D11=1,$E11=1),J11+IF(AND($D11=1,$O$1=1),0,I11),0)</f>
        <v>-3021.60000000001</v>
      </c>
      <c r="L11" s="343" t="n">
        <v>0</v>
      </c>
    </row>
    <row r="12" customFormat="false" ht="13.5" hidden="false" customHeight="true" outlineLevel="0" collapsed="false">
      <c r="A12" s="215" t="n">
        <v>21</v>
      </c>
      <c r="B12" s="213" t="s">
        <v>15</v>
      </c>
      <c r="C12" s="213" t="s">
        <v>1134</v>
      </c>
      <c r="D12" s="215" t="n">
        <v>1</v>
      </c>
      <c r="E12" s="215" t="n">
        <v>0</v>
      </c>
      <c r="F12" s="338" t="n">
        <v>0</v>
      </c>
      <c r="G12" s="344" t="n">
        <f aca="false">Retention!$F$10</f>
        <v>32</v>
      </c>
      <c r="H12" s="1" t="s">
        <v>1135</v>
      </c>
      <c r="I12" s="215" t="n">
        <f aca="false">IF(OR($D12=1,$E12=1),SUM(INDEX(Model!$J$13:$DE$56,$A12-12,0))+SUM(INDEX(Model!$J$60:$DE$103,$A12-12,0)),0)</f>
        <v>0</v>
      </c>
      <c r="J12" s="338" t="n">
        <v>0</v>
      </c>
      <c r="K12" s="215" t="n">
        <f aca="false">IF(OR($D12=1,$E12=1),J12+IF(AND($D12=1,$O$1=1),0,I12),0)</f>
        <v>0</v>
      </c>
      <c r="L12" s="339" t="n">
        <v>0</v>
      </c>
    </row>
    <row r="13" customFormat="false" ht="13.5" hidden="false" customHeight="true" outlineLevel="0" collapsed="false">
      <c r="A13" s="340" t="n">
        <v>22</v>
      </c>
      <c r="B13" s="341" t="s">
        <v>16</v>
      </c>
      <c r="C13" s="341" t="s">
        <v>1132</v>
      </c>
      <c r="D13" s="340" t="n">
        <v>0</v>
      </c>
      <c r="E13" s="340" t="n">
        <v>1</v>
      </c>
      <c r="F13" s="342" t="n">
        <v>0</v>
      </c>
      <c r="G13" s="345" t="n">
        <f aca="false">Retention!$F$11</f>
        <v>29</v>
      </c>
      <c r="H13" s="341" t="s">
        <v>1133</v>
      </c>
      <c r="I13" s="340" t="n">
        <f aca="false">IF(OR($D13=1,$E13=1),SUM(INDEX(Model!$J$13:$DE$56,$A13-12,0))+SUM(INDEX(Model!$J$60:$DE$103,$A13-12,0)),0)</f>
        <v>0</v>
      </c>
      <c r="J13" s="342" t="n">
        <v>0</v>
      </c>
      <c r="K13" s="340" t="n">
        <f aca="false">IF(OR($D13=1,$E13=1),J13+IF(AND($D13=1,$O$1=1),0,I13),0)</f>
        <v>0</v>
      </c>
      <c r="L13" s="343" t="n">
        <v>0.5</v>
      </c>
    </row>
    <row r="14" customFormat="false" ht="13.5" hidden="false" customHeight="true" outlineLevel="0" collapsed="false">
      <c r="A14" s="215" t="n">
        <v>23</v>
      </c>
      <c r="B14" s="213" t="s">
        <v>17</v>
      </c>
      <c r="C14" s="213" t="s">
        <v>1132</v>
      </c>
      <c r="D14" s="215" t="n">
        <v>0</v>
      </c>
      <c r="E14" s="215" t="n">
        <v>1</v>
      </c>
      <c r="F14" s="338" t="n">
        <v>0</v>
      </c>
      <c r="G14" s="344" t="n">
        <f aca="false">Retention!$F$12</f>
        <v>28</v>
      </c>
      <c r="H14" s="213" t="s">
        <v>1133</v>
      </c>
      <c r="I14" s="215" t="n">
        <f aca="false">IF(OR($D14=1,$E14=1),SUM(INDEX(Model!$J$13:$DE$56,$A14-12,0))+SUM(INDEX(Model!$J$60:$DE$103,$A14-12,0)),0)</f>
        <v>0</v>
      </c>
      <c r="J14" s="338" t="n">
        <v>0</v>
      </c>
      <c r="K14" s="215" t="n">
        <f aca="false">IF(OR($D14=1,$E14=1),J14+IF(AND($D14=1,$O$1=1),0,I14),0)</f>
        <v>0</v>
      </c>
      <c r="L14" s="339" t="n">
        <v>0.5</v>
      </c>
    </row>
    <row r="15" customFormat="false" ht="13.5" hidden="false" customHeight="true" outlineLevel="0" collapsed="false">
      <c r="A15" s="340" t="n">
        <v>24</v>
      </c>
      <c r="B15" s="341" t="s">
        <v>18</v>
      </c>
      <c r="C15" s="341" t="s">
        <v>1134</v>
      </c>
      <c r="D15" s="340" t="n">
        <v>1</v>
      </c>
      <c r="E15" s="340" t="n">
        <v>0</v>
      </c>
      <c r="F15" s="342" t="n">
        <v>0</v>
      </c>
      <c r="G15" s="345" t="n">
        <f aca="false">Retention!$F$13</f>
        <v>44</v>
      </c>
      <c r="H15" s="1" t="s">
        <v>1135</v>
      </c>
      <c r="I15" s="340" t="n">
        <f aca="false">IF(OR($D15=1,$E15=1),SUM(INDEX(Model!$J$13:$DE$56,$A15-12,0))+SUM(INDEX(Model!$J$60:$DE$103,$A15-12,0)),0)</f>
        <v>0</v>
      </c>
      <c r="J15" s="342" t="n">
        <v>0</v>
      </c>
      <c r="K15" s="340" t="n">
        <f aca="false">IF(OR($D15=1,$E15=1),J15+IF(AND($D15=1,$O$1=1),0,I15),0)</f>
        <v>0</v>
      </c>
      <c r="L15" s="343" t="n">
        <v>0</v>
      </c>
    </row>
    <row r="16" customFormat="false" ht="13.5" hidden="false" customHeight="true" outlineLevel="0" collapsed="false">
      <c r="A16" s="215" t="n">
        <v>25</v>
      </c>
      <c r="B16" s="213" t="s">
        <v>19</v>
      </c>
      <c r="C16" s="213" t="s">
        <v>1134</v>
      </c>
      <c r="D16" s="215" t="n">
        <v>1</v>
      </c>
      <c r="E16" s="215" t="n">
        <v>0</v>
      </c>
      <c r="F16" s="338" t="n">
        <v>0</v>
      </c>
      <c r="G16" s="344" t="n">
        <f aca="false">Retention!$F$14</f>
        <v>56</v>
      </c>
      <c r="H16" s="1" t="s">
        <v>1135</v>
      </c>
      <c r="I16" s="215" t="n">
        <f aca="false">IF(OR($D16=1,$E16=1),SUM(INDEX(Model!$J$13:$DE$56,$A16-12,0))+SUM(INDEX(Model!$J$60:$DE$103,$A16-12,0)),0)</f>
        <v>0</v>
      </c>
      <c r="J16" s="338" t="n">
        <v>0</v>
      </c>
      <c r="K16" s="215" t="n">
        <f aca="false">IF(OR($D16=1,$E16=1),J16+IF(AND($D16=1,$O$1=1),0,I16),0)</f>
        <v>0</v>
      </c>
      <c r="L16" s="339" t="n">
        <v>0</v>
      </c>
    </row>
    <row r="17" customFormat="false" ht="13.5" hidden="false" customHeight="true" outlineLevel="0" collapsed="false">
      <c r="A17" s="340" t="n">
        <v>26</v>
      </c>
      <c r="B17" s="341" t="s">
        <v>20</v>
      </c>
      <c r="C17" s="341" t="s">
        <v>1134</v>
      </c>
      <c r="D17" s="340" t="n">
        <v>1</v>
      </c>
      <c r="E17" s="340" t="n">
        <v>0</v>
      </c>
      <c r="F17" s="342" t="n">
        <v>0</v>
      </c>
      <c r="G17" s="345" t="n">
        <f aca="false">Retention!$F$15</f>
        <v>36</v>
      </c>
      <c r="H17" s="1" t="s">
        <v>1135</v>
      </c>
      <c r="I17" s="340" t="n">
        <f aca="false">IF(OR($D17=1,$E17=1),SUM(INDEX(Model!$J$13:$DE$56,$A17-12,0))+SUM(INDEX(Model!$J$60:$DE$103,$A17-12,0)),0)</f>
        <v>0</v>
      </c>
      <c r="J17" s="342" t="n">
        <v>0</v>
      </c>
      <c r="K17" s="340" t="n">
        <f aca="false">IF(OR($D17=1,$E17=1),J17+IF(AND($D17=1,$O$1=1),0,I17),0)</f>
        <v>0</v>
      </c>
      <c r="L17" s="343" t="n">
        <v>0</v>
      </c>
    </row>
    <row r="18" customFormat="false" ht="13.5" hidden="false" customHeight="true" outlineLevel="0" collapsed="false">
      <c r="A18" s="215" t="n">
        <v>27</v>
      </c>
      <c r="B18" s="213" t="s">
        <v>21</v>
      </c>
      <c r="C18" s="213" t="s">
        <v>1134</v>
      </c>
      <c r="D18" s="215" t="n">
        <v>1</v>
      </c>
      <c r="E18" s="215" t="n">
        <v>0</v>
      </c>
      <c r="F18" s="338" t="n">
        <v>0</v>
      </c>
      <c r="G18" s="344" t="n">
        <f aca="false">Retention!$F$16</f>
        <v>32</v>
      </c>
      <c r="H18" s="1" t="s">
        <v>1135</v>
      </c>
      <c r="I18" s="215" t="n">
        <f aca="false">IF(OR($D18=1,$E18=1),SUM(INDEX(Model!$J$13:$DE$56,$A18-12,0))+SUM(INDEX(Model!$J$60:$DE$103,$A18-12,0)),0)</f>
        <v>0</v>
      </c>
      <c r="J18" s="338" t="n">
        <v>0</v>
      </c>
      <c r="K18" s="215" t="n">
        <f aca="false">IF(OR($D18=1,$E18=1),J18+IF(AND($D18=1,$O$1=1),0,I18),0)</f>
        <v>0</v>
      </c>
      <c r="L18" s="339" t="n">
        <v>0</v>
      </c>
    </row>
    <row r="19" customFormat="false" ht="13.5" hidden="false" customHeight="true" outlineLevel="0" collapsed="false">
      <c r="A19" s="340" t="n">
        <v>28</v>
      </c>
      <c r="B19" s="341" t="s">
        <v>22</v>
      </c>
      <c r="C19" s="341" t="s">
        <v>1134</v>
      </c>
      <c r="D19" s="340" t="n">
        <v>1</v>
      </c>
      <c r="E19" s="340" t="n">
        <v>0</v>
      </c>
      <c r="F19" s="342" t="n">
        <v>0</v>
      </c>
      <c r="G19" s="345" t="n">
        <f aca="false">Retention!$F$17</f>
        <v>30</v>
      </c>
      <c r="H19" s="1" t="s">
        <v>1135</v>
      </c>
      <c r="I19" s="340" t="n">
        <f aca="false">IF(OR($D19=1,$E19=1),SUM(INDEX(Model!$J$13:$DE$56,$A19-12,0))+SUM(INDEX(Model!$J$60:$DE$103,$A19-12,0)),0)</f>
        <v>0</v>
      </c>
      <c r="J19" s="342" t="n">
        <v>0</v>
      </c>
      <c r="K19" s="340" t="n">
        <f aca="false">IF(OR($D19=1,$E19=1),J19+IF(AND($D19=1,$O$1=1),0,I19),0)</f>
        <v>0</v>
      </c>
      <c r="L19" s="343" t="n">
        <v>0</v>
      </c>
    </row>
    <row r="20" customFormat="false" ht="13.5" hidden="false" customHeight="true" outlineLevel="0" collapsed="false">
      <c r="A20" s="215" t="n">
        <v>29</v>
      </c>
      <c r="B20" s="213" t="s">
        <v>23</v>
      </c>
      <c r="C20" s="213" t="s">
        <v>1132</v>
      </c>
      <c r="D20" s="215" t="n">
        <v>0</v>
      </c>
      <c r="E20" s="215" t="n">
        <v>1</v>
      </c>
      <c r="F20" s="338" t="n">
        <v>0</v>
      </c>
      <c r="G20" s="344" t="n">
        <f aca="false">Retention!$F$18</f>
        <v>43</v>
      </c>
      <c r="H20" s="213" t="s">
        <v>1133</v>
      </c>
      <c r="I20" s="215" t="n">
        <f aca="false">IF(OR($D20=1,$E20=1),SUM(INDEX(Model!$J$13:$DE$56,$A20-12,0))+SUM(INDEX(Model!$J$60:$DE$103,$A20-12,0)),0)</f>
        <v>0</v>
      </c>
      <c r="J20" s="338" t="n">
        <v>0</v>
      </c>
      <c r="K20" s="215" t="n">
        <f aca="false">IF(OR($D20=1,$E20=1),J20+IF(AND($D20=1,$O$1=1),0,I20),0)</f>
        <v>0</v>
      </c>
      <c r="L20" s="339" t="n">
        <v>0.5</v>
      </c>
    </row>
    <row r="21" customFormat="false" ht="13.5" hidden="false" customHeight="true" outlineLevel="0" collapsed="false">
      <c r="A21" s="340" t="n">
        <v>30</v>
      </c>
      <c r="B21" s="341" t="s">
        <v>24</v>
      </c>
      <c r="C21" s="341" t="s">
        <v>1132</v>
      </c>
      <c r="D21" s="340" t="n">
        <v>0</v>
      </c>
      <c r="E21" s="340" t="n">
        <v>1</v>
      </c>
      <c r="F21" s="342" t="n">
        <v>0</v>
      </c>
      <c r="G21" s="345" t="n">
        <f aca="false">Retention!$F$19</f>
        <v>28</v>
      </c>
      <c r="H21" s="341" t="s">
        <v>1133</v>
      </c>
      <c r="I21" s="340" t="n">
        <f aca="false">IF(OR($D21=1,$E21=1),SUM(INDEX(Model!$J$13:$DE$56,$A21-12,0))+SUM(INDEX(Model!$J$60:$DE$103,$A21-12,0)),0)</f>
        <v>0</v>
      </c>
      <c r="J21" s="342" t="n">
        <v>0</v>
      </c>
      <c r="K21" s="340" t="n">
        <f aca="false">IF(OR($D21=1,$E21=1),J21+IF(AND($D21=1,$O$1=1),0,I21),0)</f>
        <v>0</v>
      </c>
      <c r="L21" s="343" t="n">
        <v>0.5</v>
      </c>
    </row>
    <row r="22" customFormat="false" ht="13.5" hidden="false" customHeight="true" outlineLevel="0" collapsed="false">
      <c r="A22" s="215" t="n">
        <v>31</v>
      </c>
      <c r="B22" s="213" t="s">
        <v>25</v>
      </c>
      <c r="C22" s="213" t="s">
        <v>1134</v>
      </c>
      <c r="D22" s="215" t="n">
        <v>1</v>
      </c>
      <c r="E22" s="215" t="n">
        <v>0</v>
      </c>
      <c r="F22" s="338" t="n">
        <v>0</v>
      </c>
      <c r="G22" s="344" t="n">
        <f aca="false">Retention!$F$20</f>
        <v>37</v>
      </c>
      <c r="H22" s="213" t="s">
        <v>1135</v>
      </c>
      <c r="I22" s="215" t="n">
        <f aca="false">IF(OR($D22=1,$E22=1),SUM(INDEX(Model!$J$13:$DE$56,$A22-12,0))+SUM(INDEX(Model!$J$60:$DE$103,$A22-12,0)),0)</f>
        <v>0</v>
      </c>
      <c r="J22" s="338" t="n">
        <v>0</v>
      </c>
      <c r="K22" s="215" t="n">
        <f aca="false">IF(OR($D22=1,$E22=1),J22+IF(AND($D22=1,$O$1=1),0,I22),0)</f>
        <v>0</v>
      </c>
      <c r="L22" s="339" t="n">
        <v>0</v>
      </c>
    </row>
    <row r="23" customFormat="false" ht="13.5" hidden="false" customHeight="true" outlineLevel="0" collapsed="false">
      <c r="A23" s="340" t="n">
        <v>32</v>
      </c>
      <c r="B23" s="341" t="s">
        <v>26</v>
      </c>
      <c r="C23" s="341" t="s">
        <v>1134</v>
      </c>
      <c r="D23" s="340" t="n">
        <v>1</v>
      </c>
      <c r="E23" s="340" t="n">
        <v>0</v>
      </c>
      <c r="F23" s="342" t="n">
        <v>0</v>
      </c>
      <c r="G23" s="345" t="n">
        <f aca="false">Retention!$F$21</f>
        <v>52</v>
      </c>
      <c r="H23" s="341" t="s">
        <v>1135</v>
      </c>
      <c r="I23" s="340" t="n">
        <f aca="false">IF(OR($D23=1,$E23=1),SUM(INDEX(Model!$J$13:$DE$56,$A23-12,0))+SUM(INDEX(Model!$J$60:$DE$103,$A23-12,0)),0)</f>
        <v>0</v>
      </c>
      <c r="J23" s="342" t="n">
        <v>0</v>
      </c>
      <c r="K23" s="340" t="n">
        <f aca="false">IF(OR($D23=1,$E23=1),J23+IF(AND($D23=1,$O$1=1),0,I23),0)</f>
        <v>0</v>
      </c>
      <c r="L23" s="343" t="n">
        <v>0</v>
      </c>
    </row>
    <row r="24" customFormat="false" ht="13.5" hidden="false" customHeight="true" outlineLevel="0" collapsed="false">
      <c r="A24" s="215" t="n">
        <v>33</v>
      </c>
      <c r="B24" s="213" t="s">
        <v>27</v>
      </c>
      <c r="C24" s="213" t="s">
        <v>1134</v>
      </c>
      <c r="D24" s="215" t="n">
        <v>1</v>
      </c>
      <c r="E24" s="215" t="n">
        <v>0</v>
      </c>
      <c r="F24" s="338" t="n">
        <v>0</v>
      </c>
      <c r="G24" s="344" t="n">
        <f aca="false">Retention!$F$22</f>
        <v>55</v>
      </c>
      <c r="H24" s="213" t="s">
        <v>1135</v>
      </c>
      <c r="I24" s="215" t="n">
        <f aca="false">IF(OR($D24=1,$E24=1),SUM(INDEX(Model!$J$13:$DE$56,$A24-12,0))+SUM(INDEX(Model!$J$60:$DE$103,$A24-12,0)),0)</f>
        <v>0</v>
      </c>
      <c r="J24" s="338" t="n">
        <v>0</v>
      </c>
      <c r="K24" s="215" t="n">
        <f aca="false">IF(OR($D24=1,$E24=1),J24+IF(AND($D24=1,$O$1=1),0,I24),0)</f>
        <v>0</v>
      </c>
      <c r="L24" s="339" t="n">
        <v>0</v>
      </c>
    </row>
    <row r="25" customFormat="false" ht="13.5" hidden="false" customHeight="true" outlineLevel="0" collapsed="false">
      <c r="A25" s="340" t="n">
        <v>34</v>
      </c>
      <c r="B25" s="341" t="s">
        <v>28</v>
      </c>
      <c r="C25" s="341" t="s">
        <v>1134</v>
      </c>
      <c r="D25" s="340" t="n">
        <v>1</v>
      </c>
      <c r="E25" s="340" t="n">
        <v>0</v>
      </c>
      <c r="F25" s="342" t="n">
        <v>0</v>
      </c>
      <c r="G25" s="345" t="n">
        <f aca="false">Retention!$F$23</f>
        <v>58</v>
      </c>
      <c r="H25" s="341" t="s">
        <v>1135</v>
      </c>
      <c r="I25" s="340" t="n">
        <f aca="false">IF(OR($D25=1,$E25=1),SUM(INDEX(Model!$J$13:$DE$56,$A25-12,0))+SUM(INDEX(Model!$J$60:$DE$103,$A25-12,0)),0)</f>
        <v>0</v>
      </c>
      <c r="J25" s="342" t="n">
        <v>0</v>
      </c>
      <c r="K25" s="340" t="n">
        <f aca="false">IF(OR($D25=1,$E25=1),J25+IF(AND($D25=1,$O$1=1),0,I25),0)</f>
        <v>0</v>
      </c>
      <c r="L25" s="343" t="n">
        <v>0</v>
      </c>
    </row>
    <row r="26" customFormat="false" ht="13.5" hidden="false" customHeight="true" outlineLevel="0" collapsed="false">
      <c r="A26" s="215" t="n">
        <v>35</v>
      </c>
      <c r="B26" s="213" t="s">
        <v>29</v>
      </c>
      <c r="C26" s="213" t="s">
        <v>1134</v>
      </c>
      <c r="D26" s="215" t="n">
        <v>1</v>
      </c>
      <c r="E26" s="215" t="n">
        <v>0</v>
      </c>
      <c r="F26" s="338" t="n">
        <v>0</v>
      </c>
      <c r="G26" s="344" t="n">
        <f aca="false">Retention!$F$24</f>
        <v>60</v>
      </c>
      <c r="H26" s="213" t="s">
        <v>1135</v>
      </c>
      <c r="I26" s="215" t="n">
        <f aca="false">IF(OR($D26=1,$E26=1),SUM(INDEX(Model!$J$13:$DE$56,$A26-12,0))+SUM(INDEX(Model!$J$60:$DE$103,$A26-12,0)),0)</f>
        <v>0</v>
      </c>
      <c r="J26" s="338" t="n">
        <v>0</v>
      </c>
      <c r="K26" s="215" t="n">
        <f aca="false">IF(OR($D26=1,$E26=1),J26+IF(AND($D26=1,$O$1=1),0,I26),0)</f>
        <v>0</v>
      </c>
      <c r="L26" s="339" t="n">
        <v>0</v>
      </c>
    </row>
    <row r="27" customFormat="false" ht="13.5" hidden="false" customHeight="true" outlineLevel="0" collapsed="false">
      <c r="A27" s="340" t="n">
        <v>36</v>
      </c>
      <c r="B27" s="341" t="s">
        <v>30</v>
      </c>
      <c r="C27" s="341" t="s">
        <v>1134</v>
      </c>
      <c r="D27" s="340" t="n">
        <v>1</v>
      </c>
      <c r="E27" s="340" t="n">
        <v>0</v>
      </c>
      <c r="F27" s="342" t="n">
        <v>0</v>
      </c>
      <c r="G27" s="345" t="n">
        <f aca="false">Retention!$F$25</f>
        <v>62</v>
      </c>
      <c r="H27" s="341" t="s">
        <v>1135</v>
      </c>
      <c r="I27" s="340" t="n">
        <f aca="false">IF(OR($D27=1,$E27=1),SUM(INDEX(Model!$J$13:$DE$56,$A27-12,0))+SUM(INDEX(Model!$J$60:$DE$103,$A27-12,0)),0)</f>
        <v>0</v>
      </c>
      <c r="J27" s="342" t="n">
        <v>0</v>
      </c>
      <c r="K27" s="340" t="n">
        <f aca="false">IF(OR($D27=1,$E27=1),J27+IF(AND($D27=1,$O$1=1),0,I27),0)</f>
        <v>0</v>
      </c>
      <c r="L27" s="343" t="n">
        <v>0</v>
      </c>
    </row>
    <row r="28" customFormat="false" ht="13.5" hidden="false" customHeight="true" outlineLevel="0" collapsed="false">
      <c r="A28" s="215" t="n">
        <v>37</v>
      </c>
      <c r="B28" s="213" t="s">
        <v>31</v>
      </c>
      <c r="C28" s="213" t="s">
        <v>1134</v>
      </c>
      <c r="D28" s="215" t="n">
        <v>1</v>
      </c>
      <c r="E28" s="215" t="n">
        <v>0</v>
      </c>
      <c r="F28" s="338" t="n">
        <v>0</v>
      </c>
      <c r="G28" s="344" t="n">
        <f aca="false">Retention!$F$26</f>
        <v>64</v>
      </c>
      <c r="H28" s="213" t="s">
        <v>1135</v>
      </c>
      <c r="I28" s="215" t="n">
        <f aca="false">IF(OR($D28=1,$E28=1),SUM(INDEX(Model!$J$13:$DE$56,$A28-12,0))+SUM(INDEX(Model!$J$60:$DE$103,$A28-12,0)),0)</f>
        <v>0</v>
      </c>
      <c r="J28" s="338" t="n">
        <v>0</v>
      </c>
      <c r="K28" s="215" t="n">
        <f aca="false">IF(OR($D28=1,$E28=1),J28+IF(AND($D28=1,$O$1=1),0,I28),0)</f>
        <v>0</v>
      </c>
      <c r="L28" s="339" t="n">
        <v>0</v>
      </c>
    </row>
    <row r="29" customFormat="false" ht="13.5" hidden="false" customHeight="true" outlineLevel="0" collapsed="false">
      <c r="A29" s="340" t="n">
        <v>38</v>
      </c>
      <c r="B29" s="341" t="s">
        <v>32</v>
      </c>
      <c r="C29" s="341" t="s">
        <v>1134</v>
      </c>
      <c r="D29" s="340" t="n">
        <v>1</v>
      </c>
      <c r="E29" s="340" t="n">
        <v>0</v>
      </c>
      <c r="F29" s="342" t="n">
        <v>0</v>
      </c>
      <c r="G29" s="345" t="n">
        <f aca="false">Retention!$F$27</f>
        <v>66</v>
      </c>
      <c r="H29" s="341" t="s">
        <v>1135</v>
      </c>
      <c r="I29" s="340" t="n">
        <f aca="false">IF(OR($D29=1,$E29=1),SUM(INDEX(Model!$J$13:$DE$56,$A29-12,0))+SUM(INDEX(Model!$J$60:$DE$103,$A29-12,0)),0)</f>
        <v>0</v>
      </c>
      <c r="J29" s="342" t="n">
        <v>0</v>
      </c>
      <c r="K29" s="340" t="n">
        <f aca="false">IF(OR($D29=1,$E29=1),J29+IF(AND($D29=1,$O$1=1),0,I29),0)</f>
        <v>0</v>
      </c>
      <c r="L29" s="343" t="n">
        <v>0</v>
      </c>
    </row>
    <row r="30" customFormat="false" ht="13.5" hidden="false" customHeight="true" outlineLevel="0" collapsed="false">
      <c r="A30" s="215" t="n">
        <v>39</v>
      </c>
      <c r="B30" s="213" t="s">
        <v>33</v>
      </c>
      <c r="C30" s="213" t="s">
        <v>1134</v>
      </c>
      <c r="D30" s="215" t="n">
        <v>1</v>
      </c>
      <c r="E30" s="215" t="n">
        <v>0</v>
      </c>
      <c r="F30" s="338" t="n">
        <v>0</v>
      </c>
      <c r="G30" s="344" t="n">
        <f aca="false">Retention!$F$28</f>
        <v>68</v>
      </c>
      <c r="H30" s="213" t="s">
        <v>1135</v>
      </c>
      <c r="I30" s="215" t="n">
        <f aca="false">IF(OR($D30=1,$E30=1),SUM(INDEX(Model!$J$13:$DE$56,$A30-12,0))+SUM(INDEX(Model!$J$60:$DE$103,$A30-12,0)),0)</f>
        <v>0</v>
      </c>
      <c r="J30" s="338" t="n">
        <v>0</v>
      </c>
      <c r="K30" s="215" t="n">
        <f aca="false">IF(OR($D30=1,$E30=1),J30+IF(AND($D30=1,$O$1=1),0,I30),0)</f>
        <v>0</v>
      </c>
      <c r="L30" s="339" t="n">
        <v>0</v>
      </c>
    </row>
    <row r="31" customFormat="false" ht="13.5" hidden="false" customHeight="true" outlineLevel="0" collapsed="false">
      <c r="A31" s="340" t="n">
        <v>40</v>
      </c>
      <c r="B31" s="341" t="s">
        <v>34</v>
      </c>
      <c r="C31" s="341" t="s">
        <v>1134</v>
      </c>
      <c r="D31" s="340" t="n">
        <v>1</v>
      </c>
      <c r="E31" s="340" t="n">
        <v>0</v>
      </c>
      <c r="F31" s="342" t="n">
        <v>0</v>
      </c>
      <c r="G31" s="345" t="n">
        <f aca="false">Retention!$F$29</f>
        <v>70</v>
      </c>
      <c r="H31" s="341" t="s">
        <v>1135</v>
      </c>
      <c r="I31" s="340" t="n">
        <f aca="false">IF(OR($D31=1,$E31=1),SUM(INDEX(Model!$J$13:$DE$56,$A31-12,0))+SUM(INDEX(Model!$J$60:$DE$103,$A31-12,0)),0)</f>
        <v>0</v>
      </c>
      <c r="J31" s="342" t="n">
        <v>0</v>
      </c>
      <c r="K31" s="340" t="n">
        <f aca="false">IF(OR($D31=1,$E31=1),J31+IF(AND($D31=1,$O$1=1),0,I31),0)</f>
        <v>0</v>
      </c>
      <c r="L31" s="343" t="n">
        <v>0</v>
      </c>
    </row>
    <row r="32" customFormat="false" ht="13.5" hidden="false" customHeight="true" outlineLevel="0" collapsed="false">
      <c r="A32" s="215" t="n">
        <v>41</v>
      </c>
      <c r="B32" s="213" t="s">
        <v>35</v>
      </c>
      <c r="C32" s="213" t="s">
        <v>1134</v>
      </c>
      <c r="D32" s="215" t="n">
        <v>1</v>
      </c>
      <c r="E32" s="215" t="n">
        <v>0</v>
      </c>
      <c r="F32" s="338" t="n">
        <v>0</v>
      </c>
      <c r="G32" s="344" t="n">
        <f aca="false">Retention!$F$30</f>
        <v>72</v>
      </c>
      <c r="H32" s="213" t="s">
        <v>1135</v>
      </c>
      <c r="I32" s="215" t="n">
        <f aca="false">IF(OR($D32=1,$E32=1),SUM(INDEX(Model!$J$13:$DE$56,$A32-12,0))+SUM(INDEX(Model!$J$60:$DE$103,$A32-12,0)),0)</f>
        <v>0</v>
      </c>
      <c r="J32" s="338" t="n">
        <v>0</v>
      </c>
      <c r="K32" s="215" t="n">
        <f aca="false">IF(OR($D32=1,$E32=1),J32+IF(AND($D32=1,$O$1=1),0,I32),0)</f>
        <v>0</v>
      </c>
      <c r="L32" s="339" t="n">
        <v>0</v>
      </c>
    </row>
    <row r="33" customFormat="false" ht="13.5" hidden="false" customHeight="true" outlineLevel="0" collapsed="false">
      <c r="A33" s="340" t="n">
        <v>42</v>
      </c>
      <c r="B33" s="341" t="s">
        <v>36</v>
      </c>
      <c r="C33" s="341" t="s">
        <v>1134</v>
      </c>
      <c r="D33" s="340" t="n">
        <v>1</v>
      </c>
      <c r="E33" s="340" t="n">
        <v>0</v>
      </c>
      <c r="F33" s="342" t="n">
        <v>0</v>
      </c>
      <c r="G33" s="345" t="n">
        <f aca="false">Retention!$F$31</f>
        <v>74</v>
      </c>
      <c r="H33" s="341" t="s">
        <v>1135</v>
      </c>
      <c r="I33" s="340" t="n">
        <f aca="false">IF(OR($D33=1,$E33=1),SUM(INDEX(Model!$J$13:$DE$56,$A33-12,0))+SUM(INDEX(Model!$J$60:$DE$103,$A33-12,0)),0)</f>
        <v>0</v>
      </c>
      <c r="J33" s="342" t="n">
        <v>0</v>
      </c>
      <c r="K33" s="340" t="n">
        <f aca="false">IF(OR($D33=1,$E33=1),J33+IF(AND($D33=1,$O$1=1),0,I33),0)</f>
        <v>0</v>
      </c>
      <c r="L33" s="343" t="n">
        <v>0</v>
      </c>
    </row>
    <row r="34" customFormat="false" ht="13.5" hidden="false" customHeight="true" outlineLevel="0" collapsed="false">
      <c r="A34" s="215" t="n">
        <v>43</v>
      </c>
      <c r="B34" s="213" t="s">
        <v>37</v>
      </c>
      <c r="C34" s="213" t="s">
        <v>1134</v>
      </c>
      <c r="D34" s="215" t="n">
        <v>1</v>
      </c>
      <c r="E34" s="215" t="n">
        <v>0</v>
      </c>
      <c r="F34" s="338" t="n">
        <v>0</v>
      </c>
      <c r="G34" s="344" t="n">
        <f aca="false">Retention!$F$32</f>
        <v>76</v>
      </c>
      <c r="H34" s="213" t="s">
        <v>1135</v>
      </c>
      <c r="I34" s="215" t="n">
        <f aca="false">IF(OR($D34=1,$E34=1),SUM(INDEX(Model!$J$13:$DE$56,$A34-12,0))+SUM(INDEX(Model!$J$60:$DE$103,$A34-12,0)),0)</f>
        <v>0</v>
      </c>
      <c r="J34" s="338" t="n">
        <v>0</v>
      </c>
      <c r="K34" s="215" t="n">
        <f aca="false">IF(OR($D34=1,$E34=1),J34+IF(AND($D34=1,$O$1=1),0,I34),0)</f>
        <v>0</v>
      </c>
      <c r="L34" s="339" t="n">
        <v>0</v>
      </c>
    </row>
    <row r="35" customFormat="false" ht="13.5" hidden="false" customHeight="true" outlineLevel="0" collapsed="false">
      <c r="A35" s="340" t="n">
        <v>44</v>
      </c>
      <c r="B35" s="341" t="s">
        <v>38</v>
      </c>
      <c r="C35" s="341" t="s">
        <v>1134</v>
      </c>
      <c r="D35" s="340" t="n">
        <v>1</v>
      </c>
      <c r="E35" s="340" t="n">
        <v>0</v>
      </c>
      <c r="F35" s="342" t="n">
        <v>0</v>
      </c>
      <c r="G35" s="345" t="n">
        <f aca="false">Retention!$F$33</f>
        <v>78</v>
      </c>
      <c r="H35" s="341" t="s">
        <v>1135</v>
      </c>
      <c r="I35" s="340" t="n">
        <f aca="false">IF(OR($D35=1,$E35=1),SUM(INDEX(Model!$J$13:$DE$56,$A35-12,0))+SUM(INDEX(Model!$J$60:$DE$103,$A35-12,0)),0)</f>
        <v>0</v>
      </c>
      <c r="J35" s="342" t="n">
        <v>0</v>
      </c>
      <c r="K35" s="340" t="n">
        <f aca="false">IF(OR($D35=1,$E35=1),J35+IF(AND($D35=1,$O$1=1),0,I35),0)</f>
        <v>0</v>
      </c>
      <c r="L35" s="343" t="n">
        <v>0</v>
      </c>
    </row>
    <row r="36" customFormat="false" ht="13.5" hidden="false" customHeight="true" outlineLevel="0" collapsed="false">
      <c r="A36" s="215" t="n">
        <v>45</v>
      </c>
      <c r="B36" s="213" t="s">
        <v>39</v>
      </c>
      <c r="C36" s="213" t="s">
        <v>1134</v>
      </c>
      <c r="D36" s="215" t="n">
        <v>1</v>
      </c>
      <c r="E36" s="215" t="n">
        <v>0</v>
      </c>
      <c r="F36" s="338" t="n">
        <v>0</v>
      </c>
      <c r="G36" s="344" t="n">
        <f aca="false">Retention!$F$34</f>
        <v>80</v>
      </c>
      <c r="H36" s="213" t="s">
        <v>1135</v>
      </c>
      <c r="I36" s="215" t="n">
        <f aca="false">IF(OR($D36=1,$E36=1),SUM(INDEX(Model!$J$13:$DE$56,$A36-12,0))+SUM(INDEX(Model!$J$60:$DE$103,$A36-12,0)),0)</f>
        <v>0</v>
      </c>
      <c r="J36" s="338" t="n">
        <v>0</v>
      </c>
      <c r="K36" s="215" t="n">
        <f aca="false">IF(OR($D36=1,$E36=1),J36+IF(AND($D36=1,$O$1=1),0,I36),0)</f>
        <v>0</v>
      </c>
      <c r="L36" s="339" t="n">
        <v>0</v>
      </c>
    </row>
    <row r="37" customFormat="false" ht="13.5" hidden="false" customHeight="true" outlineLevel="0" collapsed="false">
      <c r="A37" s="340" t="n">
        <v>46</v>
      </c>
      <c r="B37" s="341" t="s">
        <v>40</v>
      </c>
      <c r="C37" s="341" t="s">
        <v>1134</v>
      </c>
      <c r="D37" s="340" t="n">
        <v>1</v>
      </c>
      <c r="E37" s="340" t="n">
        <v>0</v>
      </c>
      <c r="F37" s="342" t="n">
        <v>0</v>
      </c>
      <c r="G37" s="345" t="n">
        <f aca="false">Retention!$F$35</f>
        <v>82</v>
      </c>
      <c r="H37" s="341" t="s">
        <v>1135</v>
      </c>
      <c r="I37" s="340" t="n">
        <f aca="false">IF(OR($D37=1,$E37=1),SUM(INDEX(Model!$J$13:$DE$56,$A37-12,0))+SUM(INDEX(Model!$J$60:$DE$103,$A37-12,0)),0)</f>
        <v>0</v>
      </c>
      <c r="J37" s="342" t="n">
        <v>0</v>
      </c>
      <c r="K37" s="340" t="n">
        <f aca="false">IF(OR($D37=1,$E37=1),J37+IF(AND($D37=1,$O$1=1),0,I37),0)</f>
        <v>0</v>
      </c>
      <c r="L37" s="343" t="n">
        <v>0</v>
      </c>
    </row>
    <row r="38" customFormat="false" ht="13.5" hidden="false" customHeight="true" outlineLevel="0" collapsed="false">
      <c r="A38" s="215" t="n">
        <v>47</v>
      </c>
      <c r="B38" s="213" t="s">
        <v>41</v>
      </c>
      <c r="C38" s="213" t="s">
        <v>1134</v>
      </c>
      <c r="D38" s="215" t="n">
        <v>1</v>
      </c>
      <c r="E38" s="215" t="n">
        <v>0</v>
      </c>
      <c r="F38" s="338" t="n">
        <v>0</v>
      </c>
      <c r="G38" s="344" t="n">
        <f aca="false">Retention!$F$36</f>
        <v>84</v>
      </c>
      <c r="H38" s="213" t="s">
        <v>1135</v>
      </c>
      <c r="I38" s="215" t="n">
        <f aca="false">IF(OR($D38=1,$E38=1),SUM(INDEX(Model!$J$13:$DE$56,$A38-12,0))+SUM(INDEX(Model!$J$60:$DE$103,$A38-12,0)),0)</f>
        <v>0</v>
      </c>
      <c r="J38" s="338" t="n">
        <v>0</v>
      </c>
      <c r="K38" s="215" t="n">
        <f aca="false">IF(OR($D38=1,$E38=1),J38+IF(AND($D38=1,$O$1=1),0,I38),0)</f>
        <v>0</v>
      </c>
      <c r="L38" s="339" t="n">
        <v>0</v>
      </c>
    </row>
    <row r="39" customFormat="false" ht="13.5" hidden="false" customHeight="true" outlineLevel="0" collapsed="false">
      <c r="A39" s="340" t="n">
        <v>48</v>
      </c>
      <c r="B39" s="341" t="s">
        <v>42</v>
      </c>
      <c r="C39" s="341" t="s">
        <v>1134</v>
      </c>
      <c r="D39" s="340" t="n">
        <v>1</v>
      </c>
      <c r="E39" s="340" t="n">
        <v>0</v>
      </c>
      <c r="F39" s="342" t="n">
        <v>0</v>
      </c>
      <c r="G39" s="345" t="n">
        <f aca="false">Retention!$F$37</f>
        <v>86</v>
      </c>
      <c r="H39" s="341" t="s">
        <v>1135</v>
      </c>
      <c r="I39" s="340" t="n">
        <f aca="false">IF(OR($D39=1,$E39=1),SUM(INDEX(Model!$J$13:$DE$56,$A39-12,0))+SUM(INDEX(Model!$J$60:$DE$103,$A39-12,0)),0)</f>
        <v>0</v>
      </c>
      <c r="J39" s="342" t="n">
        <v>0</v>
      </c>
      <c r="K39" s="340" t="n">
        <f aca="false">IF(OR($D39=1,$E39=1),J39+IF(AND($D39=1,$O$1=1),0,I39),0)</f>
        <v>0</v>
      </c>
      <c r="L39" s="343" t="n">
        <v>0</v>
      </c>
    </row>
    <row r="40" customFormat="false" ht="13.5" hidden="false" customHeight="true" outlineLevel="0" collapsed="false">
      <c r="A40" s="215" t="n">
        <v>49</v>
      </c>
      <c r="B40" s="213" t="s">
        <v>43</v>
      </c>
      <c r="C40" s="213" t="s">
        <v>1134</v>
      </c>
      <c r="D40" s="215" t="n">
        <v>1</v>
      </c>
      <c r="E40" s="215" t="n">
        <v>0</v>
      </c>
      <c r="F40" s="338" t="n">
        <v>0</v>
      </c>
      <c r="G40" s="344" t="n">
        <f aca="false">Retention!$F$38</f>
        <v>88</v>
      </c>
      <c r="H40" s="213" t="s">
        <v>1135</v>
      </c>
      <c r="I40" s="215" t="n">
        <f aca="false">IF(OR($D40=1,$E40=1),SUM(INDEX(Model!$J$13:$DE$56,$A40-12,0))+SUM(INDEX(Model!$J$60:$DE$103,$A40-12,0)),0)</f>
        <v>0</v>
      </c>
      <c r="J40" s="338" t="n">
        <v>0</v>
      </c>
      <c r="K40" s="215" t="n">
        <f aca="false">IF(OR($D40=1,$E40=1),J40+IF(AND($D40=1,$O$1=1),0,I40),0)</f>
        <v>0</v>
      </c>
      <c r="L40" s="339" t="n">
        <v>0</v>
      </c>
    </row>
    <row r="41" customFormat="false" ht="13.5" hidden="false" customHeight="true" outlineLevel="0" collapsed="false">
      <c r="A41" s="340" t="n">
        <v>50</v>
      </c>
      <c r="B41" s="341" t="s">
        <v>44</v>
      </c>
      <c r="C41" s="341" t="s">
        <v>1134</v>
      </c>
      <c r="D41" s="340" t="n">
        <v>1</v>
      </c>
      <c r="E41" s="340" t="n">
        <v>0</v>
      </c>
      <c r="F41" s="342" t="n">
        <v>0</v>
      </c>
      <c r="G41" s="345" t="n">
        <f aca="false">Retention!$F$39</f>
        <v>90</v>
      </c>
      <c r="H41" s="341" t="s">
        <v>1135</v>
      </c>
      <c r="I41" s="340" t="n">
        <f aca="false">IF(OR($D41=1,$E41=1),SUM(INDEX(Model!$J$13:$DE$56,$A41-12,0))+SUM(INDEX(Model!$J$60:$DE$103,$A41-12,0)),0)</f>
        <v>0</v>
      </c>
      <c r="J41" s="342" t="n">
        <v>0</v>
      </c>
      <c r="K41" s="340" t="n">
        <f aca="false">IF(OR($D41=1,$E41=1),J41+IF(AND($D41=1,$O$1=1),0,I41),0)</f>
        <v>0</v>
      </c>
      <c r="L41" s="343" t="n">
        <v>0</v>
      </c>
    </row>
    <row r="42" customFormat="false" ht="13.5" hidden="false" customHeight="true" outlineLevel="0" collapsed="false">
      <c r="A42" s="215" t="n">
        <v>51</v>
      </c>
      <c r="B42" s="213" t="s">
        <v>45</v>
      </c>
      <c r="C42" s="213" t="s">
        <v>1134</v>
      </c>
      <c r="D42" s="215" t="n">
        <v>1</v>
      </c>
      <c r="E42" s="215" t="n">
        <v>0</v>
      </c>
      <c r="F42" s="338" t="n">
        <v>0</v>
      </c>
      <c r="G42" s="344" t="n">
        <f aca="false">Retention!$F$40</f>
        <v>92</v>
      </c>
      <c r="H42" s="213" t="s">
        <v>1135</v>
      </c>
      <c r="I42" s="215" t="n">
        <f aca="false">IF(OR($D42=1,$E42=1),SUM(INDEX(Model!$J$13:$DE$56,$A42-12,0))+SUM(INDEX(Model!$J$60:$DE$103,$A42-12,0)),0)</f>
        <v>0</v>
      </c>
      <c r="J42" s="338" t="n">
        <v>0</v>
      </c>
      <c r="K42" s="215" t="n">
        <f aca="false">IF(OR($D42=1,$E42=1),J42+IF(AND($D42=1,$O$1=1),0,I42),0)</f>
        <v>0</v>
      </c>
      <c r="L42" s="339" t="n">
        <v>0</v>
      </c>
    </row>
    <row r="43" customFormat="false" ht="13.5" hidden="false" customHeight="true" outlineLevel="0" collapsed="false">
      <c r="A43" s="340" t="n">
        <v>52</v>
      </c>
      <c r="B43" s="341" t="s">
        <v>46</v>
      </c>
      <c r="C43" s="341" t="s">
        <v>1134</v>
      </c>
      <c r="D43" s="340" t="n">
        <v>1</v>
      </c>
      <c r="E43" s="340" t="n">
        <v>0</v>
      </c>
      <c r="F43" s="342" t="n">
        <v>0</v>
      </c>
      <c r="G43" s="345" t="n">
        <f aca="false">Retention!$F$41</f>
        <v>94</v>
      </c>
      <c r="H43" s="341" t="s">
        <v>1135</v>
      </c>
      <c r="I43" s="340" t="n">
        <f aca="false">IF(OR($D43=1,$E43=1),SUM(INDEX(Model!$J$13:$DE$56,$A43-12,0))+SUM(INDEX(Model!$J$60:$DE$103,$A43-12,0)),0)</f>
        <v>0</v>
      </c>
      <c r="J43" s="342" t="n">
        <v>0</v>
      </c>
      <c r="K43" s="340" t="n">
        <f aca="false">IF(OR($D43=1,$E43=1),J43+IF(AND($D43=1,$O$1=1),0,I43),0)</f>
        <v>0</v>
      </c>
      <c r="L43" s="343" t="n">
        <v>0</v>
      </c>
    </row>
    <row r="44" customFormat="false" ht="13.5" hidden="false" customHeight="true" outlineLevel="0" collapsed="false">
      <c r="A44" s="215" t="n">
        <v>53</v>
      </c>
      <c r="B44" s="213" t="s">
        <v>47</v>
      </c>
      <c r="C44" s="213" t="s">
        <v>1134</v>
      </c>
      <c r="D44" s="215" t="n">
        <v>1</v>
      </c>
      <c r="E44" s="215" t="n">
        <v>0</v>
      </c>
      <c r="F44" s="338" t="n">
        <v>0</v>
      </c>
      <c r="G44" s="344" t="n">
        <f aca="false">Retention!$F$42</f>
        <v>96</v>
      </c>
      <c r="H44" s="213" t="s">
        <v>1135</v>
      </c>
      <c r="I44" s="215" t="n">
        <f aca="false">IF(OR($D44=1,$E44=1),SUM(INDEX(Model!$J$13:$DE$56,$A44-12,0))+SUM(INDEX(Model!$J$60:$DE$103,$A44-12,0)),0)</f>
        <v>0</v>
      </c>
      <c r="J44" s="338" t="n">
        <v>0</v>
      </c>
      <c r="K44" s="215" t="n">
        <f aca="false">IF(OR($D44=1,$E44=1),J44+IF(AND($D44=1,$O$1=1),0,I44),0)</f>
        <v>0</v>
      </c>
      <c r="L44" s="339" t="n">
        <v>0</v>
      </c>
    </row>
    <row r="45" customFormat="false" ht="13.5" hidden="false" customHeight="true" outlineLevel="0" collapsed="false">
      <c r="A45" s="340" t="n">
        <v>54</v>
      </c>
      <c r="B45" s="341" t="s">
        <v>48</v>
      </c>
      <c r="C45" s="341" t="s">
        <v>1134</v>
      </c>
      <c r="D45" s="340" t="n">
        <v>1</v>
      </c>
      <c r="E45" s="340" t="n">
        <v>0</v>
      </c>
      <c r="F45" s="342" t="n">
        <v>0</v>
      </c>
      <c r="G45" s="345" t="n">
        <f aca="false">Retention!$F$43</f>
        <v>98</v>
      </c>
      <c r="H45" s="341" t="s">
        <v>1135</v>
      </c>
      <c r="I45" s="340" t="n">
        <f aca="false">IF(OR($D45=1,$E45=1),SUM(INDEX(Model!$J$13:$DE$56,$A45-12,0))+SUM(INDEX(Model!$J$60:$DE$103,$A45-12,0)),0)</f>
        <v>0</v>
      </c>
      <c r="J45" s="342" t="n">
        <v>0</v>
      </c>
      <c r="K45" s="340" t="n">
        <f aca="false">IF(OR($D45=1,$E45=1),J45+IF(AND($D45=1,$O$1=1),0,I45),0)</f>
        <v>0</v>
      </c>
      <c r="L45" s="343" t="n">
        <v>0</v>
      </c>
    </row>
    <row r="46" customFormat="false" ht="13.5" hidden="false" customHeight="true" outlineLevel="0" collapsed="false">
      <c r="A46" s="215" t="n">
        <v>55</v>
      </c>
      <c r="B46" s="213" t="s">
        <v>49</v>
      </c>
      <c r="C46" s="213" t="s">
        <v>1134</v>
      </c>
      <c r="D46" s="215" t="n">
        <v>1</v>
      </c>
      <c r="E46" s="215" t="n">
        <v>0</v>
      </c>
      <c r="F46" s="338" t="n">
        <v>0</v>
      </c>
      <c r="G46" s="344" t="n">
        <f aca="false">Retention!$F$44</f>
        <v>100</v>
      </c>
      <c r="H46" s="213" t="s">
        <v>1135</v>
      </c>
      <c r="I46" s="215" t="n">
        <f aca="false">IF(OR($D46=1,$E46=1),SUM(INDEX(Model!$J$13:$DE$56,$A46-12,0))+SUM(INDEX(Model!$J$60:$DE$103,$A46-12,0)),0)</f>
        <v>0</v>
      </c>
      <c r="J46" s="338" t="n">
        <v>0</v>
      </c>
      <c r="K46" s="215" t="n">
        <f aca="false">IF(OR($D46=1,$E46=1),J46+IF(AND($D46=1,$O$1=1),0,I46),0)</f>
        <v>0</v>
      </c>
      <c r="L46" s="339" t="n">
        <v>0</v>
      </c>
    </row>
    <row r="47" customFormat="false" ht="13.5" hidden="false" customHeight="true" outlineLevel="0" collapsed="false">
      <c r="A47" s="340" t="n">
        <v>56</v>
      </c>
      <c r="B47" s="341" t="s">
        <v>50</v>
      </c>
      <c r="C47" s="341" t="s">
        <v>1136</v>
      </c>
      <c r="D47" s="340" t="n">
        <v>0</v>
      </c>
      <c r="E47" s="340" t="n">
        <v>0</v>
      </c>
      <c r="F47" s="342" t="n">
        <v>0</v>
      </c>
      <c r="G47" s="340" t="n">
        <v>0</v>
      </c>
      <c r="I47" s="340" t="n">
        <f aca="false">IF(OR($D47=1,$E47=1),SUM(INDEX(Model!$J$13:$DE$56,$A47-12,0))+SUM(INDEX(Model!$J$60:$DE$103,$A47-12,0)),0)</f>
        <v>0</v>
      </c>
      <c r="J47" s="342" t="n">
        <v>0</v>
      </c>
      <c r="K47" s="340" t="n">
        <f aca="false">IF(OR($D47=1,$E47=1),J47+IF(AND($D47=1,$O$1=1),0,I47),0)</f>
        <v>0</v>
      </c>
      <c r="L47" s="343" t="n">
        <v>0</v>
      </c>
    </row>
    <row r="58" customFormat="false" ht="13.5" hidden="false" customHeight="true" outlineLevel="0" collapsed="false">
      <c r="A58" s="346" t="s">
        <v>1137</v>
      </c>
    </row>
    <row r="59" customFormat="false" ht="13.5" hidden="false" customHeight="true" outlineLevel="0" collapsed="false">
      <c r="A59" s="1" t="s">
        <v>1138</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46" t="s">
        <v>484</v>
      </c>
      <c r="B104" s="346" t="n">
        <f aca="false">SUM(B60:B103)</f>
        <v>0</v>
      </c>
      <c r="C104" s="346" t="n">
        <f aca="false">SUM(C60:C103)</f>
        <v>0</v>
      </c>
      <c r="D104" s="346" t="n">
        <f aca="false">SUM(D60:D103)</f>
        <v>0</v>
      </c>
      <c r="E104" s="346" t="n">
        <f aca="false">SUM(E60:E103)</f>
        <v>0</v>
      </c>
      <c r="F104" s="346" t="n">
        <f aca="false">SUM(F60:F103)</f>
        <v>0</v>
      </c>
      <c r="G104" s="346" t="n">
        <f aca="false">SUM(G60:G103)</f>
        <v>0</v>
      </c>
      <c r="H104" s="346" t="n">
        <f aca="false">SUM(H60:H103)</f>
        <v>0</v>
      </c>
      <c r="I104" s="346" t="n">
        <f aca="false">SUM(I60:I103)</f>
        <v>0</v>
      </c>
      <c r="J104" s="346" t="n">
        <f aca="false">SUM(J60:J103)</f>
        <v>225272.52</v>
      </c>
      <c r="K104" s="346" t="n">
        <f aca="false">SUM(K60:K103)</f>
        <v>248630.71</v>
      </c>
      <c r="L104" s="346" t="n">
        <f aca="false">SUM(L60:L103)</f>
        <v>251735.84</v>
      </c>
      <c r="M104" s="346" t="n">
        <f aca="false">SUM(M60:M103)</f>
        <v>252618.63</v>
      </c>
      <c r="N104" s="346" t="n">
        <f aca="false">SUM(N60:N103)</f>
        <v>261241.069999999</v>
      </c>
      <c r="O104" s="346" t="n">
        <f aca="false">SUM(O60:O103)</f>
        <v>275566.84</v>
      </c>
      <c r="P104" s="346" t="n">
        <f aca="false">SUM(P60:P103)</f>
        <v>283344.14</v>
      </c>
      <c r="Q104" s="346" t="n">
        <f aca="false">SUM(Q60:Q103)</f>
        <v>296785.86</v>
      </c>
      <c r="R104" s="346" t="n">
        <f aca="false">SUM(R60:R103)</f>
        <v>279949.350000001</v>
      </c>
      <c r="S104" s="346" t="n">
        <f aca="false">SUM(S60:S103)</f>
        <v>218493.54</v>
      </c>
      <c r="T104" s="346" t="n">
        <f aca="false">SUM(T60:T103)</f>
        <v>197620.92</v>
      </c>
      <c r="U104" s="346" t="n">
        <f aca="false">SUM(U60:U103)</f>
        <v>194318.949999999</v>
      </c>
      <c r="V104" s="346" t="n">
        <f aca="false">SUM(V60:V103)</f>
        <v>197751.920000001</v>
      </c>
      <c r="W104" s="346" t="n">
        <f aca="false">SUM(W60:W103)</f>
        <v>203537.240000001</v>
      </c>
      <c r="X104" s="346" t="n">
        <f aca="false">SUM(X60:X103)</f>
        <v>203537.240000001</v>
      </c>
      <c r="Y104" s="346" t="n">
        <f aca="false">SUM(Y60:Y103)</f>
        <v>203537.240000001</v>
      </c>
      <c r="Z104" s="346" t="n">
        <f aca="false">SUM(Z60:Z103)</f>
        <v>203537.240000001</v>
      </c>
      <c r="AA104" s="346" t="n">
        <f aca="false">SUM(AA60:AA103)</f>
        <v>203537.240000001</v>
      </c>
      <c r="AB104" s="346" t="n">
        <f aca="false">SUM(AB60:AB103)</f>
        <v>203537.240000001</v>
      </c>
      <c r="AC104" s="346" t="n">
        <f aca="false">SUM(AC60:AC103)</f>
        <v>203537.240000001</v>
      </c>
      <c r="AD104" s="346" t="n">
        <f aca="false">SUM(AD60:AD103)</f>
        <v>203537.240000001</v>
      </c>
      <c r="AE104" s="346" t="n">
        <f aca="false">SUM(AE60:AE103)</f>
        <v>203537.240000001</v>
      </c>
      <c r="AF104" s="346" t="n">
        <f aca="false">SUM(AF60:AF103)</f>
        <v>203537.240000001</v>
      </c>
      <c r="AG104" s="346" t="n">
        <f aca="false">SUM(AG60:AG103)</f>
        <v>203537.240000001</v>
      </c>
      <c r="AH104" s="346" t="n">
        <f aca="false">SUM(AH60:AH103)</f>
        <v>203537.240000001</v>
      </c>
      <c r="AI104" s="346" t="n">
        <f aca="false">SUM(AI60:AI103)</f>
        <v>203537.240000001</v>
      </c>
      <c r="AJ104" s="346" t="n">
        <f aca="false">SUM(AJ60:AJ103)</f>
        <v>203537.240000001</v>
      </c>
      <c r="AK104" s="346" t="n">
        <f aca="false">SUM(AK60:AK103)</f>
        <v>203537.240000001</v>
      </c>
      <c r="AL104" s="346" t="n">
        <f aca="false">SUM(AL60:AL103)</f>
        <v>203537.240000001</v>
      </c>
      <c r="AM104" s="346" t="n">
        <f aca="false">SUM(AM60:AM103)</f>
        <v>203537.240000001</v>
      </c>
      <c r="AN104" s="346" t="n">
        <f aca="false">SUM(AN60:AN103)</f>
        <v>203537.240000001</v>
      </c>
      <c r="AO104" s="346" t="n">
        <f aca="false">SUM(AO60:AO103)</f>
        <v>203537.240000001</v>
      </c>
      <c r="AP104" s="346" t="n">
        <f aca="false">SUM(AP60:AP103)</f>
        <v>203537.240000001</v>
      </c>
      <c r="AQ104" s="346" t="n">
        <f aca="false">SUM(AQ60:AQ103)</f>
        <v>203537.240000001</v>
      </c>
      <c r="AR104" s="346" t="n">
        <f aca="false">SUM(AR60:AR103)</f>
        <v>203537.240000001</v>
      </c>
      <c r="AS104" s="346" t="n">
        <f aca="false">SUM(AS60:AS103)</f>
        <v>203537.240000001</v>
      </c>
      <c r="AT104" s="346" t="n">
        <f aca="false">SUM(AT60:AT103)</f>
        <v>203537.240000001</v>
      </c>
      <c r="AU104" s="346" t="n">
        <f aca="false">SUM(AU60:AU103)</f>
        <v>203537.240000001</v>
      </c>
      <c r="AV104" s="346" t="n">
        <f aca="false">SUM(AV60:AV103)</f>
        <v>203537.240000001</v>
      </c>
      <c r="AW104" s="346" t="n">
        <f aca="false">SUM(AW60:AW103)</f>
        <v>203537.240000001</v>
      </c>
      <c r="AX104" s="346" t="n">
        <f aca="false">SUM(AX60:AX103)</f>
        <v>203537.240000001</v>
      </c>
      <c r="AY104" s="346" t="n">
        <f aca="false">SUM(AY60:AY103)</f>
        <v>203537.240000001</v>
      </c>
      <c r="AZ104" s="346" t="n">
        <f aca="false">SUM(AZ60:AZ103)</f>
        <v>203537.240000001</v>
      </c>
      <c r="BA104" s="346" t="n">
        <f aca="false">SUM(BA60:BA103)</f>
        <v>203537.240000001</v>
      </c>
      <c r="BB104" s="346" t="n">
        <f aca="false">SUM(BB60:BB103)</f>
        <v>203537.240000001</v>
      </c>
      <c r="BC104" s="346" t="n">
        <f aca="false">SUM(BC60:BC103)</f>
        <v>203537.240000001</v>
      </c>
      <c r="BD104" s="346" t="n">
        <f aca="false">SUM(BD60:BD103)</f>
        <v>203537.240000001</v>
      </c>
      <c r="BE104" s="346" t="n">
        <f aca="false">SUM(BE60:BE103)</f>
        <v>203537.240000001</v>
      </c>
      <c r="BF104" s="346" t="n">
        <f aca="false">SUM(BF60:BF103)</f>
        <v>203537.240000001</v>
      </c>
      <c r="BG104" s="346" t="n">
        <f aca="false">SUM(BG60:BG103)</f>
        <v>203537.240000001</v>
      </c>
      <c r="BH104" s="346" t="n">
        <f aca="false">SUM(BH60:BH103)</f>
        <v>203537.240000001</v>
      </c>
      <c r="BI104" s="346" t="n">
        <f aca="false">SUM(BI60:BI103)</f>
        <v>203537.240000001</v>
      </c>
      <c r="BJ104" s="346" t="n">
        <f aca="false">SUM(BJ60:BJ103)</f>
        <v>203537.240000001</v>
      </c>
      <c r="BK104" s="346" t="n">
        <f aca="false">SUM(BK60:BK103)</f>
        <v>203537.240000001</v>
      </c>
      <c r="BL104" s="346" t="n">
        <f aca="false">SUM(BL60:BL103)</f>
        <v>203537.240000001</v>
      </c>
      <c r="BM104" s="346" t="n">
        <f aca="false">SUM(BM60:BM103)</f>
        <v>203537.240000001</v>
      </c>
      <c r="BN104" s="346" t="n">
        <f aca="false">SUM(BN60:BN103)</f>
        <v>203537.240000001</v>
      </c>
      <c r="BO104" s="346" t="n">
        <f aca="false">SUM(BO60:BO103)</f>
        <v>203537.240000001</v>
      </c>
      <c r="BP104" s="346" t="n">
        <f aca="false">SUM(BP60:BP103)</f>
        <v>203537.240000001</v>
      </c>
      <c r="BQ104" s="346" t="n">
        <f aca="false">SUM(BQ60:BQ103)</f>
        <v>203537.240000001</v>
      </c>
      <c r="BR104" s="346" t="n">
        <f aca="false">SUM(BR60:BR103)</f>
        <v>203537.240000001</v>
      </c>
      <c r="BS104" s="346" t="n">
        <f aca="false">SUM(BS60:BS103)</f>
        <v>203537.240000001</v>
      </c>
      <c r="BT104" s="346" t="n">
        <f aca="false">SUM(BT60:BT103)</f>
        <v>203537.240000001</v>
      </c>
      <c r="BU104" s="346" t="n">
        <f aca="false">SUM(BU60:BU103)</f>
        <v>203537.240000001</v>
      </c>
      <c r="BV104" s="346" t="n">
        <f aca="false">SUM(BV60:BV103)</f>
        <v>203537.240000001</v>
      </c>
      <c r="BW104" s="346" t="n">
        <f aca="false">SUM(BW60:BW103)</f>
        <v>203537.240000001</v>
      </c>
      <c r="BX104" s="346" t="n">
        <f aca="false">SUM(BX60:BX103)</f>
        <v>203537.240000001</v>
      </c>
      <c r="BY104" s="346" t="n">
        <f aca="false">SUM(BY60:BY103)</f>
        <v>203537.240000001</v>
      </c>
      <c r="BZ104" s="346" t="n">
        <f aca="false">SUM(BZ60:BZ103)</f>
        <v>203537.240000001</v>
      </c>
      <c r="CA104" s="346" t="n">
        <f aca="false">SUM(CA60:CA103)</f>
        <v>203537.240000001</v>
      </c>
      <c r="CB104" s="346" t="n">
        <f aca="false">SUM(CB60:CB103)</f>
        <v>203537.240000001</v>
      </c>
      <c r="CC104" s="346" t="n">
        <f aca="false">SUM(CC60:CC103)</f>
        <v>203537.240000001</v>
      </c>
      <c r="CD104" s="346" t="n">
        <f aca="false">SUM(CD60:CD103)</f>
        <v>203537.240000001</v>
      </c>
      <c r="CE104" s="346" t="n">
        <f aca="false">SUM(CE60:CE103)</f>
        <v>203537.240000001</v>
      </c>
      <c r="CF104" s="346" t="n">
        <f aca="false">SUM(CF60:CF103)</f>
        <v>203537.240000001</v>
      </c>
      <c r="CG104" s="346" t="n">
        <f aca="false">SUM(CG60:CG103)</f>
        <v>203537.240000001</v>
      </c>
      <c r="CH104" s="346" t="n">
        <f aca="false">SUM(CH60:CH103)</f>
        <v>203537.240000001</v>
      </c>
      <c r="CI104" s="346" t="n">
        <f aca="false">SUM(CI60:CI103)</f>
        <v>203537.240000001</v>
      </c>
      <c r="CJ104" s="346" t="n">
        <f aca="false">SUM(CJ60:CJ103)</f>
        <v>203537.240000001</v>
      </c>
      <c r="CK104" s="346" t="n">
        <f aca="false">SUM(CK60:CK103)</f>
        <v>203537.240000001</v>
      </c>
      <c r="CL104" s="346" t="n">
        <f aca="false">SUM(CL60:CL103)</f>
        <v>203537.240000001</v>
      </c>
      <c r="CM104" s="346" t="n">
        <f aca="false">SUM(CM60:CM103)</f>
        <v>203537.240000001</v>
      </c>
      <c r="CN104" s="346" t="n">
        <f aca="false">SUM(CN60:CN103)</f>
        <v>203537.240000001</v>
      </c>
      <c r="CO104" s="346" t="n">
        <f aca="false">SUM(CO60:CO103)</f>
        <v>203537.240000001</v>
      </c>
      <c r="CP104" s="346" t="n">
        <f aca="false">SUM(CP60:CP103)</f>
        <v>203537.240000001</v>
      </c>
      <c r="CQ104" s="346" t="n">
        <f aca="false">SUM(CQ60:CQ103)</f>
        <v>203537.240000001</v>
      </c>
      <c r="CR104" s="346" t="n">
        <f aca="false">SUM(CR60:CR103)</f>
        <v>203537.240000001</v>
      </c>
      <c r="CS104" s="346" t="n">
        <f aca="false">SUM(CS60:CS103)</f>
        <v>203537.240000001</v>
      </c>
      <c r="CT104" s="346" t="n">
        <f aca="false">SUM(CT60:CT103)</f>
        <v>203537.240000001</v>
      </c>
      <c r="CU104" s="346" t="n">
        <f aca="false">SUM(CU60:CU103)</f>
        <v>203537.240000001</v>
      </c>
      <c r="CV104" s="346" t="n">
        <f aca="false">SUM(CV60:CV103)</f>
        <v>203537.240000001</v>
      </c>
      <c r="CW104" s="346" t="n">
        <f aca="false">SUM(CW60:CW103)</f>
        <v>203537.240000001</v>
      </c>
      <c r="CX104" s="346" t="n">
        <f aca="false">SUM(CX60:CX103)</f>
        <v>203537.240000001</v>
      </c>
      <c r="CY104" s="346" t="n">
        <f aca="false">SUM(CY60:CY103)</f>
        <v>203537.240000001</v>
      </c>
      <c r="CZ104" s="346" t="n">
        <f aca="false">SUM(CZ60:CZ103)</f>
        <v>203537.240000001</v>
      </c>
      <c r="DA104" s="346" t="n">
        <f aca="false">SUM(DA60:DA103)</f>
        <v>203537.240000001</v>
      </c>
      <c r="DB104" s="346" t="n">
        <f aca="false">SUM(DB60:DB103)</f>
        <v>203537.240000001</v>
      </c>
      <c r="DC104" s="346" t="n">
        <f aca="false">SUM(DC60:DC103)</f>
        <v>203537.240000001</v>
      </c>
      <c r="DD104" s="346" t="n">
        <f aca="false">SUM(DD60:DD103)</f>
        <v>203537.240000001</v>
      </c>
      <c r="DE104" s="346"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7656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1139</v>
      </c>
    </row>
    <row r="2" customFormat="false" ht="13.5" hidden="false" customHeight="true" outlineLevel="0" collapsed="false">
      <c r="A2" s="205" t="s">
        <v>1140</v>
      </c>
    </row>
    <row r="4" customFormat="false" ht="13.5" hidden="false" customHeight="true" outlineLevel="0" collapsed="false">
      <c r="A4" s="209" t="s">
        <v>1141</v>
      </c>
      <c r="B4" s="210"/>
      <c r="C4" s="210"/>
      <c r="D4" s="210"/>
      <c r="E4" s="210"/>
      <c r="F4" s="210"/>
    </row>
    <row r="5" customFormat="false" ht="13.5" hidden="false" customHeight="true" outlineLevel="0" collapsed="false">
      <c r="A5" s="109" t="s">
        <v>1142</v>
      </c>
      <c r="B5" s="347" t="n">
        <v>0.875</v>
      </c>
    </row>
    <row r="6" customFormat="false" ht="13.5" hidden="false" customHeight="true" outlineLevel="0" collapsed="false">
      <c r="A6" s="109" t="s">
        <v>1143</v>
      </c>
      <c r="B6" s="347" t="n">
        <v>0.5</v>
      </c>
    </row>
    <row r="7" customFormat="false" ht="13.5" hidden="false" customHeight="true" outlineLevel="0" collapsed="false">
      <c r="A7" s="109" t="s">
        <v>1144</v>
      </c>
      <c r="B7" s="347" t="n">
        <v>0.25</v>
      </c>
    </row>
    <row r="8" customFormat="false" ht="13.5" hidden="false" customHeight="true" outlineLevel="0" collapsed="false">
      <c r="A8" s="109" t="s">
        <v>1145</v>
      </c>
      <c r="B8" s="347" t="n">
        <v>0.165</v>
      </c>
    </row>
    <row r="9" customFormat="false" ht="13.5" hidden="false" customHeight="true" outlineLevel="0" collapsed="false">
      <c r="A9" s="109" t="s">
        <v>1146</v>
      </c>
      <c r="B9" s="347" t="n">
        <v>0.5</v>
      </c>
    </row>
    <row r="10" customFormat="false" ht="13.5" hidden="false" customHeight="true" outlineLevel="0" collapsed="false">
      <c r="A10" s="109" t="s">
        <v>1147</v>
      </c>
      <c r="B10" s="347" t="n">
        <v>0.2</v>
      </c>
    </row>
    <row r="11" customFormat="false" ht="13.5" hidden="false" customHeight="true" outlineLevel="0" collapsed="false">
      <c r="A11" s="109" t="s">
        <v>1148</v>
      </c>
      <c r="B11" s="347" t="n">
        <v>0.5</v>
      </c>
    </row>
    <row r="12" customFormat="false" ht="13.5" hidden="false" customHeight="true" outlineLevel="0" collapsed="false">
      <c r="A12" s="109" t="s">
        <v>1149</v>
      </c>
      <c r="B12" s="348" t="n">
        <v>25000000</v>
      </c>
    </row>
    <row r="13" customFormat="false" ht="13.5" hidden="false" customHeight="true" outlineLevel="0" collapsed="false">
      <c r="A13" s="109" t="s">
        <v>1150</v>
      </c>
      <c r="B13" s="348" t="n">
        <v>10000000</v>
      </c>
    </row>
    <row r="14" customFormat="false" ht="13.5" hidden="false" customHeight="true" outlineLevel="0" collapsed="false">
      <c r="A14" s="109" t="s">
        <v>1151</v>
      </c>
      <c r="B14" s="347" t="n">
        <v>0</v>
      </c>
      <c r="C14" s="208" t="s">
        <v>1152</v>
      </c>
    </row>
    <row r="15" customFormat="false" ht="13.5" hidden="false" customHeight="true" outlineLevel="0" collapsed="false">
      <c r="A15" s="109" t="s">
        <v>1153</v>
      </c>
      <c r="B15" s="347" t="n">
        <v>0</v>
      </c>
    </row>
    <row r="16" customFormat="false" ht="13.5" hidden="false" customHeight="true" outlineLevel="0" collapsed="false">
      <c r="A16" s="109" t="s">
        <v>1154</v>
      </c>
      <c r="B16" s="347" t="n">
        <v>0</v>
      </c>
    </row>
    <row r="17" customFormat="false" ht="13.5" hidden="false" customHeight="true" outlineLevel="0" collapsed="false">
      <c r="A17" s="109" t="s">
        <v>1155</v>
      </c>
      <c r="B17" s="347" t="n">
        <v>1</v>
      </c>
    </row>
    <row r="18" customFormat="false" ht="13.5" hidden="false" customHeight="true" outlineLevel="0" collapsed="false">
      <c r="A18" s="109" t="s">
        <v>1156</v>
      </c>
      <c r="B18" s="347" t="n">
        <v>0.25</v>
      </c>
    </row>
    <row r="19" customFormat="false" ht="13.5" hidden="false" customHeight="true" outlineLevel="0" collapsed="false">
      <c r="A19" s="109" t="s">
        <v>1157</v>
      </c>
      <c r="B19" s="347" t="n">
        <v>6</v>
      </c>
      <c r="C19" s="208" t="s">
        <v>1158</v>
      </c>
    </row>
    <row r="20" customFormat="false" ht="13.5" hidden="false" customHeight="true" outlineLevel="0" collapsed="false">
      <c r="A20" s="109" t="s">
        <v>1159</v>
      </c>
      <c r="B20" s="347" t="n">
        <v>4</v>
      </c>
    </row>
    <row r="21" customFormat="false" ht="13.5" hidden="false" customHeight="true" outlineLevel="0" collapsed="false">
      <c r="A21" s="109" t="s">
        <v>1160</v>
      </c>
      <c r="B21" s="349" t="n">
        <v>0.075</v>
      </c>
    </row>
    <row r="22" customFormat="false" ht="13.5" hidden="false" customHeight="true" outlineLevel="0" collapsed="false">
      <c r="A22" s="109" t="s">
        <v>1161</v>
      </c>
      <c r="B22" s="347" t="n">
        <v>11</v>
      </c>
    </row>
    <row r="23" customFormat="false" ht="13.5" hidden="false" customHeight="true" outlineLevel="0" collapsed="false">
      <c r="A23" s="109" t="s">
        <v>1162</v>
      </c>
      <c r="B23" s="347" t="n">
        <v>13</v>
      </c>
    </row>
    <row r="25" customFormat="false" ht="13.5" hidden="false" customHeight="true" outlineLevel="0" collapsed="false">
      <c r="A25" s="209" t="s">
        <v>1163</v>
      </c>
      <c r="B25" s="210"/>
      <c r="C25" s="210"/>
      <c r="D25" s="210"/>
      <c r="E25" s="210"/>
      <c r="F25" s="210"/>
    </row>
    <row r="26" customFormat="false" ht="13.5" hidden="false" customHeight="true" outlineLevel="0" collapsed="false">
      <c r="A26" s="109" t="s">
        <v>717</v>
      </c>
      <c r="B26" s="348" t="n">
        <v>160000</v>
      </c>
    </row>
    <row r="27" customFormat="false" ht="13.5" hidden="false" customHeight="true" outlineLevel="0" collapsed="false">
      <c r="A27" s="109" t="s">
        <v>1164</v>
      </c>
      <c r="B27" s="348" t="n">
        <v>125000</v>
      </c>
    </row>
    <row r="28" customFormat="false" ht="13.5" hidden="false" customHeight="true" outlineLevel="0" collapsed="false">
      <c r="A28" s="109" t="s">
        <v>713</v>
      </c>
      <c r="B28" s="348" t="n">
        <v>130000</v>
      </c>
    </row>
    <row r="29" customFormat="false" ht="13.5" hidden="false" customHeight="true" outlineLevel="0" collapsed="false">
      <c r="A29" s="109" t="s">
        <v>657</v>
      </c>
      <c r="B29" s="348" t="n">
        <v>180000</v>
      </c>
    </row>
    <row r="30" customFormat="false" ht="13.5" hidden="false" customHeight="true" outlineLevel="0" collapsed="false">
      <c r="A30" s="109" t="s">
        <v>1165</v>
      </c>
      <c r="B30" s="348" t="n">
        <v>80000</v>
      </c>
    </row>
    <row r="32" customFormat="false" ht="13.5" hidden="false" customHeight="true" outlineLevel="0" collapsed="false">
      <c r="A32" s="209" t="s">
        <v>1166</v>
      </c>
      <c r="B32" s="210"/>
      <c r="C32" s="210"/>
      <c r="D32" s="210"/>
      <c r="E32" s="210"/>
      <c r="F32" s="210"/>
    </row>
    <row r="33" customFormat="false" ht="13.5" hidden="false" customHeight="true" outlineLevel="0" collapsed="false">
      <c r="E33" s="350" t="n">
        <f aca="false">Model!E2</f>
        <v>46113</v>
      </c>
      <c r="F33" s="350" t="n">
        <f aca="false">Model!F2</f>
        <v>46143</v>
      </c>
      <c r="G33" s="350" t="n">
        <f aca="false">Model!G2</f>
        <v>46174</v>
      </c>
      <c r="H33" s="350" t="n">
        <f aca="false">Model!H2</f>
        <v>46204</v>
      </c>
      <c r="I33" s="350" t="n">
        <f aca="false">Model!I2</f>
        <v>46235</v>
      </c>
      <c r="J33" s="350" t="n">
        <f aca="false">Model!J2</f>
        <v>46266</v>
      </c>
      <c r="K33" s="350" t="n">
        <f aca="false">Model!K2</f>
        <v>46296</v>
      </c>
      <c r="L33" s="350" t="n">
        <f aca="false">Model!L2</f>
        <v>46327</v>
      </c>
      <c r="M33" s="350" t="n">
        <f aca="false">Model!M2</f>
        <v>46357</v>
      </c>
      <c r="N33" s="350" t="n">
        <f aca="false">Model!N2</f>
        <v>46388</v>
      </c>
      <c r="O33" s="350" t="n">
        <f aca="false">Model!O2</f>
        <v>46419</v>
      </c>
      <c r="P33" s="350" t="n">
        <f aca="false">Model!P2</f>
        <v>46447</v>
      </c>
      <c r="Q33" s="350" t="n">
        <f aca="false">Model!Q2</f>
        <v>46478</v>
      </c>
      <c r="R33" s="350" t="n">
        <f aca="false">Model!R2</f>
        <v>46508</v>
      </c>
      <c r="S33" s="350" t="n">
        <f aca="false">Model!S2</f>
        <v>46539</v>
      </c>
      <c r="T33" s="350" t="n">
        <f aca="false">Model!T2</f>
        <v>46569</v>
      </c>
      <c r="U33" s="350" t="n">
        <f aca="false">Model!U2</f>
        <v>46600</v>
      </c>
      <c r="V33" s="350" t="n">
        <f aca="false">Model!V2</f>
        <v>46631</v>
      </c>
      <c r="W33" s="350" t="n">
        <f aca="false">Model!W2</f>
        <v>46661</v>
      </c>
      <c r="X33" s="350" t="n">
        <f aca="false">Model!X2</f>
        <v>46692</v>
      </c>
      <c r="Y33" s="350" t="n">
        <f aca="false">Model!Y2</f>
        <v>46722</v>
      </c>
      <c r="Z33" s="350" t="n">
        <f aca="false">Model!Z2</f>
        <v>46753</v>
      </c>
      <c r="AA33" s="350" t="n">
        <f aca="false">Model!AA2</f>
        <v>46784</v>
      </c>
      <c r="AB33" s="350" t="n">
        <f aca="false">Model!AB2</f>
        <v>46813</v>
      </c>
      <c r="AC33" s="350" t="n">
        <f aca="false">Model!AC2</f>
        <v>46844</v>
      </c>
      <c r="AD33" s="350" t="n">
        <f aca="false">Model!AD2</f>
        <v>46874</v>
      </c>
      <c r="AE33" s="350" t="n">
        <f aca="false">Model!AE2</f>
        <v>46905</v>
      </c>
      <c r="AF33" s="350" t="n">
        <f aca="false">Model!AF2</f>
        <v>46935</v>
      </c>
      <c r="AG33" s="350" t="n">
        <f aca="false">Model!AG2</f>
        <v>46966</v>
      </c>
      <c r="AH33" s="350" t="n">
        <f aca="false">Model!AH2</f>
        <v>46997</v>
      </c>
      <c r="AI33" s="350" t="n">
        <f aca="false">Model!AI2</f>
        <v>47027</v>
      </c>
      <c r="AJ33" s="350" t="n">
        <f aca="false">Model!AJ2</f>
        <v>47058</v>
      </c>
      <c r="AK33" s="350" t="n">
        <f aca="false">Model!AK2</f>
        <v>47088</v>
      </c>
      <c r="AL33" s="350" t="n">
        <f aca="false">Model!AL2</f>
        <v>47119</v>
      </c>
      <c r="AM33" s="350" t="n">
        <f aca="false">Model!AM2</f>
        <v>47150</v>
      </c>
      <c r="AN33" s="350" t="n">
        <f aca="false">Model!AN2</f>
        <v>47178</v>
      </c>
      <c r="AO33" s="350" t="n">
        <f aca="false">Model!AO2</f>
        <v>47209</v>
      </c>
      <c r="AP33" s="350" t="n">
        <f aca="false">Model!AP2</f>
        <v>47239</v>
      </c>
      <c r="AQ33" s="350" t="n">
        <f aca="false">Model!AQ2</f>
        <v>47270</v>
      </c>
      <c r="AR33" s="350" t="n">
        <f aca="false">Model!AR2</f>
        <v>47300</v>
      </c>
      <c r="AS33" s="350" t="n">
        <f aca="false">Model!AS2</f>
        <v>47331</v>
      </c>
      <c r="AT33" s="350" t="n">
        <f aca="false">Model!AT2</f>
        <v>47362</v>
      </c>
      <c r="AU33" s="350" t="n">
        <f aca="false">Model!AU2</f>
        <v>47392</v>
      </c>
      <c r="AV33" s="350" t="n">
        <f aca="false">Model!AV2</f>
        <v>47423</v>
      </c>
      <c r="AW33" s="350" t="n">
        <f aca="false">Model!AW2</f>
        <v>47453</v>
      </c>
      <c r="AX33" s="350" t="n">
        <f aca="false">Model!AX2</f>
        <v>47484</v>
      </c>
      <c r="AY33" s="350" t="n">
        <f aca="false">Model!AY2</f>
        <v>47515</v>
      </c>
      <c r="AZ33" s="350" t="n">
        <f aca="false">Model!AZ2</f>
        <v>47543</v>
      </c>
      <c r="BA33" s="350" t="n">
        <f aca="false">Model!BA2</f>
        <v>47574</v>
      </c>
      <c r="BB33" s="350" t="n">
        <f aca="false">Model!BB2</f>
        <v>47604</v>
      </c>
      <c r="BC33" s="350" t="n">
        <f aca="false">Model!BC2</f>
        <v>47635</v>
      </c>
      <c r="BD33" s="350" t="n">
        <f aca="false">Model!BD2</f>
        <v>47665</v>
      </c>
      <c r="BE33" s="350" t="n">
        <f aca="false">Model!BE2</f>
        <v>47696</v>
      </c>
      <c r="BF33" s="350" t="n">
        <f aca="false">Model!BF2</f>
        <v>47727</v>
      </c>
      <c r="BG33" s="350" t="n">
        <f aca="false">Model!BG2</f>
        <v>47757</v>
      </c>
      <c r="BH33" s="350" t="n">
        <f aca="false">Model!BH2</f>
        <v>47788</v>
      </c>
      <c r="BI33" s="350" t="n">
        <f aca="false">Model!BI2</f>
        <v>47818</v>
      </c>
      <c r="BJ33" s="350" t="n">
        <f aca="false">Model!BJ2</f>
        <v>47849</v>
      </c>
      <c r="BK33" s="350" t="n">
        <f aca="false">Model!BK2</f>
        <v>47880</v>
      </c>
      <c r="BL33" s="350" t="n">
        <f aca="false">Model!BL2</f>
        <v>47908</v>
      </c>
      <c r="BM33" s="350" t="n">
        <f aca="false">Model!BM2</f>
        <v>47939</v>
      </c>
      <c r="BN33" s="350" t="n">
        <f aca="false">Model!BN2</f>
        <v>47969</v>
      </c>
      <c r="BO33" s="350" t="n">
        <f aca="false">Model!BO2</f>
        <v>48000</v>
      </c>
      <c r="BP33" s="350" t="n">
        <f aca="false">Model!BP2</f>
        <v>48030</v>
      </c>
      <c r="BQ33" s="350" t="n">
        <f aca="false">Model!BQ2</f>
        <v>48061</v>
      </c>
      <c r="BR33" s="350" t="n">
        <f aca="false">Model!BR2</f>
        <v>48092</v>
      </c>
      <c r="BS33" s="350" t="n">
        <f aca="false">Model!BS2</f>
        <v>48122</v>
      </c>
      <c r="BT33" s="350" t="n">
        <f aca="false">Model!BT2</f>
        <v>48153</v>
      </c>
      <c r="BU33" s="350" t="n">
        <f aca="false">Model!BU2</f>
        <v>48183</v>
      </c>
      <c r="BV33" s="350" t="n">
        <f aca="false">Model!BV2</f>
        <v>48214</v>
      </c>
      <c r="BW33" s="350" t="n">
        <f aca="false">Model!BW2</f>
        <v>48245</v>
      </c>
      <c r="BX33" s="350" t="n">
        <f aca="false">Model!BX2</f>
        <v>48274</v>
      </c>
      <c r="BY33" s="350" t="n">
        <f aca="false">Model!BY2</f>
        <v>48305</v>
      </c>
      <c r="BZ33" s="350" t="n">
        <f aca="false">Model!BZ2</f>
        <v>48335</v>
      </c>
      <c r="CA33" s="350" t="n">
        <f aca="false">Model!CA2</f>
        <v>48366</v>
      </c>
      <c r="CB33" s="350" t="n">
        <f aca="false">Model!CB2</f>
        <v>48396</v>
      </c>
      <c r="CC33" s="350" t="n">
        <f aca="false">Model!CC2</f>
        <v>48427</v>
      </c>
      <c r="CD33" s="350" t="n">
        <f aca="false">Model!CD2</f>
        <v>48458</v>
      </c>
      <c r="CE33" s="350" t="n">
        <f aca="false">Model!CE2</f>
        <v>48488</v>
      </c>
      <c r="CF33" s="350" t="n">
        <f aca="false">Model!CF2</f>
        <v>48519</v>
      </c>
      <c r="CG33" s="350" t="n">
        <f aca="false">Model!CG2</f>
        <v>48549</v>
      </c>
      <c r="CH33" s="350" t="n">
        <f aca="false">Model!CH2</f>
        <v>48580</v>
      </c>
      <c r="CI33" s="350" t="n">
        <f aca="false">Model!CI2</f>
        <v>48611</v>
      </c>
      <c r="CJ33" s="350" t="n">
        <f aca="false">Model!CJ2</f>
        <v>48639</v>
      </c>
      <c r="CK33" s="350" t="n">
        <f aca="false">Model!CK2</f>
        <v>48670</v>
      </c>
      <c r="CL33" s="350" t="n">
        <f aca="false">Model!CL2</f>
        <v>48700</v>
      </c>
      <c r="CM33" s="350" t="n">
        <f aca="false">Model!CM2</f>
        <v>48731</v>
      </c>
      <c r="CN33" s="350" t="n">
        <f aca="false">Model!CN2</f>
        <v>48761</v>
      </c>
      <c r="CO33" s="350" t="n">
        <f aca="false">Model!CO2</f>
        <v>48792</v>
      </c>
      <c r="CP33" s="350" t="n">
        <f aca="false">Model!CP2</f>
        <v>48823</v>
      </c>
      <c r="CQ33" s="350" t="n">
        <f aca="false">Model!CQ2</f>
        <v>48853</v>
      </c>
      <c r="CR33" s="350" t="n">
        <f aca="false">Model!CR2</f>
        <v>48884</v>
      </c>
      <c r="CS33" s="350" t="n">
        <f aca="false">Model!CS2</f>
        <v>48914</v>
      </c>
      <c r="CT33" s="350" t="n">
        <f aca="false">Model!CT2</f>
        <v>48945</v>
      </c>
      <c r="CU33" s="350" t="n">
        <f aca="false">Model!CU2</f>
        <v>48976</v>
      </c>
      <c r="CV33" s="350" t="n">
        <f aca="false">Model!CV2</f>
        <v>49004</v>
      </c>
      <c r="CW33" s="350" t="n">
        <f aca="false">Model!CW2</f>
        <v>49035</v>
      </c>
      <c r="CX33" s="350" t="n">
        <f aca="false">Model!CX2</f>
        <v>49065</v>
      </c>
      <c r="CY33" s="350" t="n">
        <f aca="false">Model!CY2</f>
        <v>49096</v>
      </c>
      <c r="CZ33" s="350" t="n">
        <f aca="false">Model!CZ2</f>
        <v>49126</v>
      </c>
      <c r="DA33" s="350" t="n">
        <f aca="false">Model!DA2</f>
        <v>49157</v>
      </c>
      <c r="DB33" s="350" t="n">
        <f aca="false">Model!DB2</f>
        <v>49188</v>
      </c>
      <c r="DC33" s="350" t="n">
        <f aca="false">Model!DC2</f>
        <v>49218</v>
      </c>
      <c r="DD33" s="350" t="n">
        <f aca="false">Model!DD2</f>
        <v>49249</v>
      </c>
      <c r="DE33" s="350"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1167</v>
      </c>
      <c r="B36" s="210"/>
      <c r="C36" s="210"/>
      <c r="D36" s="210"/>
      <c r="E36" s="210"/>
      <c r="F36" s="210"/>
    </row>
    <row r="37" customFormat="false" ht="13.5" hidden="false" customHeight="true" outlineLevel="0" collapsed="false">
      <c r="A37" s="109" t="s">
        <v>1168</v>
      </c>
      <c r="E37" s="351" t="n">
        <f aca="false">SUMPRODUCT((Projects!$G$2:$G$45="Yes")*(1&gt;=Projects!$C$2:$C$45)*(1&lt;=Projects!$W$2:$W$45))</f>
        <v>5</v>
      </c>
      <c r="F37" s="351" t="n">
        <f aca="false">SUMPRODUCT((Projects!$G$2:$G$45="Yes")*(2&gt;=Projects!$C$2:$C$45)*(2&lt;=Projects!$W$2:$W$45))</f>
        <v>5</v>
      </c>
      <c r="G37" s="351" t="n">
        <f aca="false">SUMPRODUCT((Projects!$G$2:$G$45="Yes")*(3&gt;=Projects!$C$2:$C$45)*(3&lt;=Projects!$W$2:$W$45))</f>
        <v>5</v>
      </c>
      <c r="H37" s="351" t="n">
        <f aca="false">SUMPRODUCT((Projects!$G$2:$G$45="Yes")*(4&gt;=Projects!$C$2:$C$45)*(4&lt;=Projects!$W$2:$W$45))</f>
        <v>5</v>
      </c>
      <c r="I37" s="351" t="n">
        <f aca="false">SUMPRODUCT((Projects!$G$2:$G$45="Yes")*(5&gt;=Projects!$C$2:$C$45)*(5&lt;=Projects!$W$2:$W$45))</f>
        <v>7</v>
      </c>
      <c r="J37" s="351" t="n">
        <f aca="false">SUMPRODUCT((Projects!$G$2:$G$45="Yes")*(6&gt;=Projects!$C$2:$C$45)*(6&lt;=Projects!$W$2:$W$45))</f>
        <v>8</v>
      </c>
      <c r="K37" s="351" t="n">
        <f aca="false">SUMPRODUCT((Projects!$G$2:$G$45="Yes")*(7&gt;=Projects!$C$2:$C$45)*(7&lt;=Projects!$W$2:$W$45))</f>
        <v>8</v>
      </c>
      <c r="L37" s="351" t="n">
        <f aca="false">SUMPRODUCT((Projects!$G$2:$G$45="Yes")*(8&gt;=Projects!$C$2:$C$45)*(8&lt;=Projects!$W$2:$W$45))</f>
        <v>8</v>
      </c>
      <c r="M37" s="351" t="n">
        <f aca="false">SUMPRODUCT((Projects!$G$2:$G$45="Yes")*(9&gt;=Projects!$C$2:$C$45)*(9&lt;=Projects!$W$2:$W$45))</f>
        <v>9</v>
      </c>
      <c r="N37" s="351" t="n">
        <f aca="false">SUMPRODUCT((Projects!$G$2:$G$45="Yes")*(10&gt;=Projects!$C$2:$C$45)*(10&lt;=Projects!$W$2:$W$45))</f>
        <v>10</v>
      </c>
      <c r="O37" s="351" t="n">
        <f aca="false">SUMPRODUCT((Projects!$G$2:$G$45="Yes")*(11&gt;=Projects!$C$2:$C$45)*(11&lt;=Projects!$W$2:$W$45))</f>
        <v>11</v>
      </c>
      <c r="P37" s="351" t="n">
        <f aca="false">SUMPRODUCT((Projects!$G$2:$G$45="Yes")*(12&gt;=Projects!$C$2:$C$45)*(12&lt;=Projects!$W$2:$W$45))</f>
        <v>11</v>
      </c>
      <c r="Q37" s="351" t="n">
        <f aca="false">SUMPRODUCT((Projects!$G$2:$G$45="Yes")*(13&gt;=Projects!$C$2:$C$45)*(13&lt;=Projects!$W$2:$W$45))</f>
        <v>12</v>
      </c>
      <c r="R37" s="351" t="n">
        <f aca="false">SUMPRODUCT((Projects!$G$2:$G$45="Yes")*(14&gt;=Projects!$C$2:$C$45)*(14&lt;=Projects!$W$2:$W$45))</f>
        <v>13</v>
      </c>
      <c r="S37" s="351" t="n">
        <f aca="false">SUMPRODUCT((Projects!$G$2:$G$45="Yes")*(15&gt;=Projects!$C$2:$C$45)*(15&lt;=Projects!$W$2:$W$45))</f>
        <v>14</v>
      </c>
      <c r="T37" s="351" t="n">
        <f aca="false">SUMPRODUCT((Projects!$G$2:$G$45="Yes")*(16&gt;=Projects!$C$2:$C$45)*(16&lt;=Projects!$W$2:$W$45))</f>
        <v>13</v>
      </c>
      <c r="U37" s="351" t="n">
        <f aca="false">SUMPRODUCT((Projects!$G$2:$G$45="Yes")*(17&gt;=Projects!$C$2:$C$45)*(17&lt;=Projects!$W$2:$W$45))</f>
        <v>13</v>
      </c>
      <c r="V37" s="351" t="n">
        <f aca="false">SUMPRODUCT((Projects!$G$2:$G$45="Yes")*(18&gt;=Projects!$C$2:$C$45)*(18&lt;=Projects!$W$2:$W$45))</f>
        <v>13</v>
      </c>
      <c r="W37" s="351" t="n">
        <f aca="false">SUMPRODUCT((Projects!$G$2:$G$45="Yes")*(19&gt;=Projects!$C$2:$C$45)*(19&lt;=Projects!$W$2:$W$45))</f>
        <v>13</v>
      </c>
      <c r="X37" s="351" t="n">
        <f aca="false">SUMPRODUCT((Projects!$G$2:$G$45="Yes")*(20&gt;=Projects!$C$2:$C$45)*(20&lt;=Projects!$W$2:$W$45))</f>
        <v>12</v>
      </c>
      <c r="Y37" s="351" t="n">
        <f aca="false">SUMPRODUCT((Projects!$G$2:$G$45="Yes")*(21&gt;=Projects!$C$2:$C$45)*(21&lt;=Projects!$W$2:$W$45))</f>
        <v>12</v>
      </c>
      <c r="Z37" s="351" t="n">
        <f aca="false">SUMPRODUCT((Projects!$G$2:$G$45="Yes")*(22&gt;=Projects!$C$2:$C$45)*(22&lt;=Projects!$W$2:$W$45))</f>
        <v>12</v>
      </c>
      <c r="AA37" s="351" t="n">
        <f aca="false">SUMPRODUCT((Projects!$G$2:$G$45="Yes")*(23&gt;=Projects!$C$2:$C$45)*(23&lt;=Projects!$W$2:$W$45))</f>
        <v>12</v>
      </c>
      <c r="AB37" s="351" t="n">
        <f aca="false">SUMPRODUCT((Projects!$G$2:$G$45="Yes")*(24&gt;=Projects!$C$2:$C$45)*(24&lt;=Projects!$W$2:$W$45))</f>
        <v>11</v>
      </c>
      <c r="AC37" s="351" t="n">
        <f aca="false">SUMPRODUCT((Projects!$G$2:$G$45="Yes")*(25&gt;=Projects!$C$2:$C$45)*(25&lt;=Projects!$W$2:$W$45))</f>
        <v>10</v>
      </c>
      <c r="AD37" s="351" t="n">
        <f aca="false">SUMPRODUCT((Projects!$G$2:$G$45="Yes")*(26&gt;=Projects!$C$2:$C$45)*(26&lt;=Projects!$W$2:$W$45))</f>
        <v>10</v>
      </c>
      <c r="AE37" s="351" t="n">
        <f aca="false">SUMPRODUCT((Projects!$G$2:$G$45="Yes")*(27&gt;=Projects!$C$2:$C$45)*(27&lt;=Projects!$W$2:$W$45))</f>
        <v>11</v>
      </c>
      <c r="AF37" s="351" t="n">
        <f aca="false">SUMPRODUCT((Projects!$G$2:$G$45="Yes")*(28&gt;=Projects!$C$2:$C$45)*(28&lt;=Projects!$W$2:$W$45))</f>
        <v>11</v>
      </c>
      <c r="AG37" s="351" t="n">
        <f aca="false">SUMPRODUCT((Projects!$G$2:$G$45="Yes")*(29&gt;=Projects!$C$2:$C$45)*(29&lt;=Projects!$W$2:$W$45))</f>
        <v>9</v>
      </c>
      <c r="AH37" s="351" t="n">
        <f aca="false">SUMPRODUCT((Projects!$G$2:$G$45="Yes")*(30&gt;=Projects!$C$2:$C$45)*(30&lt;=Projects!$W$2:$W$45))</f>
        <v>8</v>
      </c>
      <c r="AI37" s="351" t="n">
        <f aca="false">SUMPRODUCT((Projects!$G$2:$G$45="Yes")*(31&gt;=Projects!$C$2:$C$45)*(31&lt;=Projects!$W$2:$W$45))</f>
        <v>7</v>
      </c>
      <c r="AJ37" s="351" t="n">
        <f aca="false">SUMPRODUCT((Projects!$G$2:$G$45="Yes")*(32&gt;=Projects!$C$2:$C$45)*(32&lt;=Projects!$W$2:$W$45))</f>
        <v>7</v>
      </c>
      <c r="AK37" s="351" t="n">
        <f aca="false">SUMPRODUCT((Projects!$G$2:$G$45="Yes")*(33&gt;=Projects!$C$2:$C$45)*(33&lt;=Projects!$W$2:$W$45))</f>
        <v>5</v>
      </c>
      <c r="AL37" s="351" t="n">
        <f aca="false">SUMPRODUCT((Projects!$G$2:$G$45="Yes")*(34&gt;=Projects!$C$2:$C$45)*(34&lt;=Projects!$W$2:$W$45))</f>
        <v>5</v>
      </c>
      <c r="AM37" s="351" t="n">
        <f aca="false">SUMPRODUCT((Projects!$G$2:$G$45="Yes")*(35&gt;=Projects!$C$2:$C$45)*(35&lt;=Projects!$W$2:$W$45))</f>
        <v>5</v>
      </c>
      <c r="AN37" s="351" t="n">
        <f aca="false">SUMPRODUCT((Projects!$G$2:$G$45="Yes")*(36&gt;=Projects!$C$2:$C$45)*(36&lt;=Projects!$W$2:$W$45))</f>
        <v>5</v>
      </c>
      <c r="AO37" s="351" t="n">
        <f aca="false">SUMPRODUCT((Projects!$G$2:$G$45="Yes")*(37&gt;=Projects!$C$2:$C$45)*(37&lt;=Projects!$W$2:$W$45))</f>
        <v>3</v>
      </c>
      <c r="AP37" s="351" t="n">
        <f aca="false">SUMPRODUCT((Projects!$G$2:$G$45="Yes")*(38&gt;=Projects!$C$2:$C$45)*(38&lt;=Projects!$W$2:$W$45))</f>
        <v>2</v>
      </c>
      <c r="AQ37" s="351" t="n">
        <f aca="false">SUMPRODUCT((Projects!$G$2:$G$45="Yes")*(39&gt;=Projects!$C$2:$C$45)*(39&lt;=Projects!$W$2:$W$45))</f>
        <v>2</v>
      </c>
      <c r="AR37" s="351" t="n">
        <f aca="false">SUMPRODUCT((Projects!$G$2:$G$45="Yes")*(40&gt;=Projects!$C$2:$C$45)*(40&lt;=Projects!$W$2:$W$45))</f>
        <v>2</v>
      </c>
      <c r="AS37" s="351" t="n">
        <f aca="false">SUMPRODUCT((Projects!$G$2:$G$45="Yes")*(41&gt;=Projects!$C$2:$C$45)*(41&lt;=Projects!$W$2:$W$45))</f>
        <v>2</v>
      </c>
      <c r="AT37" s="351" t="n">
        <f aca="false">SUMPRODUCT((Projects!$G$2:$G$45="Yes")*(42&gt;=Projects!$C$2:$C$45)*(42&lt;=Projects!$W$2:$W$45))</f>
        <v>2</v>
      </c>
      <c r="AU37" s="351" t="n">
        <f aca="false">SUMPRODUCT((Projects!$G$2:$G$45="Yes")*(43&gt;=Projects!$C$2:$C$45)*(43&lt;=Projects!$W$2:$W$45))</f>
        <v>2</v>
      </c>
      <c r="AV37" s="351" t="n">
        <f aca="false">SUMPRODUCT((Projects!$G$2:$G$45="Yes")*(44&gt;=Projects!$C$2:$C$45)*(44&lt;=Projects!$W$2:$W$45))</f>
        <v>2</v>
      </c>
      <c r="AW37" s="351" t="n">
        <f aca="false">SUMPRODUCT((Projects!$G$2:$G$45="Yes")*(45&gt;=Projects!$C$2:$C$45)*(45&lt;=Projects!$W$2:$W$45))</f>
        <v>1</v>
      </c>
      <c r="AX37" s="351" t="n">
        <f aca="false">SUMPRODUCT((Projects!$G$2:$G$45="Yes")*(46&gt;=Projects!$C$2:$C$45)*(46&lt;=Projects!$W$2:$W$45))</f>
        <v>1</v>
      </c>
      <c r="AY37" s="351" t="n">
        <f aca="false">SUMPRODUCT((Projects!$G$2:$G$45="Yes")*(47&gt;=Projects!$C$2:$C$45)*(47&lt;=Projects!$W$2:$W$45))</f>
        <v>1</v>
      </c>
      <c r="AZ37" s="351" t="n">
        <f aca="false">SUMPRODUCT((Projects!$G$2:$G$45="Yes")*(48&gt;=Projects!$C$2:$C$45)*(48&lt;=Projects!$W$2:$W$45))</f>
        <v>1</v>
      </c>
      <c r="BA37" s="351" t="n">
        <f aca="false">SUMPRODUCT((Projects!$G$2:$G$45="Yes")*(49&gt;=Projects!$C$2:$C$45)*(49&lt;=Projects!$W$2:$W$45))</f>
        <v>1</v>
      </c>
      <c r="BB37" s="351" t="n">
        <f aca="false">SUMPRODUCT((Projects!$G$2:$G$45="Yes")*(50&gt;=Projects!$C$2:$C$45)*(50&lt;=Projects!$W$2:$W$45))</f>
        <v>1</v>
      </c>
      <c r="BC37" s="351" t="n">
        <f aca="false">SUMPRODUCT((Projects!$G$2:$G$45="Yes")*(51&gt;=Projects!$C$2:$C$45)*(51&lt;=Projects!$W$2:$W$45))</f>
        <v>1</v>
      </c>
      <c r="BD37" s="351" t="n">
        <f aca="false">SUMPRODUCT((Projects!$G$2:$G$45="Yes")*(52&gt;=Projects!$C$2:$C$45)*(52&lt;=Projects!$W$2:$W$45))</f>
        <v>1</v>
      </c>
      <c r="BE37" s="351" t="n">
        <f aca="false">SUMPRODUCT((Projects!$G$2:$G$45="Yes")*(53&gt;=Projects!$C$2:$C$45)*(53&lt;=Projects!$W$2:$W$45))</f>
        <v>1</v>
      </c>
      <c r="BF37" s="351" t="n">
        <f aca="false">SUMPRODUCT((Projects!$G$2:$G$45="Yes")*(54&gt;=Projects!$C$2:$C$45)*(54&lt;=Projects!$W$2:$W$45))</f>
        <v>1</v>
      </c>
      <c r="BG37" s="351" t="n">
        <f aca="false">SUMPRODUCT((Projects!$G$2:$G$45="Yes")*(55&gt;=Projects!$C$2:$C$45)*(55&lt;=Projects!$W$2:$W$45))</f>
        <v>1</v>
      </c>
      <c r="BH37" s="351" t="n">
        <f aca="false">SUMPRODUCT((Projects!$G$2:$G$45="Yes")*(56&gt;=Projects!$C$2:$C$45)*(56&lt;=Projects!$W$2:$W$45))</f>
        <v>1</v>
      </c>
      <c r="BI37" s="351" t="n">
        <f aca="false">SUMPRODUCT((Projects!$G$2:$G$45="Yes")*(57&gt;=Projects!$C$2:$C$45)*(57&lt;=Projects!$W$2:$W$45))</f>
        <v>0</v>
      </c>
      <c r="BJ37" s="351" t="n">
        <f aca="false">SUMPRODUCT((Projects!$G$2:$G$45="Yes")*(58&gt;=Projects!$C$2:$C$45)*(58&lt;=Projects!$W$2:$W$45))</f>
        <v>0</v>
      </c>
      <c r="BK37" s="351" t="n">
        <f aca="false">SUMPRODUCT((Projects!$G$2:$G$45="Yes")*(59&gt;=Projects!$C$2:$C$45)*(59&lt;=Projects!$W$2:$W$45))</f>
        <v>0</v>
      </c>
      <c r="BL37" s="351" t="n">
        <f aca="false">SUMPRODUCT((Projects!$G$2:$G$45="Yes")*(60&gt;=Projects!$C$2:$C$45)*(60&lt;=Projects!$W$2:$W$45))</f>
        <v>0</v>
      </c>
      <c r="BM37" s="351" t="n">
        <f aca="false">SUMPRODUCT((Projects!$G$2:$G$45="Yes")*(61&gt;=Projects!$C$2:$C$45)*(61&lt;=Projects!$W$2:$W$45))</f>
        <v>0</v>
      </c>
      <c r="BN37" s="351" t="n">
        <f aca="false">SUMPRODUCT((Projects!$G$2:$G$45="Yes")*(62&gt;=Projects!$C$2:$C$45)*(62&lt;=Projects!$W$2:$W$45))</f>
        <v>0</v>
      </c>
      <c r="BO37" s="351" t="n">
        <f aca="false">SUMPRODUCT((Projects!$G$2:$G$45="Yes")*(63&gt;=Projects!$C$2:$C$45)*(63&lt;=Projects!$W$2:$W$45))</f>
        <v>0</v>
      </c>
      <c r="BP37" s="351" t="n">
        <f aca="false">SUMPRODUCT((Projects!$G$2:$G$45="Yes")*(64&gt;=Projects!$C$2:$C$45)*(64&lt;=Projects!$W$2:$W$45))</f>
        <v>0</v>
      </c>
      <c r="BQ37" s="351" t="n">
        <f aca="false">SUMPRODUCT((Projects!$G$2:$G$45="Yes")*(65&gt;=Projects!$C$2:$C$45)*(65&lt;=Projects!$W$2:$W$45))</f>
        <v>0</v>
      </c>
      <c r="BR37" s="351" t="n">
        <f aca="false">SUMPRODUCT((Projects!$G$2:$G$45="Yes")*(66&gt;=Projects!$C$2:$C$45)*(66&lt;=Projects!$W$2:$W$45))</f>
        <v>0</v>
      </c>
      <c r="BS37" s="351" t="n">
        <f aca="false">SUMPRODUCT((Projects!$G$2:$G$45="Yes")*(67&gt;=Projects!$C$2:$C$45)*(67&lt;=Projects!$W$2:$W$45))</f>
        <v>0</v>
      </c>
      <c r="BT37" s="351" t="n">
        <f aca="false">SUMPRODUCT((Projects!$G$2:$G$45="Yes")*(68&gt;=Projects!$C$2:$C$45)*(68&lt;=Projects!$W$2:$W$45))</f>
        <v>0</v>
      </c>
      <c r="BU37" s="351" t="n">
        <f aca="false">SUMPRODUCT((Projects!$G$2:$G$45="Yes")*(69&gt;=Projects!$C$2:$C$45)*(69&lt;=Projects!$W$2:$W$45))</f>
        <v>0</v>
      </c>
      <c r="BV37" s="351" t="n">
        <f aca="false">SUMPRODUCT((Projects!$G$2:$G$45="Yes")*(70&gt;=Projects!$C$2:$C$45)*(70&lt;=Projects!$W$2:$W$45))</f>
        <v>0</v>
      </c>
      <c r="BW37" s="351" t="n">
        <f aca="false">SUMPRODUCT((Projects!$G$2:$G$45="Yes")*(71&gt;=Projects!$C$2:$C$45)*(71&lt;=Projects!$W$2:$W$45))</f>
        <v>0</v>
      </c>
      <c r="BX37" s="351" t="n">
        <f aca="false">SUMPRODUCT((Projects!$G$2:$G$45="Yes")*(72&gt;=Projects!$C$2:$C$45)*(72&lt;=Projects!$W$2:$W$45))</f>
        <v>0</v>
      </c>
      <c r="BY37" s="351" t="n">
        <f aca="false">SUMPRODUCT((Projects!$G$2:$G$45="Yes")*(73&gt;=Projects!$C$2:$C$45)*(73&lt;=Projects!$W$2:$W$45))</f>
        <v>0</v>
      </c>
      <c r="BZ37" s="351" t="n">
        <f aca="false">SUMPRODUCT((Projects!$G$2:$G$45="Yes")*(74&gt;=Projects!$C$2:$C$45)*(74&lt;=Projects!$W$2:$W$45))</f>
        <v>0</v>
      </c>
      <c r="CA37" s="351" t="n">
        <f aca="false">SUMPRODUCT((Projects!$G$2:$G$45="Yes")*(75&gt;=Projects!$C$2:$C$45)*(75&lt;=Projects!$W$2:$W$45))</f>
        <v>0</v>
      </c>
      <c r="CB37" s="351" t="n">
        <f aca="false">SUMPRODUCT((Projects!$G$2:$G$45="Yes")*(76&gt;=Projects!$C$2:$C$45)*(76&lt;=Projects!$W$2:$W$45))</f>
        <v>0</v>
      </c>
      <c r="CC37" s="351" t="n">
        <f aca="false">SUMPRODUCT((Projects!$G$2:$G$45="Yes")*(77&gt;=Projects!$C$2:$C$45)*(77&lt;=Projects!$W$2:$W$45))</f>
        <v>0</v>
      </c>
      <c r="CD37" s="351" t="n">
        <f aca="false">SUMPRODUCT((Projects!$G$2:$G$45="Yes")*(78&gt;=Projects!$C$2:$C$45)*(78&lt;=Projects!$W$2:$W$45))</f>
        <v>0</v>
      </c>
      <c r="CE37" s="351" t="n">
        <f aca="false">SUMPRODUCT((Projects!$G$2:$G$45="Yes")*(79&gt;=Projects!$C$2:$C$45)*(79&lt;=Projects!$W$2:$W$45))</f>
        <v>0</v>
      </c>
      <c r="CF37" s="351" t="n">
        <f aca="false">SUMPRODUCT((Projects!$G$2:$G$45="Yes")*(80&gt;=Projects!$C$2:$C$45)*(80&lt;=Projects!$W$2:$W$45))</f>
        <v>0</v>
      </c>
      <c r="CG37" s="351" t="n">
        <f aca="false">SUMPRODUCT((Projects!$G$2:$G$45="Yes")*(81&gt;=Projects!$C$2:$C$45)*(81&lt;=Projects!$W$2:$W$45))</f>
        <v>0</v>
      </c>
      <c r="CH37" s="351" t="n">
        <f aca="false">SUMPRODUCT((Projects!$G$2:$G$45="Yes")*(82&gt;=Projects!$C$2:$C$45)*(82&lt;=Projects!$W$2:$W$45))</f>
        <v>0</v>
      </c>
      <c r="CI37" s="351" t="n">
        <f aca="false">SUMPRODUCT((Projects!$G$2:$G$45="Yes")*(83&gt;=Projects!$C$2:$C$45)*(83&lt;=Projects!$W$2:$W$45))</f>
        <v>0</v>
      </c>
      <c r="CJ37" s="351" t="n">
        <f aca="false">SUMPRODUCT((Projects!$G$2:$G$45="Yes")*(84&gt;=Projects!$C$2:$C$45)*(84&lt;=Projects!$W$2:$W$45))</f>
        <v>0</v>
      </c>
      <c r="CK37" s="351" t="n">
        <f aca="false">SUMPRODUCT((Projects!$G$2:$G$45="Yes")*(85&gt;=Projects!$C$2:$C$45)*(85&lt;=Projects!$W$2:$W$45))</f>
        <v>0</v>
      </c>
      <c r="CL37" s="351" t="n">
        <f aca="false">SUMPRODUCT((Projects!$G$2:$G$45="Yes")*(86&gt;=Projects!$C$2:$C$45)*(86&lt;=Projects!$W$2:$W$45))</f>
        <v>0</v>
      </c>
      <c r="CM37" s="351" t="n">
        <f aca="false">SUMPRODUCT((Projects!$G$2:$G$45="Yes")*(87&gt;=Projects!$C$2:$C$45)*(87&lt;=Projects!$W$2:$W$45))</f>
        <v>0</v>
      </c>
      <c r="CN37" s="351" t="n">
        <f aca="false">SUMPRODUCT((Projects!$G$2:$G$45="Yes")*(88&gt;=Projects!$C$2:$C$45)*(88&lt;=Projects!$W$2:$W$45))</f>
        <v>0</v>
      </c>
      <c r="CO37" s="351" t="n">
        <f aca="false">SUMPRODUCT((Projects!$G$2:$G$45="Yes")*(89&gt;=Projects!$C$2:$C$45)*(89&lt;=Projects!$W$2:$W$45))</f>
        <v>0</v>
      </c>
      <c r="CP37" s="351" t="n">
        <f aca="false">SUMPRODUCT((Projects!$G$2:$G$45="Yes")*(90&gt;=Projects!$C$2:$C$45)*(90&lt;=Projects!$W$2:$W$45))</f>
        <v>0</v>
      </c>
      <c r="CQ37" s="351" t="n">
        <f aca="false">SUMPRODUCT((Projects!$G$2:$G$45="Yes")*(91&gt;=Projects!$C$2:$C$45)*(91&lt;=Projects!$W$2:$W$45))</f>
        <v>0</v>
      </c>
      <c r="CR37" s="351" t="n">
        <f aca="false">SUMPRODUCT((Projects!$G$2:$G$45="Yes")*(92&gt;=Projects!$C$2:$C$45)*(92&lt;=Projects!$W$2:$W$45))</f>
        <v>0</v>
      </c>
      <c r="CS37" s="351" t="n">
        <f aca="false">SUMPRODUCT((Projects!$G$2:$G$45="Yes")*(93&gt;=Projects!$C$2:$C$45)*(93&lt;=Projects!$W$2:$W$45))</f>
        <v>0</v>
      </c>
      <c r="CT37" s="351" t="n">
        <f aca="false">SUMPRODUCT((Projects!$G$2:$G$45="Yes")*(94&gt;=Projects!$C$2:$C$45)*(94&lt;=Projects!$W$2:$W$45))</f>
        <v>0</v>
      </c>
      <c r="CU37" s="351" t="n">
        <f aca="false">SUMPRODUCT((Projects!$G$2:$G$45="Yes")*(95&gt;=Projects!$C$2:$C$45)*(95&lt;=Projects!$W$2:$W$45))</f>
        <v>0</v>
      </c>
      <c r="CV37" s="351" t="n">
        <f aca="false">SUMPRODUCT((Projects!$G$2:$G$45="Yes")*(96&gt;=Projects!$C$2:$C$45)*(96&lt;=Projects!$W$2:$W$45))</f>
        <v>0</v>
      </c>
      <c r="CW37" s="351" t="n">
        <f aca="false">SUMPRODUCT((Projects!$G$2:$G$45="Yes")*(97&gt;=Projects!$C$2:$C$45)*(97&lt;=Projects!$W$2:$W$45))</f>
        <v>0</v>
      </c>
      <c r="CX37" s="351" t="n">
        <f aca="false">SUMPRODUCT((Projects!$G$2:$G$45="Yes")*(98&gt;=Projects!$C$2:$C$45)*(98&lt;=Projects!$W$2:$W$45))</f>
        <v>0</v>
      </c>
      <c r="CY37" s="351" t="n">
        <f aca="false">SUMPRODUCT((Projects!$G$2:$G$45="Yes")*(99&gt;=Projects!$C$2:$C$45)*(99&lt;=Projects!$W$2:$W$45))</f>
        <v>0</v>
      </c>
      <c r="CZ37" s="351" t="n">
        <f aca="false">SUMPRODUCT((Projects!$G$2:$G$45="Yes")*(100&gt;=Projects!$C$2:$C$45)*(100&lt;=Projects!$W$2:$W$45))</f>
        <v>0</v>
      </c>
      <c r="DA37" s="351" t="n">
        <f aca="false">SUMPRODUCT((Projects!$G$2:$G$45="Yes")*(101&gt;=Projects!$C$2:$C$45)*(101&lt;=Projects!$W$2:$W$45))</f>
        <v>0</v>
      </c>
      <c r="DB37" s="351" t="n">
        <f aca="false">SUMPRODUCT((Projects!$G$2:$G$45="Yes")*(102&gt;=Projects!$C$2:$C$45)*(102&lt;=Projects!$W$2:$W$45))</f>
        <v>0</v>
      </c>
      <c r="DC37" s="351" t="n">
        <f aca="false">SUMPRODUCT((Projects!$G$2:$G$45="Yes")*(103&gt;=Projects!$C$2:$C$45)*(103&lt;=Projects!$W$2:$W$45))</f>
        <v>0</v>
      </c>
      <c r="DD37" s="351" t="n">
        <f aca="false">SUMPRODUCT((Projects!$G$2:$G$45="Yes")*(104&gt;=Projects!$C$2:$C$45)*(104&lt;=Projects!$W$2:$W$45))</f>
        <v>0</v>
      </c>
      <c r="DE37" s="351" t="n">
        <f aca="false">SUMPRODUCT((Projects!$G$2:$G$45="Yes")*(105&gt;=Projects!$C$2:$C$45)*(105&lt;=Projects!$W$2:$W$45))</f>
        <v>0</v>
      </c>
    </row>
    <row r="38" customFormat="false" ht="13.5" hidden="false" customHeight="true" outlineLevel="0" collapsed="false">
      <c r="A38" s="109" t="s">
        <v>1169</v>
      </c>
      <c r="E38" s="351" t="n">
        <f aca="false">SUMPRODUCT((Projects!$G$2:$G$45="Yes")*(1&gt;=Projects!$C$2:$C$45-$B$14)*(1&lt;=Projects!$W$2:$W$45+$B$17))*$B$5</f>
        <v>4.375</v>
      </c>
      <c r="F38" s="351" t="n">
        <f aca="false">SUMPRODUCT((Projects!$G$2:$G$45="Yes")*(2&gt;=Projects!$C$2:$C$45-$B$14)*(2&lt;=Projects!$W$2:$W$45+$B$17))*$B$5</f>
        <v>4.375</v>
      </c>
      <c r="G38" s="351" t="n">
        <f aca="false">SUMPRODUCT((Projects!$G$2:$G$45="Yes")*(3&gt;=Projects!$C$2:$C$45-$B$14)*(3&lt;=Projects!$W$2:$W$45+$B$17))*$B$5</f>
        <v>4.375</v>
      </c>
      <c r="H38" s="351" t="n">
        <f aca="false">SUMPRODUCT((Projects!$G$2:$G$45="Yes")*(4&gt;=Projects!$C$2:$C$45-$B$14)*(4&lt;=Projects!$W$2:$W$45+$B$17))*$B$5</f>
        <v>4.375</v>
      </c>
      <c r="I38" s="351" t="n">
        <f aca="false">SUMPRODUCT((Projects!$G$2:$G$45="Yes")*(5&gt;=Projects!$C$2:$C$45-$B$14)*(5&lt;=Projects!$W$2:$W$45+$B$17))*$B$5</f>
        <v>6.125</v>
      </c>
      <c r="J38" s="351" t="n">
        <f aca="false">SUMPRODUCT((Projects!$G$2:$G$45="Yes")*(6&gt;=Projects!$C$2:$C$45-$B$14)*(6&lt;=Projects!$W$2:$W$45+$B$17))*$B$5</f>
        <v>7</v>
      </c>
      <c r="K38" s="351" t="n">
        <f aca="false">SUMPRODUCT((Projects!$G$2:$G$45="Yes")*(7&gt;=Projects!$C$2:$C$45-$B$14)*(7&lt;=Projects!$W$2:$W$45+$B$17))*$B$5</f>
        <v>7</v>
      </c>
      <c r="L38" s="351" t="n">
        <f aca="false">SUMPRODUCT((Projects!$G$2:$G$45="Yes")*(8&gt;=Projects!$C$2:$C$45-$B$14)*(8&lt;=Projects!$W$2:$W$45+$B$17))*$B$5</f>
        <v>7</v>
      </c>
      <c r="M38" s="351" t="n">
        <f aca="false">SUMPRODUCT((Projects!$G$2:$G$45="Yes")*(9&gt;=Projects!$C$2:$C$45-$B$14)*(9&lt;=Projects!$W$2:$W$45+$B$17))*$B$5</f>
        <v>8.75</v>
      </c>
      <c r="N38" s="351" t="n">
        <f aca="false">SUMPRODUCT((Projects!$G$2:$G$45="Yes")*(10&gt;=Projects!$C$2:$C$45-$B$14)*(10&lt;=Projects!$W$2:$W$45+$B$17))*$B$5</f>
        <v>8.75</v>
      </c>
      <c r="O38" s="351" t="n">
        <f aca="false">SUMPRODUCT((Projects!$G$2:$G$45="Yes")*(11&gt;=Projects!$C$2:$C$45-$B$14)*(11&lt;=Projects!$W$2:$W$45+$B$17))*$B$5</f>
        <v>9.625</v>
      </c>
      <c r="P38" s="351" t="n">
        <f aca="false">SUMPRODUCT((Projects!$G$2:$G$45="Yes")*(12&gt;=Projects!$C$2:$C$45-$B$14)*(12&lt;=Projects!$W$2:$W$45+$B$17))*$B$5</f>
        <v>9.625</v>
      </c>
      <c r="Q38" s="351" t="n">
        <f aca="false">SUMPRODUCT((Projects!$G$2:$G$45="Yes")*(13&gt;=Projects!$C$2:$C$45-$B$14)*(13&lt;=Projects!$W$2:$W$45+$B$17))*$B$5</f>
        <v>10.5</v>
      </c>
      <c r="R38" s="351" t="n">
        <f aca="false">SUMPRODUCT((Projects!$G$2:$G$45="Yes")*(14&gt;=Projects!$C$2:$C$45-$B$14)*(14&lt;=Projects!$W$2:$W$45+$B$17))*$B$5</f>
        <v>11.375</v>
      </c>
      <c r="S38" s="351" t="n">
        <f aca="false">SUMPRODUCT((Projects!$G$2:$G$45="Yes")*(15&gt;=Projects!$C$2:$C$45-$B$14)*(15&lt;=Projects!$W$2:$W$45+$B$17))*$B$5</f>
        <v>12.25</v>
      </c>
      <c r="T38" s="351" t="n">
        <f aca="false">SUMPRODUCT((Projects!$G$2:$G$45="Yes")*(16&gt;=Projects!$C$2:$C$45-$B$14)*(16&lt;=Projects!$W$2:$W$45+$B$17))*$B$5</f>
        <v>12.25</v>
      </c>
      <c r="U38" s="351" t="n">
        <f aca="false">SUMPRODUCT((Projects!$G$2:$G$45="Yes")*(17&gt;=Projects!$C$2:$C$45-$B$14)*(17&lt;=Projects!$W$2:$W$45+$B$17))*$B$5</f>
        <v>11.375</v>
      </c>
      <c r="V38" s="351" t="n">
        <f aca="false">SUMPRODUCT((Projects!$G$2:$G$45="Yes")*(18&gt;=Projects!$C$2:$C$45-$B$14)*(18&lt;=Projects!$W$2:$W$45+$B$17))*$B$5</f>
        <v>12.25</v>
      </c>
      <c r="W38" s="351" t="n">
        <f aca="false">SUMPRODUCT((Projects!$G$2:$G$45="Yes")*(19&gt;=Projects!$C$2:$C$45-$B$14)*(19&lt;=Projects!$W$2:$W$45+$B$17))*$B$5</f>
        <v>12.25</v>
      </c>
      <c r="X38" s="351" t="n">
        <f aca="false">SUMPRODUCT((Projects!$G$2:$G$45="Yes")*(20&gt;=Projects!$C$2:$C$45-$B$14)*(20&lt;=Projects!$W$2:$W$45+$B$17))*$B$5</f>
        <v>11.375</v>
      </c>
      <c r="Y38" s="351" t="n">
        <f aca="false">SUMPRODUCT((Projects!$G$2:$G$45="Yes")*(21&gt;=Projects!$C$2:$C$45-$B$14)*(21&lt;=Projects!$W$2:$W$45+$B$17))*$B$5</f>
        <v>10.5</v>
      </c>
      <c r="Z38" s="351" t="n">
        <f aca="false">SUMPRODUCT((Projects!$G$2:$G$45="Yes")*(22&gt;=Projects!$C$2:$C$45-$B$14)*(22&lt;=Projects!$W$2:$W$45+$B$17))*$B$5</f>
        <v>10.5</v>
      </c>
      <c r="AA38" s="351" t="n">
        <f aca="false">SUMPRODUCT((Projects!$G$2:$G$45="Yes")*(23&gt;=Projects!$C$2:$C$45-$B$14)*(23&lt;=Projects!$W$2:$W$45+$B$17))*$B$5</f>
        <v>10.5</v>
      </c>
      <c r="AB38" s="351" t="n">
        <f aca="false">SUMPRODUCT((Projects!$G$2:$G$45="Yes")*(24&gt;=Projects!$C$2:$C$45-$B$14)*(24&lt;=Projects!$W$2:$W$45+$B$17))*$B$5</f>
        <v>10.5</v>
      </c>
      <c r="AC38" s="351" t="n">
        <f aca="false">SUMPRODUCT((Projects!$G$2:$G$45="Yes")*(25&gt;=Projects!$C$2:$C$45-$B$14)*(25&lt;=Projects!$W$2:$W$45+$B$17))*$B$5</f>
        <v>9.625</v>
      </c>
      <c r="AD38" s="351" t="n">
        <f aca="false">SUMPRODUCT((Projects!$G$2:$G$45="Yes")*(26&gt;=Projects!$C$2:$C$45-$B$14)*(26&lt;=Projects!$W$2:$W$45+$B$17))*$B$5</f>
        <v>8.75</v>
      </c>
      <c r="AE38" s="351" t="n">
        <f aca="false">SUMPRODUCT((Projects!$G$2:$G$45="Yes")*(27&gt;=Projects!$C$2:$C$45-$B$14)*(27&lt;=Projects!$W$2:$W$45+$B$17))*$B$5</f>
        <v>9.625</v>
      </c>
      <c r="AF38" s="351" t="n">
        <f aca="false">SUMPRODUCT((Projects!$G$2:$G$45="Yes")*(28&gt;=Projects!$C$2:$C$45-$B$14)*(28&lt;=Projects!$W$2:$W$45+$B$17))*$B$5</f>
        <v>9.625</v>
      </c>
      <c r="AG38" s="351" t="n">
        <f aca="false">SUMPRODUCT((Projects!$G$2:$G$45="Yes")*(29&gt;=Projects!$C$2:$C$45-$B$14)*(29&lt;=Projects!$W$2:$W$45+$B$17))*$B$5</f>
        <v>9.625</v>
      </c>
      <c r="AH38" s="351" t="n">
        <f aca="false">SUMPRODUCT((Projects!$G$2:$G$45="Yes")*(30&gt;=Projects!$C$2:$C$45-$B$14)*(30&lt;=Projects!$W$2:$W$45+$B$17))*$B$5</f>
        <v>7.875</v>
      </c>
      <c r="AI38" s="351" t="n">
        <f aca="false">SUMPRODUCT((Projects!$G$2:$G$45="Yes")*(31&gt;=Projects!$C$2:$C$45-$B$14)*(31&lt;=Projects!$W$2:$W$45+$B$17))*$B$5</f>
        <v>7</v>
      </c>
      <c r="AJ38" s="351" t="n">
        <f aca="false">SUMPRODUCT((Projects!$G$2:$G$45="Yes")*(32&gt;=Projects!$C$2:$C$45-$B$14)*(32&lt;=Projects!$W$2:$W$45+$B$17))*$B$5</f>
        <v>6.125</v>
      </c>
      <c r="AK38" s="351" t="n">
        <f aca="false">SUMPRODUCT((Projects!$G$2:$G$45="Yes")*(33&gt;=Projects!$C$2:$C$45-$B$14)*(33&lt;=Projects!$W$2:$W$45+$B$17))*$B$5</f>
        <v>6.125</v>
      </c>
      <c r="AL38" s="351" t="n">
        <f aca="false">SUMPRODUCT((Projects!$G$2:$G$45="Yes")*(34&gt;=Projects!$C$2:$C$45-$B$14)*(34&lt;=Projects!$W$2:$W$45+$B$17))*$B$5</f>
        <v>4.375</v>
      </c>
      <c r="AM38" s="351" t="n">
        <f aca="false">SUMPRODUCT((Projects!$G$2:$G$45="Yes")*(35&gt;=Projects!$C$2:$C$45-$B$14)*(35&lt;=Projects!$W$2:$W$45+$B$17))*$B$5</f>
        <v>4.375</v>
      </c>
      <c r="AN38" s="351" t="n">
        <f aca="false">SUMPRODUCT((Projects!$G$2:$G$45="Yes")*(36&gt;=Projects!$C$2:$C$45-$B$14)*(36&lt;=Projects!$W$2:$W$45+$B$17))*$B$5</f>
        <v>4.375</v>
      </c>
      <c r="AO38" s="351" t="n">
        <f aca="false">SUMPRODUCT((Projects!$G$2:$G$45="Yes")*(37&gt;=Projects!$C$2:$C$45-$B$14)*(37&lt;=Projects!$W$2:$W$45+$B$17))*$B$5</f>
        <v>4.375</v>
      </c>
      <c r="AP38" s="351" t="n">
        <f aca="false">SUMPRODUCT((Projects!$G$2:$G$45="Yes")*(38&gt;=Projects!$C$2:$C$45-$B$14)*(38&lt;=Projects!$W$2:$W$45+$B$17))*$B$5</f>
        <v>2.625</v>
      </c>
      <c r="AQ38" s="351" t="n">
        <f aca="false">SUMPRODUCT((Projects!$G$2:$G$45="Yes")*(39&gt;=Projects!$C$2:$C$45-$B$14)*(39&lt;=Projects!$W$2:$W$45+$B$17))*$B$5</f>
        <v>1.75</v>
      </c>
      <c r="AR38" s="351" t="n">
        <f aca="false">SUMPRODUCT((Projects!$G$2:$G$45="Yes")*(40&gt;=Projects!$C$2:$C$45-$B$14)*(40&lt;=Projects!$W$2:$W$45+$B$17))*$B$5</f>
        <v>1.75</v>
      </c>
      <c r="AS38" s="351" t="n">
        <f aca="false">SUMPRODUCT((Projects!$G$2:$G$45="Yes")*(41&gt;=Projects!$C$2:$C$45-$B$14)*(41&lt;=Projects!$W$2:$W$45+$B$17))*$B$5</f>
        <v>1.75</v>
      </c>
      <c r="AT38" s="351" t="n">
        <f aca="false">SUMPRODUCT((Projects!$G$2:$G$45="Yes")*(42&gt;=Projects!$C$2:$C$45-$B$14)*(42&lt;=Projects!$W$2:$W$45+$B$17))*$B$5</f>
        <v>1.75</v>
      </c>
      <c r="AU38" s="351" t="n">
        <f aca="false">SUMPRODUCT((Projects!$G$2:$G$45="Yes")*(43&gt;=Projects!$C$2:$C$45-$B$14)*(43&lt;=Projects!$W$2:$W$45+$B$17))*$B$5</f>
        <v>1.75</v>
      </c>
      <c r="AV38" s="351" t="n">
        <f aca="false">SUMPRODUCT((Projects!$G$2:$G$45="Yes")*(44&gt;=Projects!$C$2:$C$45-$B$14)*(44&lt;=Projects!$W$2:$W$45+$B$17))*$B$5</f>
        <v>1.75</v>
      </c>
      <c r="AW38" s="351" t="n">
        <f aca="false">SUMPRODUCT((Projects!$G$2:$G$45="Yes")*(45&gt;=Projects!$C$2:$C$45-$B$14)*(45&lt;=Projects!$W$2:$W$45+$B$17))*$B$5</f>
        <v>1.75</v>
      </c>
      <c r="AX38" s="351" t="n">
        <f aca="false">SUMPRODUCT((Projects!$G$2:$G$45="Yes")*(46&gt;=Projects!$C$2:$C$45-$B$14)*(46&lt;=Projects!$W$2:$W$45+$B$17))*$B$5</f>
        <v>0.875</v>
      </c>
      <c r="AY38" s="351" t="n">
        <f aca="false">SUMPRODUCT((Projects!$G$2:$G$45="Yes")*(47&gt;=Projects!$C$2:$C$45-$B$14)*(47&lt;=Projects!$W$2:$W$45+$B$17))*$B$5</f>
        <v>0.875</v>
      </c>
      <c r="AZ38" s="351" t="n">
        <f aca="false">SUMPRODUCT((Projects!$G$2:$G$45="Yes")*(48&gt;=Projects!$C$2:$C$45-$B$14)*(48&lt;=Projects!$W$2:$W$45+$B$17))*$B$5</f>
        <v>0.875</v>
      </c>
      <c r="BA38" s="351" t="n">
        <f aca="false">SUMPRODUCT((Projects!$G$2:$G$45="Yes")*(49&gt;=Projects!$C$2:$C$45-$B$14)*(49&lt;=Projects!$W$2:$W$45+$B$17))*$B$5</f>
        <v>0.875</v>
      </c>
      <c r="BB38" s="351" t="n">
        <f aca="false">SUMPRODUCT((Projects!$G$2:$G$45="Yes")*(50&gt;=Projects!$C$2:$C$45-$B$14)*(50&lt;=Projects!$W$2:$W$45+$B$17))*$B$5</f>
        <v>0.875</v>
      </c>
      <c r="BC38" s="351" t="n">
        <f aca="false">SUMPRODUCT((Projects!$G$2:$G$45="Yes")*(51&gt;=Projects!$C$2:$C$45-$B$14)*(51&lt;=Projects!$W$2:$W$45+$B$17))*$B$5</f>
        <v>0.875</v>
      </c>
      <c r="BD38" s="351" t="n">
        <f aca="false">SUMPRODUCT((Projects!$G$2:$G$45="Yes")*(52&gt;=Projects!$C$2:$C$45-$B$14)*(52&lt;=Projects!$W$2:$W$45+$B$17))*$B$5</f>
        <v>0.875</v>
      </c>
      <c r="BE38" s="351" t="n">
        <f aca="false">SUMPRODUCT((Projects!$G$2:$G$45="Yes")*(53&gt;=Projects!$C$2:$C$45-$B$14)*(53&lt;=Projects!$W$2:$W$45+$B$17))*$B$5</f>
        <v>0.875</v>
      </c>
      <c r="BF38" s="351" t="n">
        <f aca="false">SUMPRODUCT((Projects!$G$2:$G$45="Yes")*(54&gt;=Projects!$C$2:$C$45-$B$14)*(54&lt;=Projects!$W$2:$W$45+$B$17))*$B$5</f>
        <v>0.875</v>
      </c>
      <c r="BG38" s="351" t="n">
        <f aca="false">SUMPRODUCT((Projects!$G$2:$G$45="Yes")*(55&gt;=Projects!$C$2:$C$45-$B$14)*(55&lt;=Projects!$W$2:$W$45+$B$17))*$B$5</f>
        <v>0.875</v>
      </c>
      <c r="BH38" s="351" t="n">
        <f aca="false">SUMPRODUCT((Projects!$G$2:$G$45="Yes")*(56&gt;=Projects!$C$2:$C$45-$B$14)*(56&lt;=Projects!$W$2:$W$45+$B$17))*$B$5</f>
        <v>0.875</v>
      </c>
      <c r="BI38" s="351" t="n">
        <f aca="false">SUMPRODUCT((Projects!$G$2:$G$45="Yes")*(57&gt;=Projects!$C$2:$C$45-$B$14)*(57&lt;=Projects!$W$2:$W$45+$B$17))*$B$5</f>
        <v>0.875</v>
      </c>
      <c r="BJ38" s="351" t="n">
        <f aca="false">SUMPRODUCT((Projects!$G$2:$G$45="Yes")*(58&gt;=Projects!$C$2:$C$45-$B$14)*(58&lt;=Projects!$W$2:$W$45+$B$17))*$B$5</f>
        <v>0</v>
      </c>
      <c r="BK38" s="351" t="n">
        <f aca="false">SUMPRODUCT((Projects!$G$2:$G$45="Yes")*(59&gt;=Projects!$C$2:$C$45-$B$14)*(59&lt;=Projects!$W$2:$W$45+$B$17))*$B$5</f>
        <v>0</v>
      </c>
      <c r="BL38" s="351" t="n">
        <f aca="false">SUMPRODUCT((Projects!$G$2:$G$45="Yes")*(60&gt;=Projects!$C$2:$C$45-$B$14)*(60&lt;=Projects!$W$2:$W$45+$B$17))*$B$5</f>
        <v>0</v>
      </c>
      <c r="BM38" s="351" t="n">
        <f aca="false">SUMPRODUCT((Projects!$G$2:$G$45="Yes")*(61&gt;=Projects!$C$2:$C$45-$B$14)*(61&lt;=Projects!$W$2:$W$45+$B$17))*$B$5</f>
        <v>0</v>
      </c>
      <c r="BN38" s="351" t="n">
        <f aca="false">SUMPRODUCT((Projects!$G$2:$G$45="Yes")*(62&gt;=Projects!$C$2:$C$45-$B$14)*(62&lt;=Projects!$W$2:$W$45+$B$17))*$B$5</f>
        <v>0</v>
      </c>
      <c r="BO38" s="351" t="n">
        <f aca="false">SUMPRODUCT((Projects!$G$2:$G$45="Yes")*(63&gt;=Projects!$C$2:$C$45-$B$14)*(63&lt;=Projects!$W$2:$W$45+$B$17))*$B$5</f>
        <v>0</v>
      </c>
      <c r="BP38" s="351" t="n">
        <f aca="false">SUMPRODUCT((Projects!$G$2:$G$45="Yes")*(64&gt;=Projects!$C$2:$C$45-$B$14)*(64&lt;=Projects!$W$2:$W$45+$B$17))*$B$5</f>
        <v>0</v>
      </c>
      <c r="BQ38" s="351" t="n">
        <f aca="false">SUMPRODUCT((Projects!$G$2:$G$45="Yes")*(65&gt;=Projects!$C$2:$C$45-$B$14)*(65&lt;=Projects!$W$2:$W$45+$B$17))*$B$5</f>
        <v>0</v>
      </c>
      <c r="BR38" s="351" t="n">
        <f aca="false">SUMPRODUCT((Projects!$G$2:$G$45="Yes")*(66&gt;=Projects!$C$2:$C$45-$B$14)*(66&lt;=Projects!$W$2:$W$45+$B$17))*$B$5</f>
        <v>0</v>
      </c>
      <c r="BS38" s="351" t="n">
        <f aca="false">SUMPRODUCT((Projects!$G$2:$G$45="Yes")*(67&gt;=Projects!$C$2:$C$45-$B$14)*(67&lt;=Projects!$W$2:$W$45+$B$17))*$B$5</f>
        <v>0</v>
      </c>
      <c r="BT38" s="351" t="n">
        <f aca="false">SUMPRODUCT((Projects!$G$2:$G$45="Yes")*(68&gt;=Projects!$C$2:$C$45-$B$14)*(68&lt;=Projects!$W$2:$W$45+$B$17))*$B$5</f>
        <v>0</v>
      </c>
      <c r="BU38" s="351" t="n">
        <f aca="false">SUMPRODUCT((Projects!$G$2:$G$45="Yes")*(69&gt;=Projects!$C$2:$C$45-$B$14)*(69&lt;=Projects!$W$2:$W$45+$B$17))*$B$5</f>
        <v>0</v>
      </c>
      <c r="BV38" s="351" t="n">
        <f aca="false">SUMPRODUCT((Projects!$G$2:$G$45="Yes")*(70&gt;=Projects!$C$2:$C$45-$B$14)*(70&lt;=Projects!$W$2:$W$45+$B$17))*$B$5</f>
        <v>0</v>
      </c>
      <c r="BW38" s="351" t="n">
        <f aca="false">SUMPRODUCT((Projects!$G$2:$G$45="Yes")*(71&gt;=Projects!$C$2:$C$45-$B$14)*(71&lt;=Projects!$W$2:$W$45+$B$17))*$B$5</f>
        <v>0</v>
      </c>
      <c r="BX38" s="351" t="n">
        <f aca="false">SUMPRODUCT((Projects!$G$2:$G$45="Yes")*(72&gt;=Projects!$C$2:$C$45-$B$14)*(72&lt;=Projects!$W$2:$W$45+$B$17))*$B$5</f>
        <v>0</v>
      </c>
      <c r="BY38" s="351" t="n">
        <f aca="false">SUMPRODUCT((Projects!$G$2:$G$45="Yes")*(73&gt;=Projects!$C$2:$C$45-$B$14)*(73&lt;=Projects!$W$2:$W$45+$B$17))*$B$5</f>
        <v>0</v>
      </c>
      <c r="BZ38" s="351" t="n">
        <f aca="false">SUMPRODUCT((Projects!$G$2:$G$45="Yes")*(74&gt;=Projects!$C$2:$C$45-$B$14)*(74&lt;=Projects!$W$2:$W$45+$B$17))*$B$5</f>
        <v>0</v>
      </c>
      <c r="CA38" s="351" t="n">
        <f aca="false">SUMPRODUCT((Projects!$G$2:$G$45="Yes")*(75&gt;=Projects!$C$2:$C$45-$B$14)*(75&lt;=Projects!$W$2:$W$45+$B$17))*$B$5</f>
        <v>0</v>
      </c>
      <c r="CB38" s="351" t="n">
        <f aca="false">SUMPRODUCT((Projects!$G$2:$G$45="Yes")*(76&gt;=Projects!$C$2:$C$45-$B$14)*(76&lt;=Projects!$W$2:$W$45+$B$17))*$B$5</f>
        <v>0</v>
      </c>
      <c r="CC38" s="351" t="n">
        <f aca="false">SUMPRODUCT((Projects!$G$2:$G$45="Yes")*(77&gt;=Projects!$C$2:$C$45-$B$14)*(77&lt;=Projects!$W$2:$W$45+$B$17))*$B$5</f>
        <v>0</v>
      </c>
      <c r="CD38" s="351" t="n">
        <f aca="false">SUMPRODUCT((Projects!$G$2:$G$45="Yes")*(78&gt;=Projects!$C$2:$C$45-$B$14)*(78&lt;=Projects!$W$2:$W$45+$B$17))*$B$5</f>
        <v>0</v>
      </c>
      <c r="CE38" s="351" t="n">
        <f aca="false">SUMPRODUCT((Projects!$G$2:$G$45="Yes")*(79&gt;=Projects!$C$2:$C$45-$B$14)*(79&lt;=Projects!$W$2:$W$45+$B$17))*$B$5</f>
        <v>0</v>
      </c>
      <c r="CF38" s="351" t="n">
        <f aca="false">SUMPRODUCT((Projects!$G$2:$G$45="Yes")*(80&gt;=Projects!$C$2:$C$45-$B$14)*(80&lt;=Projects!$W$2:$W$45+$B$17))*$B$5</f>
        <v>0</v>
      </c>
      <c r="CG38" s="351" t="n">
        <f aca="false">SUMPRODUCT((Projects!$G$2:$G$45="Yes")*(81&gt;=Projects!$C$2:$C$45-$B$14)*(81&lt;=Projects!$W$2:$W$45+$B$17))*$B$5</f>
        <v>0</v>
      </c>
      <c r="CH38" s="351" t="n">
        <f aca="false">SUMPRODUCT((Projects!$G$2:$G$45="Yes")*(82&gt;=Projects!$C$2:$C$45-$B$14)*(82&lt;=Projects!$W$2:$W$45+$B$17))*$B$5</f>
        <v>0</v>
      </c>
      <c r="CI38" s="351" t="n">
        <f aca="false">SUMPRODUCT((Projects!$G$2:$G$45="Yes")*(83&gt;=Projects!$C$2:$C$45-$B$14)*(83&lt;=Projects!$W$2:$W$45+$B$17))*$B$5</f>
        <v>0</v>
      </c>
      <c r="CJ38" s="351" t="n">
        <f aca="false">SUMPRODUCT((Projects!$G$2:$G$45="Yes")*(84&gt;=Projects!$C$2:$C$45-$B$14)*(84&lt;=Projects!$W$2:$W$45+$B$17))*$B$5</f>
        <v>0</v>
      </c>
      <c r="CK38" s="351" t="n">
        <f aca="false">SUMPRODUCT((Projects!$G$2:$G$45="Yes")*(85&gt;=Projects!$C$2:$C$45-$B$14)*(85&lt;=Projects!$W$2:$W$45+$B$17))*$B$5</f>
        <v>0</v>
      </c>
      <c r="CL38" s="351" t="n">
        <f aca="false">SUMPRODUCT((Projects!$G$2:$G$45="Yes")*(86&gt;=Projects!$C$2:$C$45-$B$14)*(86&lt;=Projects!$W$2:$W$45+$B$17))*$B$5</f>
        <v>0</v>
      </c>
      <c r="CM38" s="351" t="n">
        <f aca="false">SUMPRODUCT((Projects!$G$2:$G$45="Yes")*(87&gt;=Projects!$C$2:$C$45-$B$14)*(87&lt;=Projects!$W$2:$W$45+$B$17))*$B$5</f>
        <v>0</v>
      </c>
      <c r="CN38" s="351" t="n">
        <f aca="false">SUMPRODUCT((Projects!$G$2:$G$45="Yes")*(88&gt;=Projects!$C$2:$C$45-$B$14)*(88&lt;=Projects!$W$2:$W$45+$B$17))*$B$5</f>
        <v>0</v>
      </c>
      <c r="CO38" s="351" t="n">
        <f aca="false">SUMPRODUCT((Projects!$G$2:$G$45="Yes")*(89&gt;=Projects!$C$2:$C$45-$B$14)*(89&lt;=Projects!$W$2:$W$45+$B$17))*$B$5</f>
        <v>0</v>
      </c>
      <c r="CP38" s="351" t="n">
        <f aca="false">SUMPRODUCT((Projects!$G$2:$G$45="Yes")*(90&gt;=Projects!$C$2:$C$45-$B$14)*(90&lt;=Projects!$W$2:$W$45+$B$17))*$B$5</f>
        <v>0</v>
      </c>
      <c r="CQ38" s="351" t="n">
        <f aca="false">SUMPRODUCT((Projects!$G$2:$G$45="Yes")*(91&gt;=Projects!$C$2:$C$45-$B$14)*(91&lt;=Projects!$W$2:$W$45+$B$17))*$B$5</f>
        <v>0</v>
      </c>
      <c r="CR38" s="351" t="n">
        <f aca="false">SUMPRODUCT((Projects!$G$2:$G$45="Yes")*(92&gt;=Projects!$C$2:$C$45-$B$14)*(92&lt;=Projects!$W$2:$W$45+$B$17))*$B$5</f>
        <v>0</v>
      </c>
      <c r="CS38" s="351" t="n">
        <f aca="false">SUMPRODUCT((Projects!$G$2:$G$45="Yes")*(93&gt;=Projects!$C$2:$C$45-$B$14)*(93&lt;=Projects!$W$2:$W$45+$B$17))*$B$5</f>
        <v>0</v>
      </c>
      <c r="CT38" s="351" t="n">
        <f aca="false">SUMPRODUCT((Projects!$G$2:$G$45="Yes")*(94&gt;=Projects!$C$2:$C$45-$B$14)*(94&lt;=Projects!$W$2:$W$45+$B$17))*$B$5</f>
        <v>0</v>
      </c>
      <c r="CU38" s="351" t="n">
        <f aca="false">SUMPRODUCT((Projects!$G$2:$G$45="Yes")*(95&gt;=Projects!$C$2:$C$45-$B$14)*(95&lt;=Projects!$W$2:$W$45+$B$17))*$B$5</f>
        <v>0</v>
      </c>
      <c r="CV38" s="351" t="n">
        <f aca="false">SUMPRODUCT((Projects!$G$2:$G$45="Yes")*(96&gt;=Projects!$C$2:$C$45-$B$14)*(96&lt;=Projects!$W$2:$W$45+$B$17))*$B$5</f>
        <v>0</v>
      </c>
      <c r="CW38" s="351" t="n">
        <f aca="false">SUMPRODUCT((Projects!$G$2:$G$45="Yes")*(97&gt;=Projects!$C$2:$C$45-$B$14)*(97&lt;=Projects!$W$2:$W$45+$B$17))*$B$5</f>
        <v>0</v>
      </c>
      <c r="CX38" s="351" t="n">
        <f aca="false">SUMPRODUCT((Projects!$G$2:$G$45="Yes")*(98&gt;=Projects!$C$2:$C$45-$B$14)*(98&lt;=Projects!$W$2:$W$45+$B$17))*$B$5</f>
        <v>0</v>
      </c>
      <c r="CY38" s="351" t="n">
        <f aca="false">SUMPRODUCT((Projects!$G$2:$G$45="Yes")*(99&gt;=Projects!$C$2:$C$45-$B$14)*(99&lt;=Projects!$W$2:$W$45+$B$17))*$B$5</f>
        <v>0</v>
      </c>
      <c r="CZ38" s="351" t="n">
        <f aca="false">SUMPRODUCT((Projects!$G$2:$G$45="Yes")*(100&gt;=Projects!$C$2:$C$45-$B$14)*(100&lt;=Projects!$W$2:$W$45+$B$17))*$B$5</f>
        <v>0</v>
      </c>
      <c r="DA38" s="351" t="n">
        <f aca="false">SUMPRODUCT((Projects!$G$2:$G$45="Yes")*(101&gt;=Projects!$C$2:$C$45-$B$14)*(101&lt;=Projects!$W$2:$W$45+$B$17))*$B$5</f>
        <v>0</v>
      </c>
      <c r="DB38" s="351" t="n">
        <f aca="false">SUMPRODUCT((Projects!$G$2:$G$45="Yes")*(102&gt;=Projects!$C$2:$C$45-$B$14)*(102&lt;=Projects!$W$2:$W$45+$B$17))*$B$5</f>
        <v>0</v>
      </c>
      <c r="DC38" s="351" t="n">
        <f aca="false">SUMPRODUCT((Projects!$G$2:$G$45="Yes")*(103&gt;=Projects!$C$2:$C$45-$B$14)*(103&lt;=Projects!$W$2:$W$45+$B$17))*$B$5</f>
        <v>0</v>
      </c>
      <c r="DD38" s="351" t="n">
        <f aca="false">SUMPRODUCT((Projects!$G$2:$G$45="Yes")*(104&gt;=Projects!$C$2:$C$45-$B$14)*(104&lt;=Projects!$W$2:$W$45+$B$17))*$B$5</f>
        <v>0</v>
      </c>
      <c r="DE38" s="351" t="n">
        <f aca="false">SUMPRODUCT((Projects!$G$2:$G$45="Yes")*(105&gt;=Projects!$C$2:$C$45-$B$14)*(105&lt;=Projects!$W$2:$W$45+$B$17))*$B$5</f>
        <v>0</v>
      </c>
    </row>
    <row r="39" customFormat="false" ht="13.5" hidden="false" customHeight="true" outlineLevel="0" collapsed="false">
      <c r="A39" s="109" t="s">
        <v>1170</v>
      </c>
      <c r="E39" s="351" t="n">
        <f aca="false">SUMPRODUCT((Projects!$G$2:$G$45="Yes")*(1&gt;=Projects!$C$2:$C$45-$B$15)*((1&lt;=Projects!$W$2:$W$45-$B$106)*1+(1&gt;Projects!$W$2:$W$45-$B$106)*(1&lt;=Projects!$W$2:$W$45+$B$17)*$B$107)*((Projects!$B$2:$B$45&gt;=$B$12)*$B$6+(Projects!$B$2:$B$45&lt;$B$12)*(Projects!$B$2:$B$45&gt;=$B$13)*$B$7+(Projects!$B$2:$B$45&lt;$B$13)*$B$8))</f>
        <v>1.08</v>
      </c>
      <c r="F39" s="351" t="n">
        <f aca="false">SUMPRODUCT((Projects!$G$2:$G$45="Yes")*(2&gt;=Projects!$C$2:$C$45-$B$15)*((2&lt;=Projects!$W$2:$W$45-$B$106)*1+(2&gt;Projects!$W$2:$W$45-$B$106)*(2&lt;=Projects!$W$2:$W$45+$B$17)*$B$107)*((Projects!$B$2:$B$45&gt;=$B$12)*$B$6+(Projects!$B$2:$B$45&lt;$B$12)*(Projects!$B$2:$B$45&gt;=$B$13)*$B$7+(Projects!$B$2:$B$45&lt;$B$13)*$B$8))</f>
        <v>1.08</v>
      </c>
      <c r="G39" s="351" t="n">
        <f aca="false">SUMPRODUCT((Projects!$G$2:$G$45="Yes")*(3&gt;=Projects!$C$2:$C$45-$B$15)*((3&lt;=Projects!$W$2:$W$45-$B$106)*1+(3&gt;Projects!$W$2:$W$45-$B$106)*(3&lt;=Projects!$W$2:$W$45+$B$17)*$B$107)*((Projects!$B$2:$B$45&gt;=$B$12)*$B$6+(Projects!$B$2:$B$45&lt;$B$12)*(Projects!$B$2:$B$45&gt;=$B$13)*$B$7+(Projects!$B$2:$B$45&lt;$B$13)*$B$8))</f>
        <v>1.08</v>
      </c>
      <c r="H39" s="351" t="n">
        <f aca="false">SUMPRODUCT((Projects!$G$2:$G$45="Yes")*(4&gt;=Projects!$C$2:$C$45-$B$15)*((4&lt;=Projects!$W$2:$W$45-$B$106)*1+(4&gt;Projects!$W$2:$W$45-$B$106)*(4&lt;=Projects!$W$2:$W$45+$B$17)*$B$107)*((Projects!$B$2:$B$45&gt;=$B$12)*$B$6+(Projects!$B$2:$B$45&lt;$B$12)*(Projects!$B$2:$B$45&gt;=$B$13)*$B$7+(Projects!$B$2:$B$45&lt;$B$13)*$B$8))</f>
        <v>1.08</v>
      </c>
      <c r="I39" s="351" t="n">
        <f aca="false">SUMPRODUCT((Projects!$G$2:$G$45="Yes")*(5&gt;=Projects!$C$2:$C$45-$B$15)*((5&lt;=Projects!$W$2:$W$45-$B$106)*1+(5&gt;Projects!$W$2:$W$45-$B$106)*(5&lt;=Projects!$W$2:$W$45+$B$17)*$B$107)*((Projects!$B$2:$B$45&gt;=$B$12)*$B$6+(Projects!$B$2:$B$45&lt;$B$12)*(Projects!$B$2:$B$45&gt;=$B$13)*$B$7+(Projects!$B$2:$B$45&lt;$B$13)*$B$8))</f>
        <v>1.83</v>
      </c>
      <c r="J39" s="351" t="n">
        <f aca="false">SUMPRODUCT((Projects!$G$2:$G$45="Yes")*(6&gt;=Projects!$C$2:$C$45-$B$15)*((6&lt;=Projects!$W$2:$W$45-$B$106)*1+(6&gt;Projects!$W$2:$W$45-$B$106)*(6&lt;=Projects!$W$2:$W$45+$B$17)*$B$107)*((Projects!$B$2:$B$45&gt;=$B$12)*$B$6+(Projects!$B$2:$B$45&lt;$B$12)*(Projects!$B$2:$B$45&gt;=$B$13)*$B$7+(Projects!$B$2:$B$45&lt;$B$13)*$B$8))</f>
        <v>1.9975</v>
      </c>
      <c r="K39" s="351" t="n">
        <f aca="false">SUMPRODUCT((Projects!$G$2:$G$45="Yes")*(7&gt;=Projects!$C$2:$C$45-$B$15)*((7&lt;=Projects!$W$2:$W$45-$B$106)*1+(7&gt;Projects!$W$2:$W$45-$B$106)*(7&lt;=Projects!$W$2:$W$45+$B$17)*$B$107)*((Projects!$B$2:$B$45&gt;=$B$12)*$B$6+(Projects!$B$2:$B$45&lt;$B$12)*(Projects!$B$2:$B$45&gt;=$B$13)*$B$7+(Projects!$B$2:$B$45&lt;$B$13)*$B$8))</f>
        <v>1.9975</v>
      </c>
      <c r="L39" s="351" t="n">
        <f aca="false">SUMPRODUCT((Projects!$G$2:$G$45="Yes")*(8&gt;=Projects!$C$2:$C$45-$B$15)*((8&lt;=Projects!$W$2:$W$45-$B$106)*1+(8&gt;Projects!$W$2:$W$45-$B$106)*(8&lt;=Projects!$W$2:$W$45+$B$17)*$B$107)*((Projects!$B$2:$B$45&gt;=$B$12)*$B$6+(Projects!$B$2:$B$45&lt;$B$12)*(Projects!$B$2:$B$45&gt;=$B$13)*$B$7+(Projects!$B$2:$B$45&lt;$B$13)*$B$8))</f>
        <v>1.9975</v>
      </c>
      <c r="M39" s="351" t="n">
        <f aca="false">SUMPRODUCT((Projects!$G$2:$G$45="Yes")*(9&gt;=Projects!$C$2:$C$45-$B$15)*((9&lt;=Projects!$W$2:$W$45-$B$106)*1+(9&gt;Projects!$W$2:$W$45-$B$106)*(9&lt;=Projects!$W$2:$W$45+$B$17)*$B$107)*((Projects!$B$2:$B$45&gt;=$B$12)*$B$6+(Projects!$B$2:$B$45&lt;$B$12)*(Projects!$B$2:$B$45&gt;=$B$13)*$B$7+(Projects!$B$2:$B$45&lt;$B$13)*$B$8))</f>
        <v>2.4975</v>
      </c>
      <c r="N39" s="351" t="n">
        <f aca="false">SUMPRODUCT((Projects!$G$2:$G$45="Yes")*(10&gt;=Projects!$C$2:$C$45-$B$15)*((10&lt;=Projects!$W$2:$W$45-$B$106)*1+(10&gt;Projects!$W$2:$W$45-$B$106)*(10&lt;=Projects!$W$2:$W$45+$B$17)*$B$107)*((Projects!$B$2:$B$45&gt;=$B$12)*$B$6+(Projects!$B$2:$B$45&lt;$B$12)*(Projects!$B$2:$B$45&gt;=$B$13)*$B$7+(Projects!$B$2:$B$45&lt;$B$13)*$B$8))</f>
        <v>2.58</v>
      </c>
      <c r="O39" s="351" t="n">
        <f aca="false">SUMPRODUCT((Projects!$G$2:$G$45="Yes")*(11&gt;=Projects!$C$2:$C$45-$B$15)*((11&lt;=Projects!$W$2:$W$45-$B$106)*1+(11&gt;Projects!$W$2:$W$45-$B$106)*(11&lt;=Projects!$W$2:$W$45+$B$17)*$B$107)*((Projects!$B$2:$B$45&gt;=$B$12)*$B$6+(Projects!$B$2:$B$45&lt;$B$12)*(Projects!$B$2:$B$45&gt;=$B$13)*$B$7+(Projects!$B$2:$B$45&lt;$B$13)*$B$8))</f>
        <v>2.745</v>
      </c>
      <c r="P39" s="351" t="n">
        <f aca="false">SUMPRODUCT((Projects!$G$2:$G$45="Yes")*(12&gt;=Projects!$C$2:$C$45-$B$15)*((12&lt;=Projects!$W$2:$W$45-$B$106)*1+(12&gt;Projects!$W$2:$W$45-$B$106)*(12&lt;=Projects!$W$2:$W$45+$B$17)*$B$107)*((Projects!$B$2:$B$45&gt;=$B$12)*$B$6+(Projects!$B$2:$B$45&lt;$B$12)*(Projects!$B$2:$B$45&gt;=$B$13)*$B$7+(Projects!$B$2:$B$45&lt;$B$13)*$B$8))</f>
        <v>2.745</v>
      </c>
      <c r="Q39" s="351" t="n">
        <f aca="false">SUMPRODUCT((Projects!$G$2:$G$45="Yes")*(13&gt;=Projects!$C$2:$C$45-$B$15)*((13&lt;=Projects!$W$2:$W$45-$B$106)*1+(13&gt;Projects!$W$2:$W$45-$B$106)*(13&lt;=Projects!$W$2:$W$45+$B$17)*$B$107)*((Projects!$B$2:$B$45&gt;=$B$12)*$B$6+(Projects!$B$2:$B$45&lt;$B$12)*(Projects!$B$2:$B$45&gt;=$B$13)*$B$7+(Projects!$B$2:$B$45&lt;$B$13)*$B$8))</f>
        <v>2.9125</v>
      </c>
      <c r="R39" s="351" t="n">
        <f aca="false">SUMPRODUCT((Projects!$G$2:$G$45="Yes")*(14&gt;=Projects!$C$2:$C$45-$B$15)*((14&lt;=Projects!$W$2:$W$45-$B$106)*1+(14&gt;Projects!$W$2:$W$45-$B$106)*(14&lt;=Projects!$W$2:$W$45+$B$17)*$B$107)*((Projects!$B$2:$B$45&gt;=$B$12)*$B$6+(Projects!$B$2:$B$45&lt;$B$12)*(Projects!$B$2:$B$45&gt;=$B$13)*$B$7+(Projects!$B$2:$B$45&lt;$B$13)*$B$8))</f>
        <v>3.1625</v>
      </c>
      <c r="S39" s="351" t="n">
        <f aca="false">SUMPRODUCT((Projects!$G$2:$G$45="Yes")*(15&gt;=Projects!$C$2:$C$45-$B$15)*((15&lt;=Projects!$W$2:$W$45-$B$106)*1+(15&gt;Projects!$W$2:$W$45-$B$106)*(15&lt;=Projects!$W$2:$W$45+$B$17)*$B$107)*((Projects!$B$2:$B$45&gt;=$B$12)*$B$6+(Projects!$B$2:$B$45&lt;$B$12)*(Projects!$B$2:$B$45&gt;=$B$13)*$B$7+(Projects!$B$2:$B$45&lt;$B$13)*$B$8))</f>
        <v>3.5375</v>
      </c>
      <c r="T39" s="351" t="n">
        <f aca="false">SUMPRODUCT((Projects!$G$2:$G$45="Yes")*(16&gt;=Projects!$C$2:$C$45-$B$15)*((16&lt;=Projects!$W$2:$W$45-$B$106)*1+(16&gt;Projects!$W$2:$W$45-$B$106)*(16&lt;=Projects!$W$2:$W$45+$B$17)*$B$107)*((Projects!$B$2:$B$45&gt;=$B$12)*$B$6+(Projects!$B$2:$B$45&lt;$B$12)*(Projects!$B$2:$B$45&gt;=$B$13)*$B$7+(Projects!$B$2:$B$45&lt;$B$13)*$B$8))</f>
        <v>3.4125</v>
      </c>
      <c r="U39" s="351" t="n">
        <f aca="false">SUMPRODUCT((Projects!$G$2:$G$45="Yes")*(17&gt;=Projects!$C$2:$C$45-$B$15)*((17&lt;=Projects!$W$2:$W$45-$B$106)*1+(17&gt;Projects!$W$2:$W$45-$B$106)*(17&lt;=Projects!$W$2:$W$45+$B$17)*$B$107)*((Projects!$B$2:$B$45&gt;=$B$12)*$B$6+(Projects!$B$2:$B$45&lt;$B$12)*(Projects!$B$2:$B$45&gt;=$B$13)*$B$7+(Projects!$B$2:$B$45&lt;$B$13)*$B$8))</f>
        <v>3.205</v>
      </c>
      <c r="V39" s="351" t="n">
        <f aca="false">SUMPRODUCT((Projects!$G$2:$G$45="Yes")*(18&gt;=Projects!$C$2:$C$45-$B$15)*((18&lt;=Projects!$W$2:$W$45-$B$106)*1+(18&gt;Projects!$W$2:$W$45-$B$106)*(18&lt;=Projects!$W$2:$W$45+$B$17)*$B$107)*((Projects!$B$2:$B$45&gt;=$B$12)*$B$6+(Projects!$B$2:$B$45&lt;$B$12)*(Projects!$B$2:$B$45&gt;=$B$13)*$B$7+(Projects!$B$2:$B$45&lt;$B$13)*$B$8))</f>
        <v>3.455</v>
      </c>
      <c r="W39" s="351" t="n">
        <f aca="false">SUMPRODUCT((Projects!$G$2:$G$45="Yes")*(19&gt;=Projects!$C$2:$C$45-$B$15)*((19&lt;=Projects!$W$2:$W$45-$B$106)*1+(19&gt;Projects!$W$2:$W$45-$B$106)*(19&lt;=Projects!$W$2:$W$45+$B$17)*$B$107)*((Projects!$B$2:$B$45&gt;=$B$12)*$B$6+(Projects!$B$2:$B$45&lt;$B$12)*(Projects!$B$2:$B$45&gt;=$B$13)*$B$7+(Projects!$B$2:$B$45&lt;$B$13)*$B$8))</f>
        <v>3.58</v>
      </c>
      <c r="X39" s="351" t="n">
        <f aca="false">SUMPRODUCT((Projects!$G$2:$G$45="Yes")*(20&gt;=Projects!$C$2:$C$45-$B$15)*((20&lt;=Projects!$W$2:$W$45-$B$106)*1+(20&gt;Projects!$W$2:$W$45-$B$106)*(20&lt;=Projects!$W$2:$W$45+$B$17)*$B$107)*((Projects!$B$2:$B$45&gt;=$B$12)*$B$6+(Projects!$B$2:$B$45&lt;$B$12)*(Projects!$B$2:$B$45&gt;=$B$13)*$B$7+(Projects!$B$2:$B$45&lt;$B$13)*$B$8))</f>
        <v>3.455</v>
      </c>
      <c r="Y39" s="351" t="n">
        <f aca="false">SUMPRODUCT((Projects!$G$2:$G$45="Yes")*(21&gt;=Projects!$C$2:$C$45-$B$15)*((21&lt;=Projects!$W$2:$W$45-$B$106)*1+(21&gt;Projects!$W$2:$W$45-$B$106)*(21&lt;=Projects!$W$2:$W$45+$B$17)*$B$107)*((Projects!$B$2:$B$45&gt;=$B$12)*$B$6+(Projects!$B$2:$B$45&lt;$B$12)*(Projects!$B$2:$B$45&gt;=$B$13)*$B$7+(Projects!$B$2:$B$45&lt;$B$13)*$B$8))</f>
        <v>3.205</v>
      </c>
      <c r="Z39" s="351" t="n">
        <f aca="false">SUMPRODUCT((Projects!$G$2:$G$45="Yes")*(22&gt;=Projects!$C$2:$C$45-$B$15)*((22&lt;=Projects!$W$2:$W$45-$B$106)*1+(22&gt;Projects!$W$2:$W$45-$B$106)*(22&lt;=Projects!$W$2:$W$45+$B$17)*$B$107)*((Projects!$B$2:$B$45&gt;=$B$12)*$B$6+(Projects!$B$2:$B$45&lt;$B$12)*(Projects!$B$2:$B$45&gt;=$B$13)*$B$7+(Projects!$B$2:$B$45&lt;$B$13)*$B$8))</f>
        <v>3.08</v>
      </c>
      <c r="AA39" s="351" t="n">
        <f aca="false">SUMPRODUCT((Projects!$G$2:$G$45="Yes")*(23&gt;=Projects!$C$2:$C$45-$B$15)*((23&lt;=Projects!$W$2:$W$45-$B$106)*1+(23&gt;Projects!$W$2:$W$45-$B$106)*(23&lt;=Projects!$W$2:$W$45+$B$17)*$B$107)*((Projects!$B$2:$B$45&gt;=$B$12)*$B$6+(Projects!$B$2:$B$45&lt;$B$12)*(Projects!$B$2:$B$45&gt;=$B$13)*$B$7+(Projects!$B$2:$B$45&lt;$B$13)*$B$8))</f>
        <v>3.08</v>
      </c>
      <c r="AB39" s="351" t="n">
        <f aca="false">SUMPRODUCT((Projects!$G$2:$G$45="Yes")*(24&gt;=Projects!$C$2:$C$45-$B$15)*((24&lt;=Projects!$W$2:$W$45-$B$106)*1+(24&gt;Projects!$W$2:$W$45-$B$106)*(24&lt;=Projects!$W$2:$W$45+$B$17)*$B$107)*((Projects!$B$2:$B$45&gt;=$B$12)*$B$6+(Projects!$B$2:$B$45&lt;$B$12)*(Projects!$B$2:$B$45&gt;=$B$13)*$B$7+(Projects!$B$2:$B$45&lt;$B$13)*$B$8))</f>
        <v>3.08</v>
      </c>
      <c r="AC39" s="351" t="n">
        <f aca="false">SUMPRODUCT((Projects!$G$2:$G$45="Yes")*(25&gt;=Projects!$C$2:$C$45-$B$15)*((25&lt;=Projects!$W$2:$W$45-$B$106)*1+(25&gt;Projects!$W$2:$W$45-$B$106)*(25&lt;=Projects!$W$2:$W$45+$B$17)*$B$107)*((Projects!$B$2:$B$45&gt;=$B$12)*$B$6+(Projects!$B$2:$B$45&lt;$B$12)*(Projects!$B$2:$B$45&gt;=$B$13)*$B$7+(Projects!$B$2:$B$45&lt;$B$13)*$B$8))</f>
        <v>2.955</v>
      </c>
      <c r="AD39" s="351" t="n">
        <f aca="false">SUMPRODUCT((Projects!$G$2:$G$45="Yes")*(26&gt;=Projects!$C$2:$C$45-$B$15)*((26&lt;=Projects!$W$2:$W$45-$B$106)*1+(26&gt;Projects!$W$2:$W$45-$B$106)*(26&lt;=Projects!$W$2:$W$45+$B$17)*$B$107)*((Projects!$B$2:$B$45&gt;=$B$12)*$B$6+(Projects!$B$2:$B$45&lt;$B$12)*(Projects!$B$2:$B$45&gt;=$B$13)*$B$7+(Projects!$B$2:$B$45&lt;$B$13)*$B$8))</f>
        <v>2.6225</v>
      </c>
      <c r="AE39" s="351" t="n">
        <f aca="false">SUMPRODUCT((Projects!$G$2:$G$45="Yes")*(27&gt;=Projects!$C$2:$C$45-$B$15)*((27&lt;=Projects!$W$2:$W$45-$B$106)*1+(27&gt;Projects!$W$2:$W$45-$B$106)*(27&lt;=Projects!$W$2:$W$45+$B$17)*$B$107)*((Projects!$B$2:$B$45&gt;=$B$12)*$B$6+(Projects!$B$2:$B$45&lt;$B$12)*(Projects!$B$2:$B$45&gt;=$B$13)*$B$7+(Projects!$B$2:$B$45&lt;$B$13)*$B$8))</f>
        <v>3.04</v>
      </c>
      <c r="AF39" s="351" t="n">
        <f aca="false">SUMPRODUCT((Projects!$G$2:$G$45="Yes")*(28&gt;=Projects!$C$2:$C$45-$B$15)*((28&lt;=Projects!$W$2:$W$45-$B$106)*1+(28&gt;Projects!$W$2:$W$45-$B$106)*(28&lt;=Projects!$W$2:$W$45+$B$17)*$B$107)*((Projects!$B$2:$B$45&gt;=$B$12)*$B$6+(Projects!$B$2:$B$45&lt;$B$12)*(Projects!$B$2:$B$45&gt;=$B$13)*$B$7+(Projects!$B$2:$B$45&lt;$B$13)*$B$8))</f>
        <v>2.915</v>
      </c>
      <c r="AG39" s="351" t="n">
        <f aca="false">SUMPRODUCT((Projects!$G$2:$G$45="Yes")*(29&gt;=Projects!$C$2:$C$45-$B$15)*((29&lt;=Projects!$W$2:$W$45-$B$106)*1+(29&gt;Projects!$W$2:$W$45-$B$106)*(29&lt;=Projects!$W$2:$W$45+$B$17)*$B$107)*((Projects!$B$2:$B$45&gt;=$B$12)*$B$6+(Projects!$B$2:$B$45&lt;$B$12)*(Projects!$B$2:$B$45&gt;=$B$13)*$B$7+(Projects!$B$2:$B$45&lt;$B$13)*$B$8))</f>
        <v>2.915</v>
      </c>
      <c r="AH39" s="351" t="n">
        <f aca="false">SUMPRODUCT((Projects!$G$2:$G$45="Yes")*(30&gt;=Projects!$C$2:$C$45-$B$15)*((30&lt;=Projects!$W$2:$W$45-$B$106)*1+(30&gt;Projects!$W$2:$W$45-$B$106)*(30&lt;=Projects!$W$2:$W$45+$B$17)*$B$107)*((Projects!$B$2:$B$45&gt;=$B$12)*$B$6+(Projects!$B$2:$B$45&lt;$B$12)*(Projects!$B$2:$B$45&gt;=$B$13)*$B$7+(Projects!$B$2:$B$45&lt;$B$13)*$B$8))</f>
        <v>2.4575</v>
      </c>
      <c r="AI39" s="351" t="n">
        <f aca="false">SUMPRODUCT((Projects!$G$2:$G$45="Yes")*(31&gt;=Projects!$C$2:$C$45-$B$15)*((31&lt;=Projects!$W$2:$W$45-$B$106)*1+(31&gt;Projects!$W$2:$W$45-$B$106)*(31&lt;=Projects!$W$2:$W$45+$B$17)*$B$107)*((Projects!$B$2:$B$45&gt;=$B$12)*$B$6+(Projects!$B$2:$B$45&lt;$B$12)*(Projects!$B$2:$B$45&gt;=$B$13)*$B$7+(Projects!$B$2:$B$45&lt;$B$13)*$B$8))</f>
        <v>2.375</v>
      </c>
      <c r="AJ39" s="351" t="n">
        <f aca="false">SUMPRODUCT((Projects!$G$2:$G$45="Yes")*(32&gt;=Projects!$C$2:$C$45-$B$15)*((32&lt;=Projects!$W$2:$W$45-$B$106)*1+(32&gt;Projects!$W$2:$W$45-$B$106)*(32&lt;=Projects!$W$2:$W$45+$B$17)*$B$107)*((Projects!$B$2:$B$45&gt;=$B$12)*$B$6+(Projects!$B$2:$B$45&lt;$B$12)*(Projects!$B$2:$B$45&gt;=$B$13)*$B$7+(Projects!$B$2:$B$45&lt;$B$13)*$B$8))</f>
        <v>2.25</v>
      </c>
      <c r="AK39" s="351" t="n">
        <f aca="false">SUMPRODUCT((Projects!$G$2:$G$45="Yes")*(33&gt;=Projects!$C$2:$C$45-$B$15)*((33&lt;=Projects!$W$2:$W$45-$B$106)*1+(33&gt;Projects!$W$2:$W$45-$B$106)*(33&lt;=Projects!$W$2:$W$45+$B$17)*$B$107)*((Projects!$B$2:$B$45&gt;=$B$12)*$B$6+(Projects!$B$2:$B$45&lt;$B$12)*(Projects!$B$2:$B$45&gt;=$B$13)*$B$7+(Projects!$B$2:$B$45&lt;$B$13)*$B$8))</f>
        <v>2.25</v>
      </c>
      <c r="AL39" s="351" t="n">
        <f aca="false">SUMPRODUCT((Projects!$G$2:$G$45="Yes")*(34&gt;=Projects!$C$2:$C$45-$B$15)*((34&lt;=Projects!$W$2:$W$45-$B$106)*1+(34&gt;Projects!$W$2:$W$45-$B$106)*(34&lt;=Projects!$W$2:$W$45+$B$17)*$B$107)*((Projects!$B$2:$B$45&gt;=$B$12)*$B$6+(Projects!$B$2:$B$45&lt;$B$12)*(Projects!$B$2:$B$45&gt;=$B$13)*$B$7+(Projects!$B$2:$B$45&lt;$B$13)*$B$8))</f>
        <v>1.625</v>
      </c>
      <c r="AM39" s="351" t="n">
        <f aca="false">SUMPRODUCT((Projects!$G$2:$G$45="Yes")*(35&gt;=Projects!$C$2:$C$45-$B$15)*((35&lt;=Projects!$W$2:$W$45-$B$106)*1+(35&gt;Projects!$W$2:$W$45-$B$106)*(35&lt;=Projects!$W$2:$W$45+$B$17)*$B$107)*((Projects!$B$2:$B$45&gt;=$B$12)*$B$6+(Projects!$B$2:$B$45&lt;$B$12)*(Projects!$B$2:$B$45&gt;=$B$13)*$B$7+(Projects!$B$2:$B$45&lt;$B$13)*$B$8))</f>
        <v>1.5</v>
      </c>
      <c r="AN39" s="351" t="n">
        <f aca="false">SUMPRODUCT((Projects!$G$2:$G$45="Yes")*(36&gt;=Projects!$C$2:$C$45-$B$15)*((36&lt;=Projects!$W$2:$W$45-$B$106)*1+(36&gt;Projects!$W$2:$W$45-$B$106)*(36&lt;=Projects!$W$2:$W$45+$B$17)*$B$107)*((Projects!$B$2:$B$45&gt;=$B$12)*$B$6+(Projects!$B$2:$B$45&lt;$B$12)*(Projects!$B$2:$B$45&gt;=$B$13)*$B$7+(Projects!$B$2:$B$45&lt;$B$13)*$B$8))</f>
        <v>1.5</v>
      </c>
      <c r="AO39" s="351" t="n">
        <f aca="false">SUMPRODUCT((Projects!$G$2:$G$45="Yes")*(37&gt;=Projects!$C$2:$C$45-$B$15)*((37&lt;=Projects!$W$2:$W$45-$B$106)*1+(37&gt;Projects!$W$2:$W$45-$B$106)*(37&lt;=Projects!$W$2:$W$45+$B$17)*$B$107)*((Projects!$B$2:$B$45&gt;=$B$12)*$B$6+(Projects!$B$2:$B$45&lt;$B$12)*(Projects!$B$2:$B$45&gt;=$B$13)*$B$7+(Projects!$B$2:$B$45&lt;$B$13)*$B$8))</f>
        <v>1.5</v>
      </c>
      <c r="AP39" s="351" t="n">
        <f aca="false">SUMPRODUCT((Projects!$G$2:$G$45="Yes")*(38&gt;=Projects!$C$2:$C$45-$B$15)*((38&lt;=Projects!$W$2:$W$45-$B$106)*1+(38&gt;Projects!$W$2:$W$45-$B$106)*(38&lt;=Projects!$W$2:$W$45+$B$17)*$B$107)*((Projects!$B$2:$B$45&gt;=$B$12)*$B$6+(Projects!$B$2:$B$45&lt;$B$12)*(Projects!$B$2:$B$45&gt;=$B$13)*$B$7+(Projects!$B$2:$B$45&lt;$B$13)*$B$8))</f>
        <v>1.125</v>
      </c>
      <c r="AQ39" s="351" t="n">
        <f aca="false">SUMPRODUCT((Projects!$G$2:$G$45="Yes")*(39&gt;=Projects!$C$2:$C$45-$B$15)*((39&lt;=Projects!$W$2:$W$45-$B$106)*1+(39&gt;Projects!$W$2:$W$45-$B$106)*(39&lt;=Projects!$W$2:$W$45+$B$17)*$B$107)*((Projects!$B$2:$B$45&gt;=$B$12)*$B$6+(Projects!$B$2:$B$45&lt;$B$12)*(Projects!$B$2:$B$45&gt;=$B$13)*$B$7+(Projects!$B$2:$B$45&lt;$B$13)*$B$8))</f>
        <v>1</v>
      </c>
      <c r="AR39" s="351" t="n">
        <f aca="false">SUMPRODUCT((Projects!$G$2:$G$45="Yes")*(40&gt;=Projects!$C$2:$C$45-$B$15)*((40&lt;=Projects!$W$2:$W$45-$B$106)*1+(40&gt;Projects!$W$2:$W$45-$B$106)*(40&lt;=Projects!$W$2:$W$45+$B$17)*$B$107)*((Projects!$B$2:$B$45&gt;=$B$12)*$B$6+(Projects!$B$2:$B$45&lt;$B$12)*(Projects!$B$2:$B$45&gt;=$B$13)*$B$7+(Projects!$B$2:$B$45&lt;$B$13)*$B$8))</f>
        <v>1</v>
      </c>
      <c r="AS39" s="351" t="n">
        <f aca="false">SUMPRODUCT((Projects!$G$2:$G$45="Yes")*(41&gt;=Projects!$C$2:$C$45-$B$15)*((41&lt;=Projects!$W$2:$W$45-$B$106)*1+(41&gt;Projects!$W$2:$W$45-$B$106)*(41&lt;=Projects!$W$2:$W$45+$B$17)*$B$107)*((Projects!$B$2:$B$45&gt;=$B$12)*$B$6+(Projects!$B$2:$B$45&lt;$B$12)*(Projects!$B$2:$B$45&gt;=$B$13)*$B$7+(Projects!$B$2:$B$45&lt;$B$13)*$B$8))</f>
        <v>1</v>
      </c>
      <c r="AT39" s="351" t="n">
        <f aca="false">SUMPRODUCT((Projects!$G$2:$G$45="Yes")*(42&gt;=Projects!$C$2:$C$45-$B$15)*((42&lt;=Projects!$W$2:$W$45-$B$106)*1+(42&gt;Projects!$W$2:$W$45-$B$106)*(42&lt;=Projects!$W$2:$W$45+$B$17)*$B$107)*((Projects!$B$2:$B$45&gt;=$B$12)*$B$6+(Projects!$B$2:$B$45&lt;$B$12)*(Projects!$B$2:$B$45&gt;=$B$13)*$B$7+(Projects!$B$2:$B$45&lt;$B$13)*$B$8))</f>
        <v>0.75</v>
      </c>
      <c r="AU39" s="351" t="n">
        <f aca="false">SUMPRODUCT((Projects!$G$2:$G$45="Yes")*(43&gt;=Projects!$C$2:$C$45-$B$15)*((43&lt;=Projects!$W$2:$W$45-$B$106)*1+(43&gt;Projects!$W$2:$W$45-$B$106)*(43&lt;=Projects!$W$2:$W$45+$B$17)*$B$107)*((Projects!$B$2:$B$45&gt;=$B$12)*$B$6+(Projects!$B$2:$B$45&lt;$B$12)*(Projects!$B$2:$B$45&gt;=$B$13)*$B$7+(Projects!$B$2:$B$45&lt;$B$13)*$B$8))</f>
        <v>0.75</v>
      </c>
      <c r="AV39" s="351" t="n">
        <f aca="false">SUMPRODUCT((Projects!$G$2:$G$45="Yes")*(44&gt;=Projects!$C$2:$C$45-$B$15)*((44&lt;=Projects!$W$2:$W$45-$B$106)*1+(44&gt;Projects!$W$2:$W$45-$B$106)*(44&lt;=Projects!$W$2:$W$45+$B$17)*$B$107)*((Projects!$B$2:$B$45&gt;=$B$12)*$B$6+(Projects!$B$2:$B$45&lt;$B$12)*(Projects!$B$2:$B$45&gt;=$B$13)*$B$7+(Projects!$B$2:$B$45&lt;$B$13)*$B$8))</f>
        <v>0.75</v>
      </c>
      <c r="AW39" s="351" t="n">
        <f aca="false">SUMPRODUCT((Projects!$G$2:$G$45="Yes")*(45&gt;=Projects!$C$2:$C$45-$B$15)*((45&lt;=Projects!$W$2:$W$45-$B$106)*1+(45&gt;Projects!$W$2:$W$45-$B$106)*(45&lt;=Projects!$W$2:$W$45+$B$17)*$B$107)*((Projects!$B$2:$B$45&gt;=$B$12)*$B$6+(Projects!$B$2:$B$45&lt;$B$12)*(Projects!$B$2:$B$45&gt;=$B$13)*$B$7+(Projects!$B$2:$B$45&lt;$B$13)*$B$8))</f>
        <v>0.75</v>
      </c>
      <c r="AX39" s="351" t="n">
        <f aca="false">SUMPRODUCT((Projects!$G$2:$G$45="Yes")*(46&gt;=Projects!$C$2:$C$45-$B$15)*((46&lt;=Projects!$W$2:$W$45-$B$106)*1+(46&gt;Projects!$W$2:$W$45-$B$106)*(46&lt;=Projects!$W$2:$W$45+$B$17)*$B$107)*((Projects!$B$2:$B$45&gt;=$B$12)*$B$6+(Projects!$B$2:$B$45&lt;$B$12)*(Projects!$B$2:$B$45&gt;=$B$13)*$B$7+(Projects!$B$2:$B$45&lt;$B$13)*$B$8))</f>
        <v>0.5</v>
      </c>
      <c r="AY39" s="351" t="n">
        <f aca="false">SUMPRODUCT((Projects!$G$2:$G$45="Yes")*(47&gt;=Projects!$C$2:$C$45-$B$15)*((47&lt;=Projects!$W$2:$W$45-$B$106)*1+(47&gt;Projects!$W$2:$W$45-$B$106)*(47&lt;=Projects!$W$2:$W$45+$B$17)*$B$107)*((Projects!$B$2:$B$45&gt;=$B$12)*$B$6+(Projects!$B$2:$B$45&lt;$B$12)*(Projects!$B$2:$B$45&gt;=$B$13)*$B$7+(Projects!$B$2:$B$45&lt;$B$13)*$B$8))</f>
        <v>0.5</v>
      </c>
      <c r="AZ39" s="351" t="n">
        <f aca="false">SUMPRODUCT((Projects!$G$2:$G$45="Yes")*(48&gt;=Projects!$C$2:$C$45-$B$15)*((48&lt;=Projects!$W$2:$W$45-$B$106)*1+(48&gt;Projects!$W$2:$W$45-$B$106)*(48&lt;=Projects!$W$2:$W$45+$B$17)*$B$107)*((Projects!$B$2:$B$45&gt;=$B$12)*$B$6+(Projects!$B$2:$B$45&lt;$B$12)*(Projects!$B$2:$B$45&gt;=$B$13)*$B$7+(Projects!$B$2:$B$45&lt;$B$13)*$B$8))</f>
        <v>0.5</v>
      </c>
      <c r="BA39" s="351" t="n">
        <f aca="false">SUMPRODUCT((Projects!$G$2:$G$45="Yes")*(49&gt;=Projects!$C$2:$C$45-$B$15)*((49&lt;=Projects!$W$2:$W$45-$B$106)*1+(49&gt;Projects!$W$2:$W$45-$B$106)*(49&lt;=Projects!$W$2:$W$45+$B$17)*$B$107)*((Projects!$B$2:$B$45&gt;=$B$12)*$B$6+(Projects!$B$2:$B$45&lt;$B$12)*(Projects!$B$2:$B$45&gt;=$B$13)*$B$7+(Projects!$B$2:$B$45&lt;$B$13)*$B$8))</f>
        <v>0.5</v>
      </c>
      <c r="BB39" s="351" t="n">
        <f aca="false">SUMPRODUCT((Projects!$G$2:$G$45="Yes")*(50&gt;=Projects!$C$2:$C$45-$B$15)*((50&lt;=Projects!$W$2:$W$45-$B$106)*1+(50&gt;Projects!$W$2:$W$45-$B$106)*(50&lt;=Projects!$W$2:$W$45+$B$17)*$B$107)*((Projects!$B$2:$B$45&gt;=$B$12)*$B$6+(Projects!$B$2:$B$45&lt;$B$12)*(Projects!$B$2:$B$45&gt;=$B$13)*$B$7+(Projects!$B$2:$B$45&lt;$B$13)*$B$8))</f>
        <v>0.5</v>
      </c>
      <c r="BC39" s="351" t="n">
        <f aca="false">SUMPRODUCT((Projects!$G$2:$G$45="Yes")*(51&gt;=Projects!$C$2:$C$45-$B$15)*((51&lt;=Projects!$W$2:$W$45-$B$106)*1+(51&gt;Projects!$W$2:$W$45-$B$106)*(51&lt;=Projects!$W$2:$W$45+$B$17)*$B$107)*((Projects!$B$2:$B$45&gt;=$B$12)*$B$6+(Projects!$B$2:$B$45&lt;$B$12)*(Projects!$B$2:$B$45&gt;=$B$13)*$B$7+(Projects!$B$2:$B$45&lt;$B$13)*$B$8))</f>
        <v>0.5</v>
      </c>
      <c r="BD39" s="351" t="n">
        <f aca="false">SUMPRODUCT((Projects!$G$2:$G$45="Yes")*(52&gt;=Projects!$C$2:$C$45-$B$15)*((52&lt;=Projects!$W$2:$W$45-$B$106)*1+(52&gt;Projects!$W$2:$W$45-$B$106)*(52&lt;=Projects!$W$2:$W$45+$B$17)*$B$107)*((Projects!$B$2:$B$45&gt;=$B$12)*$B$6+(Projects!$B$2:$B$45&lt;$B$12)*(Projects!$B$2:$B$45&gt;=$B$13)*$B$7+(Projects!$B$2:$B$45&lt;$B$13)*$B$8))</f>
        <v>0.5</v>
      </c>
      <c r="BE39" s="351" t="n">
        <f aca="false">SUMPRODUCT((Projects!$G$2:$G$45="Yes")*(53&gt;=Projects!$C$2:$C$45-$B$15)*((53&lt;=Projects!$W$2:$W$45-$B$106)*1+(53&gt;Projects!$W$2:$W$45-$B$106)*(53&lt;=Projects!$W$2:$W$45+$B$17)*$B$107)*((Projects!$B$2:$B$45&gt;=$B$12)*$B$6+(Projects!$B$2:$B$45&lt;$B$12)*(Projects!$B$2:$B$45&gt;=$B$13)*$B$7+(Projects!$B$2:$B$45&lt;$B$13)*$B$8))</f>
        <v>0.5</v>
      </c>
      <c r="BF39" s="351" t="n">
        <f aca="false">SUMPRODUCT((Projects!$G$2:$G$45="Yes")*(54&gt;=Projects!$C$2:$C$45-$B$15)*((54&lt;=Projects!$W$2:$W$45-$B$106)*1+(54&gt;Projects!$W$2:$W$45-$B$106)*(54&lt;=Projects!$W$2:$W$45+$B$17)*$B$107)*((Projects!$B$2:$B$45&gt;=$B$12)*$B$6+(Projects!$B$2:$B$45&lt;$B$12)*(Projects!$B$2:$B$45&gt;=$B$13)*$B$7+(Projects!$B$2:$B$45&lt;$B$13)*$B$8))</f>
        <v>0.25</v>
      </c>
      <c r="BG39" s="351" t="n">
        <f aca="false">SUMPRODUCT((Projects!$G$2:$G$45="Yes")*(55&gt;=Projects!$C$2:$C$45-$B$15)*((55&lt;=Projects!$W$2:$W$45-$B$106)*1+(55&gt;Projects!$W$2:$W$45-$B$106)*(55&lt;=Projects!$W$2:$W$45+$B$17)*$B$107)*((Projects!$B$2:$B$45&gt;=$B$12)*$B$6+(Projects!$B$2:$B$45&lt;$B$12)*(Projects!$B$2:$B$45&gt;=$B$13)*$B$7+(Projects!$B$2:$B$45&lt;$B$13)*$B$8))</f>
        <v>0.25</v>
      </c>
      <c r="BH39" s="351" t="n">
        <f aca="false">SUMPRODUCT((Projects!$G$2:$G$45="Yes")*(56&gt;=Projects!$C$2:$C$45-$B$15)*((56&lt;=Projects!$W$2:$W$45-$B$106)*1+(56&gt;Projects!$W$2:$W$45-$B$106)*(56&lt;=Projects!$W$2:$W$45+$B$17)*$B$107)*((Projects!$B$2:$B$45&gt;=$B$12)*$B$6+(Projects!$B$2:$B$45&lt;$B$12)*(Projects!$B$2:$B$45&gt;=$B$13)*$B$7+(Projects!$B$2:$B$45&lt;$B$13)*$B$8))</f>
        <v>0.25</v>
      </c>
      <c r="BI39" s="351" t="n">
        <f aca="false">SUMPRODUCT((Projects!$G$2:$G$45="Yes")*(57&gt;=Projects!$C$2:$C$45-$B$15)*((57&lt;=Projects!$W$2:$W$45-$B$106)*1+(57&gt;Projects!$W$2:$W$45-$B$106)*(57&lt;=Projects!$W$2:$W$45+$B$17)*$B$107)*((Projects!$B$2:$B$45&gt;=$B$12)*$B$6+(Projects!$B$2:$B$45&lt;$B$12)*(Projects!$B$2:$B$45&gt;=$B$13)*$B$7+(Projects!$B$2:$B$45&lt;$B$13)*$B$8))</f>
        <v>0.25</v>
      </c>
      <c r="BJ39" s="351" t="n">
        <f aca="false">SUMPRODUCT((Projects!$G$2:$G$45="Yes")*(58&gt;=Projects!$C$2:$C$45-$B$15)*((58&lt;=Projects!$W$2:$W$45-$B$106)*1+(58&gt;Projects!$W$2:$W$45-$B$106)*(58&lt;=Projects!$W$2:$W$45+$B$17)*$B$107)*((Projects!$B$2:$B$45&gt;=$B$12)*$B$6+(Projects!$B$2:$B$45&lt;$B$12)*(Projects!$B$2:$B$45&gt;=$B$13)*$B$7+(Projects!$B$2:$B$45&lt;$B$13)*$B$8))</f>
        <v>0</v>
      </c>
      <c r="BK39" s="351" t="n">
        <f aca="false">SUMPRODUCT((Projects!$G$2:$G$45="Yes")*(59&gt;=Projects!$C$2:$C$45-$B$15)*((59&lt;=Projects!$W$2:$W$45-$B$106)*1+(59&gt;Projects!$W$2:$W$45-$B$106)*(59&lt;=Projects!$W$2:$W$45+$B$17)*$B$107)*((Projects!$B$2:$B$45&gt;=$B$12)*$B$6+(Projects!$B$2:$B$45&lt;$B$12)*(Projects!$B$2:$B$45&gt;=$B$13)*$B$7+(Projects!$B$2:$B$45&lt;$B$13)*$B$8))</f>
        <v>0</v>
      </c>
      <c r="BL39" s="351" t="n">
        <f aca="false">SUMPRODUCT((Projects!$G$2:$G$45="Yes")*(60&gt;=Projects!$C$2:$C$45-$B$15)*((60&lt;=Projects!$W$2:$W$45-$B$106)*1+(60&gt;Projects!$W$2:$W$45-$B$106)*(60&lt;=Projects!$W$2:$W$45+$B$17)*$B$107)*((Projects!$B$2:$B$45&gt;=$B$12)*$B$6+(Projects!$B$2:$B$45&lt;$B$12)*(Projects!$B$2:$B$45&gt;=$B$13)*$B$7+(Projects!$B$2:$B$45&lt;$B$13)*$B$8))</f>
        <v>0</v>
      </c>
      <c r="BM39" s="351" t="n">
        <f aca="false">SUMPRODUCT((Projects!$G$2:$G$45="Yes")*(61&gt;=Projects!$C$2:$C$45-$B$15)*((61&lt;=Projects!$W$2:$W$45-$B$106)*1+(61&gt;Projects!$W$2:$W$45-$B$106)*(61&lt;=Projects!$W$2:$W$45+$B$17)*$B$107)*((Projects!$B$2:$B$45&gt;=$B$12)*$B$6+(Projects!$B$2:$B$45&lt;$B$12)*(Projects!$B$2:$B$45&gt;=$B$13)*$B$7+(Projects!$B$2:$B$45&lt;$B$13)*$B$8))</f>
        <v>0</v>
      </c>
      <c r="BN39" s="351" t="n">
        <f aca="false">SUMPRODUCT((Projects!$G$2:$G$45="Yes")*(62&gt;=Projects!$C$2:$C$45-$B$15)*((62&lt;=Projects!$W$2:$W$45-$B$106)*1+(62&gt;Projects!$W$2:$W$45-$B$106)*(62&lt;=Projects!$W$2:$W$45+$B$17)*$B$107)*((Projects!$B$2:$B$45&gt;=$B$12)*$B$6+(Projects!$B$2:$B$45&lt;$B$12)*(Projects!$B$2:$B$45&gt;=$B$13)*$B$7+(Projects!$B$2:$B$45&lt;$B$13)*$B$8))</f>
        <v>0</v>
      </c>
      <c r="BO39" s="351" t="n">
        <f aca="false">SUMPRODUCT((Projects!$G$2:$G$45="Yes")*(63&gt;=Projects!$C$2:$C$45-$B$15)*((63&lt;=Projects!$W$2:$W$45-$B$106)*1+(63&gt;Projects!$W$2:$W$45-$B$106)*(63&lt;=Projects!$W$2:$W$45+$B$17)*$B$107)*((Projects!$B$2:$B$45&gt;=$B$12)*$B$6+(Projects!$B$2:$B$45&lt;$B$12)*(Projects!$B$2:$B$45&gt;=$B$13)*$B$7+(Projects!$B$2:$B$45&lt;$B$13)*$B$8))</f>
        <v>0</v>
      </c>
      <c r="BP39" s="351" t="n">
        <f aca="false">SUMPRODUCT((Projects!$G$2:$G$45="Yes")*(64&gt;=Projects!$C$2:$C$45-$B$15)*((64&lt;=Projects!$W$2:$W$45-$B$106)*1+(64&gt;Projects!$W$2:$W$45-$B$106)*(64&lt;=Projects!$W$2:$W$45+$B$17)*$B$107)*((Projects!$B$2:$B$45&gt;=$B$12)*$B$6+(Projects!$B$2:$B$45&lt;$B$12)*(Projects!$B$2:$B$45&gt;=$B$13)*$B$7+(Projects!$B$2:$B$45&lt;$B$13)*$B$8))</f>
        <v>0</v>
      </c>
      <c r="BQ39" s="351" t="n">
        <f aca="false">SUMPRODUCT((Projects!$G$2:$G$45="Yes")*(65&gt;=Projects!$C$2:$C$45-$B$15)*((65&lt;=Projects!$W$2:$W$45-$B$106)*1+(65&gt;Projects!$W$2:$W$45-$B$106)*(65&lt;=Projects!$W$2:$W$45+$B$17)*$B$107)*((Projects!$B$2:$B$45&gt;=$B$12)*$B$6+(Projects!$B$2:$B$45&lt;$B$12)*(Projects!$B$2:$B$45&gt;=$B$13)*$B$7+(Projects!$B$2:$B$45&lt;$B$13)*$B$8))</f>
        <v>0</v>
      </c>
      <c r="BR39" s="351" t="n">
        <f aca="false">SUMPRODUCT((Projects!$G$2:$G$45="Yes")*(66&gt;=Projects!$C$2:$C$45-$B$15)*((66&lt;=Projects!$W$2:$W$45-$B$106)*1+(66&gt;Projects!$W$2:$W$45-$B$106)*(66&lt;=Projects!$W$2:$W$45+$B$17)*$B$107)*((Projects!$B$2:$B$45&gt;=$B$12)*$B$6+(Projects!$B$2:$B$45&lt;$B$12)*(Projects!$B$2:$B$45&gt;=$B$13)*$B$7+(Projects!$B$2:$B$45&lt;$B$13)*$B$8))</f>
        <v>0</v>
      </c>
      <c r="BS39" s="351" t="n">
        <f aca="false">SUMPRODUCT((Projects!$G$2:$G$45="Yes")*(67&gt;=Projects!$C$2:$C$45-$B$15)*((67&lt;=Projects!$W$2:$W$45-$B$106)*1+(67&gt;Projects!$W$2:$W$45-$B$106)*(67&lt;=Projects!$W$2:$W$45+$B$17)*$B$107)*((Projects!$B$2:$B$45&gt;=$B$12)*$B$6+(Projects!$B$2:$B$45&lt;$B$12)*(Projects!$B$2:$B$45&gt;=$B$13)*$B$7+(Projects!$B$2:$B$45&lt;$B$13)*$B$8))</f>
        <v>0</v>
      </c>
      <c r="BT39" s="351" t="n">
        <f aca="false">SUMPRODUCT((Projects!$G$2:$G$45="Yes")*(68&gt;=Projects!$C$2:$C$45-$B$15)*((68&lt;=Projects!$W$2:$W$45-$B$106)*1+(68&gt;Projects!$W$2:$W$45-$B$106)*(68&lt;=Projects!$W$2:$W$45+$B$17)*$B$107)*((Projects!$B$2:$B$45&gt;=$B$12)*$B$6+(Projects!$B$2:$B$45&lt;$B$12)*(Projects!$B$2:$B$45&gt;=$B$13)*$B$7+(Projects!$B$2:$B$45&lt;$B$13)*$B$8))</f>
        <v>0</v>
      </c>
      <c r="BU39" s="351" t="n">
        <f aca="false">SUMPRODUCT((Projects!$G$2:$G$45="Yes")*(69&gt;=Projects!$C$2:$C$45-$B$15)*((69&lt;=Projects!$W$2:$W$45-$B$106)*1+(69&gt;Projects!$W$2:$W$45-$B$106)*(69&lt;=Projects!$W$2:$W$45+$B$17)*$B$107)*((Projects!$B$2:$B$45&gt;=$B$12)*$B$6+(Projects!$B$2:$B$45&lt;$B$12)*(Projects!$B$2:$B$45&gt;=$B$13)*$B$7+(Projects!$B$2:$B$45&lt;$B$13)*$B$8))</f>
        <v>0</v>
      </c>
      <c r="BV39" s="351" t="n">
        <f aca="false">SUMPRODUCT((Projects!$G$2:$G$45="Yes")*(70&gt;=Projects!$C$2:$C$45-$B$15)*((70&lt;=Projects!$W$2:$W$45-$B$106)*1+(70&gt;Projects!$W$2:$W$45-$B$106)*(70&lt;=Projects!$W$2:$W$45+$B$17)*$B$107)*((Projects!$B$2:$B$45&gt;=$B$12)*$B$6+(Projects!$B$2:$B$45&lt;$B$12)*(Projects!$B$2:$B$45&gt;=$B$13)*$B$7+(Projects!$B$2:$B$45&lt;$B$13)*$B$8))</f>
        <v>0</v>
      </c>
      <c r="BW39" s="351" t="n">
        <f aca="false">SUMPRODUCT((Projects!$G$2:$G$45="Yes")*(71&gt;=Projects!$C$2:$C$45-$B$15)*((71&lt;=Projects!$W$2:$W$45-$B$106)*1+(71&gt;Projects!$W$2:$W$45-$B$106)*(71&lt;=Projects!$W$2:$W$45+$B$17)*$B$107)*((Projects!$B$2:$B$45&gt;=$B$12)*$B$6+(Projects!$B$2:$B$45&lt;$B$12)*(Projects!$B$2:$B$45&gt;=$B$13)*$B$7+(Projects!$B$2:$B$45&lt;$B$13)*$B$8))</f>
        <v>0</v>
      </c>
      <c r="BX39" s="351" t="n">
        <f aca="false">SUMPRODUCT((Projects!$G$2:$G$45="Yes")*(72&gt;=Projects!$C$2:$C$45-$B$15)*((72&lt;=Projects!$W$2:$W$45-$B$106)*1+(72&gt;Projects!$W$2:$W$45-$B$106)*(72&lt;=Projects!$W$2:$W$45+$B$17)*$B$107)*((Projects!$B$2:$B$45&gt;=$B$12)*$B$6+(Projects!$B$2:$B$45&lt;$B$12)*(Projects!$B$2:$B$45&gt;=$B$13)*$B$7+(Projects!$B$2:$B$45&lt;$B$13)*$B$8))</f>
        <v>0</v>
      </c>
      <c r="BY39" s="351" t="n">
        <f aca="false">SUMPRODUCT((Projects!$G$2:$G$45="Yes")*(73&gt;=Projects!$C$2:$C$45-$B$15)*((73&lt;=Projects!$W$2:$W$45-$B$106)*1+(73&gt;Projects!$W$2:$W$45-$B$106)*(73&lt;=Projects!$W$2:$W$45+$B$17)*$B$107)*((Projects!$B$2:$B$45&gt;=$B$12)*$B$6+(Projects!$B$2:$B$45&lt;$B$12)*(Projects!$B$2:$B$45&gt;=$B$13)*$B$7+(Projects!$B$2:$B$45&lt;$B$13)*$B$8))</f>
        <v>0</v>
      </c>
      <c r="BZ39" s="351" t="n">
        <f aca="false">SUMPRODUCT((Projects!$G$2:$G$45="Yes")*(74&gt;=Projects!$C$2:$C$45-$B$15)*((74&lt;=Projects!$W$2:$W$45-$B$106)*1+(74&gt;Projects!$W$2:$W$45-$B$106)*(74&lt;=Projects!$W$2:$W$45+$B$17)*$B$107)*((Projects!$B$2:$B$45&gt;=$B$12)*$B$6+(Projects!$B$2:$B$45&lt;$B$12)*(Projects!$B$2:$B$45&gt;=$B$13)*$B$7+(Projects!$B$2:$B$45&lt;$B$13)*$B$8))</f>
        <v>0</v>
      </c>
      <c r="CA39" s="351" t="n">
        <f aca="false">SUMPRODUCT((Projects!$G$2:$G$45="Yes")*(75&gt;=Projects!$C$2:$C$45-$B$15)*((75&lt;=Projects!$W$2:$W$45-$B$106)*1+(75&gt;Projects!$W$2:$W$45-$B$106)*(75&lt;=Projects!$W$2:$W$45+$B$17)*$B$107)*((Projects!$B$2:$B$45&gt;=$B$12)*$B$6+(Projects!$B$2:$B$45&lt;$B$12)*(Projects!$B$2:$B$45&gt;=$B$13)*$B$7+(Projects!$B$2:$B$45&lt;$B$13)*$B$8))</f>
        <v>0</v>
      </c>
      <c r="CB39" s="351" t="n">
        <f aca="false">SUMPRODUCT((Projects!$G$2:$G$45="Yes")*(76&gt;=Projects!$C$2:$C$45-$B$15)*((76&lt;=Projects!$W$2:$W$45-$B$106)*1+(76&gt;Projects!$W$2:$W$45-$B$106)*(76&lt;=Projects!$W$2:$W$45+$B$17)*$B$107)*((Projects!$B$2:$B$45&gt;=$B$12)*$B$6+(Projects!$B$2:$B$45&lt;$B$12)*(Projects!$B$2:$B$45&gt;=$B$13)*$B$7+(Projects!$B$2:$B$45&lt;$B$13)*$B$8))</f>
        <v>0</v>
      </c>
      <c r="CC39" s="351" t="n">
        <f aca="false">SUMPRODUCT((Projects!$G$2:$G$45="Yes")*(77&gt;=Projects!$C$2:$C$45-$B$15)*((77&lt;=Projects!$W$2:$W$45-$B$106)*1+(77&gt;Projects!$W$2:$W$45-$B$106)*(77&lt;=Projects!$W$2:$W$45+$B$17)*$B$107)*((Projects!$B$2:$B$45&gt;=$B$12)*$B$6+(Projects!$B$2:$B$45&lt;$B$12)*(Projects!$B$2:$B$45&gt;=$B$13)*$B$7+(Projects!$B$2:$B$45&lt;$B$13)*$B$8))</f>
        <v>0</v>
      </c>
      <c r="CD39" s="351" t="n">
        <f aca="false">SUMPRODUCT((Projects!$G$2:$G$45="Yes")*(78&gt;=Projects!$C$2:$C$45-$B$15)*((78&lt;=Projects!$W$2:$W$45-$B$106)*1+(78&gt;Projects!$W$2:$W$45-$B$106)*(78&lt;=Projects!$W$2:$W$45+$B$17)*$B$107)*((Projects!$B$2:$B$45&gt;=$B$12)*$B$6+(Projects!$B$2:$B$45&lt;$B$12)*(Projects!$B$2:$B$45&gt;=$B$13)*$B$7+(Projects!$B$2:$B$45&lt;$B$13)*$B$8))</f>
        <v>0</v>
      </c>
      <c r="CE39" s="351" t="n">
        <f aca="false">SUMPRODUCT((Projects!$G$2:$G$45="Yes")*(79&gt;=Projects!$C$2:$C$45-$B$15)*((79&lt;=Projects!$W$2:$W$45-$B$106)*1+(79&gt;Projects!$W$2:$W$45-$B$106)*(79&lt;=Projects!$W$2:$W$45+$B$17)*$B$107)*((Projects!$B$2:$B$45&gt;=$B$12)*$B$6+(Projects!$B$2:$B$45&lt;$B$12)*(Projects!$B$2:$B$45&gt;=$B$13)*$B$7+(Projects!$B$2:$B$45&lt;$B$13)*$B$8))</f>
        <v>0</v>
      </c>
      <c r="CF39" s="351" t="n">
        <f aca="false">SUMPRODUCT((Projects!$G$2:$G$45="Yes")*(80&gt;=Projects!$C$2:$C$45-$B$15)*((80&lt;=Projects!$W$2:$W$45-$B$106)*1+(80&gt;Projects!$W$2:$W$45-$B$106)*(80&lt;=Projects!$W$2:$W$45+$B$17)*$B$107)*((Projects!$B$2:$B$45&gt;=$B$12)*$B$6+(Projects!$B$2:$B$45&lt;$B$12)*(Projects!$B$2:$B$45&gt;=$B$13)*$B$7+(Projects!$B$2:$B$45&lt;$B$13)*$B$8))</f>
        <v>0</v>
      </c>
      <c r="CG39" s="351" t="n">
        <f aca="false">SUMPRODUCT((Projects!$G$2:$G$45="Yes")*(81&gt;=Projects!$C$2:$C$45-$B$15)*((81&lt;=Projects!$W$2:$W$45-$B$106)*1+(81&gt;Projects!$W$2:$W$45-$B$106)*(81&lt;=Projects!$W$2:$W$45+$B$17)*$B$107)*((Projects!$B$2:$B$45&gt;=$B$12)*$B$6+(Projects!$B$2:$B$45&lt;$B$12)*(Projects!$B$2:$B$45&gt;=$B$13)*$B$7+(Projects!$B$2:$B$45&lt;$B$13)*$B$8))</f>
        <v>0</v>
      </c>
      <c r="CH39" s="351" t="n">
        <f aca="false">SUMPRODUCT((Projects!$G$2:$G$45="Yes")*(82&gt;=Projects!$C$2:$C$45-$B$15)*((82&lt;=Projects!$W$2:$W$45-$B$106)*1+(82&gt;Projects!$W$2:$W$45-$B$106)*(82&lt;=Projects!$W$2:$W$45+$B$17)*$B$107)*((Projects!$B$2:$B$45&gt;=$B$12)*$B$6+(Projects!$B$2:$B$45&lt;$B$12)*(Projects!$B$2:$B$45&gt;=$B$13)*$B$7+(Projects!$B$2:$B$45&lt;$B$13)*$B$8))</f>
        <v>0</v>
      </c>
      <c r="CI39" s="351" t="n">
        <f aca="false">SUMPRODUCT((Projects!$G$2:$G$45="Yes")*(83&gt;=Projects!$C$2:$C$45-$B$15)*((83&lt;=Projects!$W$2:$W$45-$B$106)*1+(83&gt;Projects!$W$2:$W$45-$B$106)*(83&lt;=Projects!$W$2:$W$45+$B$17)*$B$107)*((Projects!$B$2:$B$45&gt;=$B$12)*$B$6+(Projects!$B$2:$B$45&lt;$B$12)*(Projects!$B$2:$B$45&gt;=$B$13)*$B$7+(Projects!$B$2:$B$45&lt;$B$13)*$B$8))</f>
        <v>0</v>
      </c>
      <c r="CJ39" s="351" t="n">
        <f aca="false">SUMPRODUCT((Projects!$G$2:$G$45="Yes")*(84&gt;=Projects!$C$2:$C$45-$B$15)*((84&lt;=Projects!$W$2:$W$45-$B$106)*1+(84&gt;Projects!$W$2:$W$45-$B$106)*(84&lt;=Projects!$W$2:$W$45+$B$17)*$B$107)*((Projects!$B$2:$B$45&gt;=$B$12)*$B$6+(Projects!$B$2:$B$45&lt;$B$12)*(Projects!$B$2:$B$45&gt;=$B$13)*$B$7+(Projects!$B$2:$B$45&lt;$B$13)*$B$8))</f>
        <v>0</v>
      </c>
      <c r="CK39" s="351" t="n">
        <f aca="false">SUMPRODUCT((Projects!$G$2:$G$45="Yes")*(85&gt;=Projects!$C$2:$C$45-$B$15)*((85&lt;=Projects!$W$2:$W$45-$B$106)*1+(85&gt;Projects!$W$2:$W$45-$B$106)*(85&lt;=Projects!$W$2:$W$45+$B$17)*$B$107)*((Projects!$B$2:$B$45&gt;=$B$12)*$B$6+(Projects!$B$2:$B$45&lt;$B$12)*(Projects!$B$2:$B$45&gt;=$B$13)*$B$7+(Projects!$B$2:$B$45&lt;$B$13)*$B$8))</f>
        <v>0</v>
      </c>
      <c r="CL39" s="351" t="n">
        <f aca="false">SUMPRODUCT((Projects!$G$2:$G$45="Yes")*(86&gt;=Projects!$C$2:$C$45-$B$15)*((86&lt;=Projects!$W$2:$W$45-$B$106)*1+(86&gt;Projects!$W$2:$W$45-$B$106)*(86&lt;=Projects!$W$2:$W$45+$B$17)*$B$107)*((Projects!$B$2:$B$45&gt;=$B$12)*$B$6+(Projects!$B$2:$B$45&lt;$B$12)*(Projects!$B$2:$B$45&gt;=$B$13)*$B$7+(Projects!$B$2:$B$45&lt;$B$13)*$B$8))</f>
        <v>0</v>
      </c>
      <c r="CM39" s="351" t="n">
        <f aca="false">SUMPRODUCT((Projects!$G$2:$G$45="Yes")*(87&gt;=Projects!$C$2:$C$45-$B$15)*((87&lt;=Projects!$W$2:$W$45-$B$106)*1+(87&gt;Projects!$W$2:$W$45-$B$106)*(87&lt;=Projects!$W$2:$W$45+$B$17)*$B$107)*((Projects!$B$2:$B$45&gt;=$B$12)*$B$6+(Projects!$B$2:$B$45&lt;$B$12)*(Projects!$B$2:$B$45&gt;=$B$13)*$B$7+(Projects!$B$2:$B$45&lt;$B$13)*$B$8))</f>
        <v>0</v>
      </c>
      <c r="CN39" s="351" t="n">
        <f aca="false">SUMPRODUCT((Projects!$G$2:$G$45="Yes")*(88&gt;=Projects!$C$2:$C$45-$B$15)*((88&lt;=Projects!$W$2:$W$45-$B$106)*1+(88&gt;Projects!$W$2:$W$45-$B$106)*(88&lt;=Projects!$W$2:$W$45+$B$17)*$B$107)*((Projects!$B$2:$B$45&gt;=$B$12)*$B$6+(Projects!$B$2:$B$45&lt;$B$12)*(Projects!$B$2:$B$45&gt;=$B$13)*$B$7+(Projects!$B$2:$B$45&lt;$B$13)*$B$8))</f>
        <v>0</v>
      </c>
      <c r="CO39" s="351" t="n">
        <f aca="false">SUMPRODUCT((Projects!$G$2:$G$45="Yes")*(89&gt;=Projects!$C$2:$C$45-$B$15)*((89&lt;=Projects!$W$2:$W$45-$B$106)*1+(89&gt;Projects!$W$2:$W$45-$B$106)*(89&lt;=Projects!$W$2:$W$45+$B$17)*$B$107)*((Projects!$B$2:$B$45&gt;=$B$12)*$B$6+(Projects!$B$2:$B$45&lt;$B$12)*(Projects!$B$2:$B$45&gt;=$B$13)*$B$7+(Projects!$B$2:$B$45&lt;$B$13)*$B$8))</f>
        <v>0</v>
      </c>
      <c r="CP39" s="351" t="n">
        <f aca="false">SUMPRODUCT((Projects!$G$2:$G$45="Yes")*(90&gt;=Projects!$C$2:$C$45-$B$15)*((90&lt;=Projects!$W$2:$W$45-$B$106)*1+(90&gt;Projects!$W$2:$W$45-$B$106)*(90&lt;=Projects!$W$2:$W$45+$B$17)*$B$107)*((Projects!$B$2:$B$45&gt;=$B$12)*$B$6+(Projects!$B$2:$B$45&lt;$B$12)*(Projects!$B$2:$B$45&gt;=$B$13)*$B$7+(Projects!$B$2:$B$45&lt;$B$13)*$B$8))</f>
        <v>0</v>
      </c>
      <c r="CQ39" s="351" t="n">
        <f aca="false">SUMPRODUCT((Projects!$G$2:$G$45="Yes")*(91&gt;=Projects!$C$2:$C$45-$B$15)*((91&lt;=Projects!$W$2:$W$45-$B$106)*1+(91&gt;Projects!$W$2:$W$45-$B$106)*(91&lt;=Projects!$W$2:$W$45+$B$17)*$B$107)*((Projects!$B$2:$B$45&gt;=$B$12)*$B$6+(Projects!$B$2:$B$45&lt;$B$12)*(Projects!$B$2:$B$45&gt;=$B$13)*$B$7+(Projects!$B$2:$B$45&lt;$B$13)*$B$8))</f>
        <v>0</v>
      </c>
      <c r="CR39" s="351" t="n">
        <f aca="false">SUMPRODUCT((Projects!$G$2:$G$45="Yes")*(92&gt;=Projects!$C$2:$C$45-$B$15)*((92&lt;=Projects!$W$2:$W$45-$B$106)*1+(92&gt;Projects!$W$2:$W$45-$B$106)*(92&lt;=Projects!$W$2:$W$45+$B$17)*$B$107)*((Projects!$B$2:$B$45&gt;=$B$12)*$B$6+(Projects!$B$2:$B$45&lt;$B$12)*(Projects!$B$2:$B$45&gt;=$B$13)*$B$7+(Projects!$B$2:$B$45&lt;$B$13)*$B$8))</f>
        <v>0</v>
      </c>
      <c r="CS39" s="351" t="n">
        <f aca="false">SUMPRODUCT((Projects!$G$2:$G$45="Yes")*(93&gt;=Projects!$C$2:$C$45-$B$15)*((93&lt;=Projects!$W$2:$W$45-$B$106)*1+(93&gt;Projects!$W$2:$W$45-$B$106)*(93&lt;=Projects!$W$2:$W$45+$B$17)*$B$107)*((Projects!$B$2:$B$45&gt;=$B$12)*$B$6+(Projects!$B$2:$B$45&lt;$B$12)*(Projects!$B$2:$B$45&gt;=$B$13)*$B$7+(Projects!$B$2:$B$45&lt;$B$13)*$B$8))</f>
        <v>0</v>
      </c>
      <c r="CT39" s="351" t="n">
        <f aca="false">SUMPRODUCT((Projects!$G$2:$G$45="Yes")*(94&gt;=Projects!$C$2:$C$45-$B$15)*((94&lt;=Projects!$W$2:$W$45-$B$106)*1+(94&gt;Projects!$W$2:$W$45-$B$106)*(94&lt;=Projects!$W$2:$W$45+$B$17)*$B$107)*((Projects!$B$2:$B$45&gt;=$B$12)*$B$6+(Projects!$B$2:$B$45&lt;$B$12)*(Projects!$B$2:$B$45&gt;=$B$13)*$B$7+(Projects!$B$2:$B$45&lt;$B$13)*$B$8))</f>
        <v>0</v>
      </c>
      <c r="CU39" s="351" t="n">
        <f aca="false">SUMPRODUCT((Projects!$G$2:$G$45="Yes")*(95&gt;=Projects!$C$2:$C$45-$B$15)*((95&lt;=Projects!$W$2:$W$45-$B$106)*1+(95&gt;Projects!$W$2:$W$45-$B$106)*(95&lt;=Projects!$W$2:$W$45+$B$17)*$B$107)*((Projects!$B$2:$B$45&gt;=$B$12)*$B$6+(Projects!$B$2:$B$45&lt;$B$12)*(Projects!$B$2:$B$45&gt;=$B$13)*$B$7+(Projects!$B$2:$B$45&lt;$B$13)*$B$8))</f>
        <v>0</v>
      </c>
      <c r="CV39" s="351" t="n">
        <f aca="false">SUMPRODUCT((Projects!$G$2:$G$45="Yes")*(96&gt;=Projects!$C$2:$C$45-$B$15)*((96&lt;=Projects!$W$2:$W$45-$B$106)*1+(96&gt;Projects!$W$2:$W$45-$B$106)*(96&lt;=Projects!$W$2:$W$45+$B$17)*$B$107)*((Projects!$B$2:$B$45&gt;=$B$12)*$B$6+(Projects!$B$2:$B$45&lt;$B$12)*(Projects!$B$2:$B$45&gt;=$B$13)*$B$7+(Projects!$B$2:$B$45&lt;$B$13)*$B$8))</f>
        <v>0</v>
      </c>
      <c r="CW39" s="351" t="n">
        <f aca="false">SUMPRODUCT((Projects!$G$2:$G$45="Yes")*(97&gt;=Projects!$C$2:$C$45-$B$15)*((97&lt;=Projects!$W$2:$W$45-$B$106)*1+(97&gt;Projects!$W$2:$W$45-$B$106)*(97&lt;=Projects!$W$2:$W$45+$B$17)*$B$107)*((Projects!$B$2:$B$45&gt;=$B$12)*$B$6+(Projects!$B$2:$B$45&lt;$B$12)*(Projects!$B$2:$B$45&gt;=$B$13)*$B$7+(Projects!$B$2:$B$45&lt;$B$13)*$B$8))</f>
        <v>0</v>
      </c>
      <c r="CX39" s="351" t="n">
        <f aca="false">SUMPRODUCT((Projects!$G$2:$G$45="Yes")*(98&gt;=Projects!$C$2:$C$45-$B$15)*((98&lt;=Projects!$W$2:$W$45-$B$106)*1+(98&gt;Projects!$W$2:$W$45-$B$106)*(98&lt;=Projects!$W$2:$W$45+$B$17)*$B$107)*((Projects!$B$2:$B$45&gt;=$B$12)*$B$6+(Projects!$B$2:$B$45&lt;$B$12)*(Projects!$B$2:$B$45&gt;=$B$13)*$B$7+(Projects!$B$2:$B$45&lt;$B$13)*$B$8))</f>
        <v>0</v>
      </c>
      <c r="CY39" s="351" t="n">
        <f aca="false">SUMPRODUCT((Projects!$G$2:$G$45="Yes")*(99&gt;=Projects!$C$2:$C$45-$B$15)*((99&lt;=Projects!$W$2:$W$45-$B$106)*1+(99&gt;Projects!$W$2:$W$45-$B$106)*(99&lt;=Projects!$W$2:$W$45+$B$17)*$B$107)*((Projects!$B$2:$B$45&gt;=$B$12)*$B$6+(Projects!$B$2:$B$45&lt;$B$12)*(Projects!$B$2:$B$45&gt;=$B$13)*$B$7+(Projects!$B$2:$B$45&lt;$B$13)*$B$8))</f>
        <v>0</v>
      </c>
      <c r="CZ39" s="351" t="n">
        <f aca="false">SUMPRODUCT((Projects!$G$2:$G$45="Yes")*(100&gt;=Projects!$C$2:$C$45-$B$15)*((100&lt;=Projects!$W$2:$W$45-$B$106)*1+(100&gt;Projects!$W$2:$W$45-$B$106)*(100&lt;=Projects!$W$2:$W$45+$B$17)*$B$107)*((Projects!$B$2:$B$45&gt;=$B$12)*$B$6+(Projects!$B$2:$B$45&lt;$B$12)*(Projects!$B$2:$B$45&gt;=$B$13)*$B$7+(Projects!$B$2:$B$45&lt;$B$13)*$B$8))</f>
        <v>0</v>
      </c>
      <c r="DA39" s="351" t="n">
        <f aca="false">SUMPRODUCT((Projects!$G$2:$G$45="Yes")*(101&gt;=Projects!$C$2:$C$45-$B$15)*((101&lt;=Projects!$W$2:$W$45-$B$106)*1+(101&gt;Projects!$W$2:$W$45-$B$106)*(101&lt;=Projects!$W$2:$W$45+$B$17)*$B$107)*((Projects!$B$2:$B$45&gt;=$B$12)*$B$6+(Projects!$B$2:$B$45&lt;$B$12)*(Projects!$B$2:$B$45&gt;=$B$13)*$B$7+(Projects!$B$2:$B$45&lt;$B$13)*$B$8))</f>
        <v>0</v>
      </c>
      <c r="DB39" s="351" t="n">
        <f aca="false">SUMPRODUCT((Projects!$G$2:$G$45="Yes")*(102&gt;=Projects!$C$2:$C$45-$B$15)*((102&lt;=Projects!$W$2:$W$45-$B$106)*1+(102&gt;Projects!$W$2:$W$45-$B$106)*(102&lt;=Projects!$W$2:$W$45+$B$17)*$B$107)*((Projects!$B$2:$B$45&gt;=$B$12)*$B$6+(Projects!$B$2:$B$45&lt;$B$12)*(Projects!$B$2:$B$45&gt;=$B$13)*$B$7+(Projects!$B$2:$B$45&lt;$B$13)*$B$8))</f>
        <v>0</v>
      </c>
      <c r="DC39" s="351" t="n">
        <f aca="false">SUMPRODUCT((Projects!$G$2:$G$45="Yes")*(103&gt;=Projects!$C$2:$C$45-$B$15)*((103&lt;=Projects!$W$2:$W$45-$B$106)*1+(103&gt;Projects!$W$2:$W$45-$B$106)*(103&lt;=Projects!$W$2:$W$45+$B$17)*$B$107)*((Projects!$B$2:$B$45&gt;=$B$12)*$B$6+(Projects!$B$2:$B$45&lt;$B$12)*(Projects!$B$2:$B$45&gt;=$B$13)*$B$7+(Projects!$B$2:$B$45&lt;$B$13)*$B$8))</f>
        <v>0</v>
      </c>
      <c r="DD39" s="351" t="n">
        <f aca="false">SUMPRODUCT((Projects!$G$2:$G$45="Yes")*(104&gt;=Projects!$C$2:$C$45-$B$15)*((104&lt;=Projects!$W$2:$W$45-$B$106)*1+(104&gt;Projects!$W$2:$W$45-$B$106)*(104&lt;=Projects!$W$2:$W$45+$B$17)*$B$107)*((Projects!$B$2:$B$45&gt;=$B$12)*$B$6+(Projects!$B$2:$B$45&lt;$B$12)*(Projects!$B$2:$B$45&gt;=$B$13)*$B$7+(Projects!$B$2:$B$45&lt;$B$13)*$B$8))</f>
        <v>0</v>
      </c>
      <c r="DE39" s="351"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1171</v>
      </c>
      <c r="E40" s="351" t="n">
        <f aca="false">SUMPRODUCT((Projects!$G$2:$G$45="Yes")*(1&gt;=Projects!$C$2:$C$45-$B$16)*((1&lt;=Projects!$W$2:$W$45-$B$106)*1+(1&gt;Projects!$W$2:$W$45-$B$106)*(1&lt;=Projects!$W$2:$W$45+$B$17)*$B$107)*((Projects!$B$2:$B$45&gt;=$B$12)*$B$9+(Projects!$B$2:$B$45&lt;$B$12)*(Projects!$B$2:$B$45&gt;=$B$13)*$B$10+(Projects!$B$2:$B$45&lt;$B$13)*$B$11))</f>
        <v>1.6</v>
      </c>
      <c r="F40" s="351" t="n">
        <f aca="false">SUMPRODUCT((Projects!$G$2:$G$45="Yes")*(2&gt;=Projects!$C$2:$C$45-$B$16)*((2&lt;=Projects!$W$2:$W$45-$B$106)*1+(2&gt;Projects!$W$2:$W$45-$B$106)*(2&lt;=Projects!$W$2:$W$45+$B$17)*$B$107)*((Projects!$B$2:$B$45&gt;=$B$12)*$B$9+(Projects!$B$2:$B$45&lt;$B$12)*(Projects!$B$2:$B$45&gt;=$B$13)*$B$10+(Projects!$B$2:$B$45&lt;$B$13)*$B$11))</f>
        <v>1.6</v>
      </c>
      <c r="G40" s="351" t="n">
        <f aca="false">SUMPRODUCT((Projects!$G$2:$G$45="Yes")*(3&gt;=Projects!$C$2:$C$45-$B$16)*((3&lt;=Projects!$W$2:$W$45-$B$106)*1+(3&gt;Projects!$W$2:$W$45-$B$106)*(3&lt;=Projects!$W$2:$W$45+$B$17)*$B$107)*((Projects!$B$2:$B$45&gt;=$B$12)*$B$9+(Projects!$B$2:$B$45&lt;$B$12)*(Projects!$B$2:$B$45&gt;=$B$13)*$B$10+(Projects!$B$2:$B$45&lt;$B$13)*$B$11))</f>
        <v>1.6</v>
      </c>
      <c r="H40" s="351" t="n">
        <f aca="false">SUMPRODUCT((Projects!$G$2:$G$45="Yes")*(4&gt;=Projects!$C$2:$C$45-$B$16)*((4&lt;=Projects!$W$2:$W$45-$B$106)*1+(4&gt;Projects!$W$2:$W$45-$B$106)*(4&lt;=Projects!$W$2:$W$45+$B$17)*$B$107)*((Projects!$B$2:$B$45&gt;=$B$12)*$B$9+(Projects!$B$2:$B$45&lt;$B$12)*(Projects!$B$2:$B$45&gt;=$B$13)*$B$10+(Projects!$B$2:$B$45&lt;$B$13)*$B$11))</f>
        <v>1.6</v>
      </c>
      <c r="I40" s="351" t="n">
        <f aca="false">SUMPRODUCT((Projects!$G$2:$G$45="Yes")*(5&gt;=Projects!$C$2:$C$45-$B$16)*((5&lt;=Projects!$W$2:$W$45-$B$106)*1+(5&gt;Projects!$W$2:$W$45-$B$106)*(5&lt;=Projects!$W$2:$W$45+$B$17)*$B$107)*((Projects!$B$2:$B$45&gt;=$B$12)*$B$9+(Projects!$B$2:$B$45&lt;$B$12)*(Projects!$B$2:$B$45&gt;=$B$13)*$B$10+(Projects!$B$2:$B$45&lt;$B$13)*$B$11))</f>
        <v>2.3</v>
      </c>
      <c r="J40" s="351" t="n">
        <f aca="false">SUMPRODUCT((Projects!$G$2:$G$45="Yes")*(6&gt;=Projects!$C$2:$C$45-$B$16)*((6&lt;=Projects!$W$2:$W$45-$B$106)*1+(6&gt;Projects!$W$2:$W$45-$B$106)*(6&lt;=Projects!$W$2:$W$45+$B$17)*$B$107)*((Projects!$B$2:$B$45&gt;=$B$12)*$B$9+(Projects!$B$2:$B$45&lt;$B$12)*(Projects!$B$2:$B$45&gt;=$B$13)*$B$10+(Projects!$B$2:$B$45&lt;$B$13)*$B$11))</f>
        <v>2.25</v>
      </c>
      <c r="K40" s="351" t="n">
        <f aca="false">SUMPRODUCT((Projects!$G$2:$G$45="Yes")*(7&gt;=Projects!$C$2:$C$45-$B$16)*((7&lt;=Projects!$W$2:$W$45-$B$106)*1+(7&gt;Projects!$W$2:$W$45-$B$106)*(7&lt;=Projects!$W$2:$W$45+$B$17)*$B$107)*((Projects!$B$2:$B$45&gt;=$B$12)*$B$9+(Projects!$B$2:$B$45&lt;$B$12)*(Projects!$B$2:$B$45&gt;=$B$13)*$B$10+(Projects!$B$2:$B$45&lt;$B$13)*$B$11))</f>
        <v>2.25</v>
      </c>
      <c r="L40" s="351" t="n">
        <f aca="false">SUMPRODUCT((Projects!$G$2:$G$45="Yes")*(8&gt;=Projects!$C$2:$C$45-$B$16)*((8&lt;=Projects!$W$2:$W$45-$B$106)*1+(8&gt;Projects!$W$2:$W$45-$B$106)*(8&lt;=Projects!$W$2:$W$45+$B$17)*$B$107)*((Projects!$B$2:$B$45&gt;=$B$12)*$B$9+(Projects!$B$2:$B$45&lt;$B$12)*(Projects!$B$2:$B$45&gt;=$B$13)*$B$10+(Projects!$B$2:$B$45&lt;$B$13)*$B$11))</f>
        <v>2.25</v>
      </c>
      <c r="M40" s="351" t="n">
        <f aca="false">SUMPRODUCT((Projects!$G$2:$G$45="Yes")*(9&gt;=Projects!$C$2:$C$45-$B$16)*((9&lt;=Projects!$W$2:$W$45-$B$106)*1+(9&gt;Projects!$W$2:$W$45-$B$106)*(9&lt;=Projects!$W$2:$W$45+$B$17)*$B$107)*((Projects!$B$2:$B$45&gt;=$B$12)*$B$9+(Projects!$B$2:$B$45&lt;$B$12)*(Projects!$B$2:$B$45&gt;=$B$13)*$B$10+(Projects!$B$2:$B$45&lt;$B$13)*$B$11))</f>
        <v>2.65</v>
      </c>
      <c r="N40" s="351" t="n">
        <f aca="false">SUMPRODUCT((Projects!$G$2:$G$45="Yes")*(10&gt;=Projects!$C$2:$C$45-$B$16)*((10&lt;=Projects!$W$2:$W$45-$B$106)*1+(10&gt;Projects!$W$2:$W$45-$B$106)*(10&lt;=Projects!$W$2:$W$45+$B$17)*$B$107)*((Projects!$B$2:$B$45&gt;=$B$12)*$B$9+(Projects!$B$2:$B$45&lt;$B$12)*(Projects!$B$2:$B$45&gt;=$B$13)*$B$10+(Projects!$B$2:$B$45&lt;$B$13)*$B$11))</f>
        <v>2.9</v>
      </c>
      <c r="O40" s="351" t="n">
        <f aca="false">SUMPRODUCT((Projects!$G$2:$G$45="Yes")*(11&gt;=Projects!$C$2:$C$45-$B$16)*((11&lt;=Projects!$W$2:$W$45-$B$106)*1+(11&gt;Projects!$W$2:$W$45-$B$106)*(11&lt;=Projects!$W$2:$W$45+$B$17)*$B$107)*((Projects!$B$2:$B$45&gt;=$B$12)*$B$9+(Projects!$B$2:$B$45&lt;$B$12)*(Projects!$B$2:$B$45&gt;=$B$13)*$B$10+(Projects!$B$2:$B$45&lt;$B$13)*$B$11))</f>
        <v>3.4</v>
      </c>
      <c r="P40" s="351" t="n">
        <f aca="false">SUMPRODUCT((Projects!$G$2:$G$45="Yes")*(12&gt;=Projects!$C$2:$C$45-$B$16)*((12&lt;=Projects!$W$2:$W$45-$B$106)*1+(12&gt;Projects!$W$2:$W$45-$B$106)*(12&lt;=Projects!$W$2:$W$45+$B$17)*$B$107)*((Projects!$B$2:$B$45&gt;=$B$12)*$B$9+(Projects!$B$2:$B$45&lt;$B$12)*(Projects!$B$2:$B$45&gt;=$B$13)*$B$10+(Projects!$B$2:$B$45&lt;$B$13)*$B$11))</f>
        <v>3.4</v>
      </c>
      <c r="Q40" s="351" t="n">
        <f aca="false">SUMPRODUCT((Projects!$G$2:$G$45="Yes")*(13&gt;=Projects!$C$2:$C$45-$B$16)*((13&lt;=Projects!$W$2:$W$45-$B$106)*1+(13&gt;Projects!$W$2:$W$45-$B$106)*(13&lt;=Projects!$W$2:$W$45+$B$17)*$B$107)*((Projects!$B$2:$B$45&gt;=$B$12)*$B$9+(Projects!$B$2:$B$45&lt;$B$12)*(Projects!$B$2:$B$45&gt;=$B$13)*$B$10+(Projects!$B$2:$B$45&lt;$B$13)*$B$11))</f>
        <v>3.35</v>
      </c>
      <c r="R40" s="351" t="n">
        <f aca="false">SUMPRODUCT((Projects!$G$2:$G$45="Yes")*(14&gt;=Projects!$C$2:$C$45-$B$16)*((14&lt;=Projects!$W$2:$W$45-$B$106)*1+(14&gt;Projects!$W$2:$W$45-$B$106)*(14&lt;=Projects!$W$2:$W$45+$B$17)*$B$107)*((Projects!$B$2:$B$45&gt;=$B$12)*$B$9+(Projects!$B$2:$B$45&lt;$B$12)*(Projects!$B$2:$B$45&gt;=$B$13)*$B$10+(Projects!$B$2:$B$45&lt;$B$13)*$B$11))</f>
        <v>3.55</v>
      </c>
      <c r="S40" s="351" t="n">
        <f aca="false">SUMPRODUCT((Projects!$G$2:$G$45="Yes")*(15&gt;=Projects!$C$2:$C$45-$B$16)*((15&lt;=Projects!$W$2:$W$45-$B$106)*1+(15&gt;Projects!$W$2:$W$45-$B$106)*(15&lt;=Projects!$W$2:$W$45+$B$17)*$B$107)*((Projects!$B$2:$B$45&gt;=$B$12)*$B$9+(Projects!$B$2:$B$45&lt;$B$12)*(Projects!$B$2:$B$45&gt;=$B$13)*$B$10+(Projects!$B$2:$B$45&lt;$B$13)*$B$11))</f>
        <v>3.95</v>
      </c>
      <c r="T40" s="351" t="n">
        <f aca="false">SUMPRODUCT((Projects!$G$2:$G$45="Yes")*(16&gt;=Projects!$C$2:$C$45-$B$16)*((16&lt;=Projects!$W$2:$W$45-$B$106)*1+(16&gt;Projects!$W$2:$W$45-$B$106)*(16&lt;=Projects!$W$2:$W$45+$B$17)*$B$107)*((Projects!$B$2:$B$45&gt;=$B$12)*$B$9+(Projects!$B$2:$B$45&lt;$B$12)*(Projects!$B$2:$B$45&gt;=$B$13)*$B$10+(Projects!$B$2:$B$45&lt;$B$13)*$B$11))</f>
        <v>3.85</v>
      </c>
      <c r="U40" s="351" t="n">
        <f aca="false">SUMPRODUCT((Projects!$G$2:$G$45="Yes")*(17&gt;=Projects!$C$2:$C$45-$B$16)*((17&lt;=Projects!$W$2:$W$45-$B$106)*1+(17&gt;Projects!$W$2:$W$45-$B$106)*(17&lt;=Projects!$W$2:$W$45+$B$17)*$B$107)*((Projects!$B$2:$B$45&gt;=$B$12)*$B$9+(Projects!$B$2:$B$45&lt;$B$12)*(Projects!$B$2:$B$45&gt;=$B$13)*$B$10+(Projects!$B$2:$B$45&lt;$B$13)*$B$11))</f>
        <v>3.5</v>
      </c>
      <c r="V40" s="351" t="n">
        <f aca="false">SUMPRODUCT((Projects!$G$2:$G$45="Yes")*(18&gt;=Projects!$C$2:$C$45-$B$16)*((18&lt;=Projects!$W$2:$W$45-$B$106)*1+(18&gt;Projects!$W$2:$W$45-$B$106)*(18&lt;=Projects!$W$2:$W$45+$B$17)*$B$107)*((Projects!$B$2:$B$45&gt;=$B$12)*$B$9+(Projects!$B$2:$B$45&lt;$B$12)*(Projects!$B$2:$B$45&gt;=$B$13)*$B$10+(Projects!$B$2:$B$45&lt;$B$13)*$B$11))</f>
        <v>3.7</v>
      </c>
      <c r="W40" s="351" t="n">
        <f aca="false">SUMPRODUCT((Projects!$G$2:$G$45="Yes")*(19&gt;=Projects!$C$2:$C$45-$B$16)*((19&lt;=Projects!$W$2:$W$45-$B$106)*1+(19&gt;Projects!$W$2:$W$45-$B$106)*(19&lt;=Projects!$W$2:$W$45+$B$17)*$B$107)*((Projects!$B$2:$B$45&gt;=$B$12)*$B$9+(Projects!$B$2:$B$45&lt;$B$12)*(Projects!$B$2:$B$45&gt;=$B$13)*$B$10+(Projects!$B$2:$B$45&lt;$B$13)*$B$11))</f>
        <v>3.8</v>
      </c>
      <c r="X40" s="351" t="n">
        <f aca="false">SUMPRODUCT((Projects!$G$2:$G$45="Yes")*(20&gt;=Projects!$C$2:$C$45-$B$16)*((20&lt;=Projects!$W$2:$W$45-$B$106)*1+(20&gt;Projects!$W$2:$W$45-$B$106)*(20&lt;=Projects!$W$2:$W$45+$B$17)*$B$107)*((Projects!$B$2:$B$45&gt;=$B$12)*$B$9+(Projects!$B$2:$B$45&lt;$B$12)*(Projects!$B$2:$B$45&gt;=$B$13)*$B$10+(Projects!$B$2:$B$45&lt;$B$13)*$B$11))</f>
        <v>3.7</v>
      </c>
      <c r="Y40" s="351" t="n">
        <f aca="false">SUMPRODUCT((Projects!$G$2:$G$45="Yes")*(21&gt;=Projects!$C$2:$C$45-$B$16)*((21&lt;=Projects!$W$2:$W$45-$B$106)*1+(21&gt;Projects!$W$2:$W$45-$B$106)*(21&lt;=Projects!$W$2:$W$45+$B$17)*$B$107)*((Projects!$B$2:$B$45&gt;=$B$12)*$B$9+(Projects!$B$2:$B$45&lt;$B$12)*(Projects!$B$2:$B$45&gt;=$B$13)*$B$10+(Projects!$B$2:$B$45&lt;$B$13)*$B$11))</f>
        <v>3.5</v>
      </c>
      <c r="Z40" s="351" t="n">
        <f aca="false">SUMPRODUCT((Projects!$G$2:$G$45="Yes")*(22&gt;=Projects!$C$2:$C$45-$B$16)*((22&lt;=Projects!$W$2:$W$45-$B$106)*1+(22&gt;Projects!$W$2:$W$45-$B$106)*(22&lt;=Projects!$W$2:$W$45+$B$17)*$B$107)*((Projects!$B$2:$B$45&gt;=$B$12)*$B$9+(Projects!$B$2:$B$45&lt;$B$12)*(Projects!$B$2:$B$45&gt;=$B$13)*$B$10+(Projects!$B$2:$B$45&lt;$B$13)*$B$11))</f>
        <v>3.4</v>
      </c>
      <c r="AA40" s="351" t="n">
        <f aca="false">SUMPRODUCT((Projects!$G$2:$G$45="Yes")*(23&gt;=Projects!$C$2:$C$45-$B$16)*((23&lt;=Projects!$W$2:$W$45-$B$106)*1+(23&gt;Projects!$W$2:$W$45-$B$106)*(23&lt;=Projects!$W$2:$W$45+$B$17)*$B$107)*((Projects!$B$2:$B$45&gt;=$B$12)*$B$9+(Projects!$B$2:$B$45&lt;$B$12)*(Projects!$B$2:$B$45&gt;=$B$13)*$B$10+(Projects!$B$2:$B$45&lt;$B$13)*$B$11))</f>
        <v>3.4</v>
      </c>
      <c r="AB40" s="351" t="n">
        <f aca="false">SUMPRODUCT((Projects!$G$2:$G$45="Yes")*(24&gt;=Projects!$C$2:$C$45-$B$16)*((24&lt;=Projects!$W$2:$W$45-$B$106)*1+(24&gt;Projects!$W$2:$W$45-$B$106)*(24&lt;=Projects!$W$2:$W$45+$B$17)*$B$107)*((Projects!$B$2:$B$45&gt;=$B$12)*$B$9+(Projects!$B$2:$B$45&lt;$B$12)*(Projects!$B$2:$B$45&gt;=$B$13)*$B$10+(Projects!$B$2:$B$45&lt;$B$13)*$B$11))</f>
        <v>3.4</v>
      </c>
      <c r="AC40" s="351" t="n">
        <f aca="false">SUMPRODUCT((Projects!$G$2:$G$45="Yes")*(25&gt;=Projects!$C$2:$C$45-$B$16)*((25&lt;=Projects!$W$2:$W$45-$B$106)*1+(25&gt;Projects!$W$2:$W$45-$B$106)*(25&lt;=Projects!$W$2:$W$45+$B$17)*$B$107)*((Projects!$B$2:$B$45&gt;=$B$12)*$B$9+(Projects!$B$2:$B$45&lt;$B$12)*(Projects!$B$2:$B$45&gt;=$B$13)*$B$10+(Projects!$B$2:$B$45&lt;$B$13)*$B$11))</f>
        <v>3.3</v>
      </c>
      <c r="AD40" s="351" t="n">
        <f aca="false">SUMPRODUCT((Projects!$G$2:$G$45="Yes")*(26&gt;=Projects!$C$2:$C$45-$B$16)*((26&lt;=Projects!$W$2:$W$45-$B$106)*1+(26&gt;Projects!$W$2:$W$45-$B$106)*(26&lt;=Projects!$W$2:$W$45+$B$17)*$B$107)*((Projects!$B$2:$B$45&gt;=$B$12)*$B$9+(Projects!$B$2:$B$45&lt;$B$12)*(Projects!$B$2:$B$45&gt;=$B$13)*$B$10+(Projects!$B$2:$B$45&lt;$B$13)*$B$11))</f>
        <v>2.85</v>
      </c>
      <c r="AE40" s="351" t="n">
        <f aca="false">SUMPRODUCT((Projects!$G$2:$G$45="Yes")*(27&gt;=Projects!$C$2:$C$45-$B$16)*((27&lt;=Projects!$W$2:$W$45-$B$106)*1+(27&gt;Projects!$W$2:$W$45-$B$106)*(27&lt;=Projects!$W$2:$W$45+$B$17)*$B$107)*((Projects!$B$2:$B$45&gt;=$B$12)*$B$9+(Projects!$B$2:$B$45&lt;$B$12)*(Projects!$B$2:$B$45&gt;=$B$13)*$B$10+(Projects!$B$2:$B$45&lt;$B$13)*$B$11))</f>
        <v>3.1</v>
      </c>
      <c r="AF40" s="351" t="n">
        <f aca="false">SUMPRODUCT((Projects!$G$2:$G$45="Yes")*(28&gt;=Projects!$C$2:$C$45-$B$16)*((28&lt;=Projects!$W$2:$W$45-$B$106)*1+(28&gt;Projects!$W$2:$W$45-$B$106)*(28&lt;=Projects!$W$2:$W$45+$B$17)*$B$107)*((Projects!$B$2:$B$45&gt;=$B$12)*$B$9+(Projects!$B$2:$B$45&lt;$B$12)*(Projects!$B$2:$B$45&gt;=$B$13)*$B$10+(Projects!$B$2:$B$45&lt;$B$13)*$B$11))</f>
        <v>3</v>
      </c>
      <c r="AG40" s="351" t="n">
        <f aca="false">SUMPRODUCT((Projects!$G$2:$G$45="Yes")*(29&gt;=Projects!$C$2:$C$45-$B$16)*((29&lt;=Projects!$W$2:$W$45-$B$106)*1+(29&gt;Projects!$W$2:$W$45-$B$106)*(29&lt;=Projects!$W$2:$W$45+$B$17)*$B$107)*((Projects!$B$2:$B$45&gt;=$B$12)*$B$9+(Projects!$B$2:$B$45&lt;$B$12)*(Projects!$B$2:$B$45&gt;=$B$13)*$B$10+(Projects!$B$2:$B$45&lt;$B$13)*$B$11))</f>
        <v>3</v>
      </c>
      <c r="AH40" s="351" t="n">
        <f aca="false">SUMPRODUCT((Projects!$G$2:$G$45="Yes")*(30&gt;=Projects!$C$2:$C$45-$B$16)*((30&lt;=Projects!$W$2:$W$45-$B$106)*1+(30&gt;Projects!$W$2:$W$45-$B$106)*(30&lt;=Projects!$W$2:$W$45+$B$17)*$B$107)*((Projects!$B$2:$B$45&gt;=$B$12)*$B$9+(Projects!$B$2:$B$45&lt;$B$12)*(Projects!$B$2:$B$45&gt;=$B$13)*$B$10+(Projects!$B$2:$B$45&lt;$B$13)*$B$11))</f>
        <v>2.45</v>
      </c>
      <c r="AI40" s="351" t="n">
        <f aca="false">SUMPRODUCT((Projects!$G$2:$G$45="Yes")*(31&gt;=Projects!$C$2:$C$45-$B$16)*((31&lt;=Projects!$W$2:$W$45-$B$106)*1+(31&gt;Projects!$W$2:$W$45-$B$106)*(31&lt;=Projects!$W$2:$W$45+$B$17)*$B$107)*((Projects!$B$2:$B$45&gt;=$B$12)*$B$9+(Projects!$B$2:$B$45&lt;$B$12)*(Projects!$B$2:$B$45&gt;=$B$13)*$B$10+(Projects!$B$2:$B$45&lt;$B$13)*$B$11))</f>
        <v>2.2</v>
      </c>
      <c r="AJ40" s="351" t="n">
        <f aca="false">SUMPRODUCT((Projects!$G$2:$G$45="Yes")*(32&gt;=Projects!$C$2:$C$45-$B$16)*((32&lt;=Projects!$W$2:$W$45-$B$106)*1+(32&gt;Projects!$W$2:$W$45-$B$106)*(32&lt;=Projects!$W$2:$W$45+$B$17)*$B$107)*((Projects!$B$2:$B$45&gt;=$B$12)*$B$9+(Projects!$B$2:$B$45&lt;$B$12)*(Projects!$B$2:$B$45&gt;=$B$13)*$B$10+(Projects!$B$2:$B$45&lt;$B$13)*$B$11))</f>
        <v>2.1</v>
      </c>
      <c r="AK40" s="351" t="n">
        <f aca="false">SUMPRODUCT((Projects!$G$2:$G$45="Yes")*(33&gt;=Projects!$C$2:$C$45-$B$16)*((33&lt;=Projects!$W$2:$W$45-$B$106)*1+(33&gt;Projects!$W$2:$W$45-$B$106)*(33&lt;=Projects!$W$2:$W$45+$B$17)*$B$107)*((Projects!$B$2:$B$45&gt;=$B$12)*$B$9+(Projects!$B$2:$B$45&lt;$B$12)*(Projects!$B$2:$B$45&gt;=$B$13)*$B$10+(Projects!$B$2:$B$45&lt;$B$13)*$B$11))</f>
        <v>2.1</v>
      </c>
      <c r="AL40" s="351" t="n">
        <f aca="false">SUMPRODUCT((Projects!$G$2:$G$45="Yes")*(34&gt;=Projects!$C$2:$C$45-$B$16)*((34&lt;=Projects!$W$2:$W$45-$B$106)*1+(34&gt;Projects!$W$2:$W$45-$B$106)*(34&lt;=Projects!$W$2:$W$45+$B$17)*$B$107)*((Projects!$B$2:$B$45&gt;=$B$12)*$B$9+(Projects!$B$2:$B$45&lt;$B$12)*(Projects!$B$2:$B$45&gt;=$B$13)*$B$10+(Projects!$B$2:$B$45&lt;$B$13)*$B$11))</f>
        <v>1.55</v>
      </c>
      <c r="AM40" s="351" t="n">
        <f aca="false">SUMPRODUCT((Projects!$G$2:$G$45="Yes")*(35&gt;=Projects!$C$2:$C$45-$B$16)*((35&lt;=Projects!$W$2:$W$45-$B$106)*1+(35&gt;Projects!$W$2:$W$45-$B$106)*(35&lt;=Projects!$W$2:$W$45+$B$17)*$B$107)*((Projects!$B$2:$B$45&gt;=$B$12)*$B$9+(Projects!$B$2:$B$45&lt;$B$12)*(Projects!$B$2:$B$45&gt;=$B$13)*$B$10+(Projects!$B$2:$B$45&lt;$B$13)*$B$11))</f>
        <v>1.45</v>
      </c>
      <c r="AN40" s="351" t="n">
        <f aca="false">SUMPRODUCT((Projects!$G$2:$G$45="Yes")*(36&gt;=Projects!$C$2:$C$45-$B$16)*((36&lt;=Projects!$W$2:$W$45-$B$106)*1+(36&gt;Projects!$W$2:$W$45-$B$106)*(36&lt;=Projects!$W$2:$W$45+$B$17)*$B$107)*((Projects!$B$2:$B$45&gt;=$B$12)*$B$9+(Projects!$B$2:$B$45&lt;$B$12)*(Projects!$B$2:$B$45&gt;=$B$13)*$B$10+(Projects!$B$2:$B$45&lt;$B$13)*$B$11))</f>
        <v>1.45</v>
      </c>
      <c r="AO40" s="351" t="n">
        <f aca="false">SUMPRODUCT((Projects!$G$2:$G$45="Yes")*(37&gt;=Projects!$C$2:$C$45-$B$16)*((37&lt;=Projects!$W$2:$W$45-$B$106)*1+(37&gt;Projects!$W$2:$W$45-$B$106)*(37&lt;=Projects!$W$2:$W$45+$B$17)*$B$107)*((Projects!$B$2:$B$45&gt;=$B$12)*$B$9+(Projects!$B$2:$B$45&lt;$B$12)*(Projects!$B$2:$B$45&gt;=$B$13)*$B$10+(Projects!$B$2:$B$45&lt;$B$13)*$B$11))</f>
        <v>1.45</v>
      </c>
      <c r="AP40" s="351" t="n">
        <f aca="false">SUMPRODUCT((Projects!$G$2:$G$45="Yes")*(38&gt;=Projects!$C$2:$C$45-$B$16)*((38&lt;=Projects!$W$2:$W$45-$B$106)*1+(38&gt;Projects!$W$2:$W$45-$B$106)*(38&lt;=Projects!$W$2:$W$45+$B$17)*$B$107)*((Projects!$B$2:$B$45&gt;=$B$12)*$B$9+(Projects!$B$2:$B$45&lt;$B$12)*(Projects!$B$2:$B$45&gt;=$B$13)*$B$10+(Projects!$B$2:$B$45&lt;$B$13)*$B$11))</f>
        <v>1.1</v>
      </c>
      <c r="AQ40" s="351" t="n">
        <f aca="false">SUMPRODUCT((Projects!$G$2:$G$45="Yes")*(39&gt;=Projects!$C$2:$C$45-$B$16)*((39&lt;=Projects!$W$2:$W$45-$B$106)*1+(39&gt;Projects!$W$2:$W$45-$B$106)*(39&lt;=Projects!$W$2:$W$45+$B$17)*$B$107)*((Projects!$B$2:$B$45&gt;=$B$12)*$B$9+(Projects!$B$2:$B$45&lt;$B$12)*(Projects!$B$2:$B$45&gt;=$B$13)*$B$10+(Projects!$B$2:$B$45&lt;$B$13)*$B$11))</f>
        <v>1</v>
      </c>
      <c r="AR40" s="351" t="n">
        <f aca="false">SUMPRODUCT((Projects!$G$2:$G$45="Yes")*(40&gt;=Projects!$C$2:$C$45-$B$16)*((40&lt;=Projects!$W$2:$W$45-$B$106)*1+(40&gt;Projects!$W$2:$W$45-$B$106)*(40&lt;=Projects!$W$2:$W$45+$B$17)*$B$107)*((Projects!$B$2:$B$45&gt;=$B$12)*$B$9+(Projects!$B$2:$B$45&lt;$B$12)*(Projects!$B$2:$B$45&gt;=$B$13)*$B$10+(Projects!$B$2:$B$45&lt;$B$13)*$B$11))</f>
        <v>1</v>
      </c>
      <c r="AS40" s="351" t="n">
        <f aca="false">SUMPRODUCT((Projects!$G$2:$G$45="Yes")*(41&gt;=Projects!$C$2:$C$45-$B$16)*((41&lt;=Projects!$W$2:$W$45-$B$106)*1+(41&gt;Projects!$W$2:$W$45-$B$106)*(41&lt;=Projects!$W$2:$W$45+$B$17)*$B$107)*((Projects!$B$2:$B$45&gt;=$B$12)*$B$9+(Projects!$B$2:$B$45&lt;$B$12)*(Projects!$B$2:$B$45&gt;=$B$13)*$B$10+(Projects!$B$2:$B$45&lt;$B$13)*$B$11))</f>
        <v>1</v>
      </c>
      <c r="AT40" s="351" t="n">
        <f aca="false">SUMPRODUCT((Projects!$G$2:$G$45="Yes")*(42&gt;=Projects!$C$2:$C$45-$B$16)*((42&lt;=Projects!$W$2:$W$45-$B$106)*1+(42&gt;Projects!$W$2:$W$45-$B$106)*(42&lt;=Projects!$W$2:$W$45+$B$17)*$B$107)*((Projects!$B$2:$B$45&gt;=$B$12)*$B$9+(Projects!$B$2:$B$45&lt;$B$12)*(Projects!$B$2:$B$45&gt;=$B$13)*$B$10+(Projects!$B$2:$B$45&lt;$B$13)*$B$11))</f>
        <v>0.75</v>
      </c>
      <c r="AU40" s="351" t="n">
        <f aca="false">SUMPRODUCT((Projects!$G$2:$G$45="Yes")*(43&gt;=Projects!$C$2:$C$45-$B$16)*((43&lt;=Projects!$W$2:$W$45-$B$106)*1+(43&gt;Projects!$W$2:$W$45-$B$106)*(43&lt;=Projects!$W$2:$W$45+$B$17)*$B$107)*((Projects!$B$2:$B$45&gt;=$B$12)*$B$9+(Projects!$B$2:$B$45&lt;$B$12)*(Projects!$B$2:$B$45&gt;=$B$13)*$B$10+(Projects!$B$2:$B$45&lt;$B$13)*$B$11))</f>
        <v>0.75</v>
      </c>
      <c r="AV40" s="351" t="n">
        <f aca="false">SUMPRODUCT((Projects!$G$2:$G$45="Yes")*(44&gt;=Projects!$C$2:$C$45-$B$16)*((44&lt;=Projects!$W$2:$W$45-$B$106)*1+(44&gt;Projects!$W$2:$W$45-$B$106)*(44&lt;=Projects!$W$2:$W$45+$B$17)*$B$107)*((Projects!$B$2:$B$45&gt;=$B$12)*$B$9+(Projects!$B$2:$B$45&lt;$B$12)*(Projects!$B$2:$B$45&gt;=$B$13)*$B$10+(Projects!$B$2:$B$45&lt;$B$13)*$B$11))</f>
        <v>0.75</v>
      </c>
      <c r="AW40" s="351" t="n">
        <f aca="false">SUMPRODUCT((Projects!$G$2:$G$45="Yes")*(45&gt;=Projects!$C$2:$C$45-$B$16)*((45&lt;=Projects!$W$2:$W$45-$B$106)*1+(45&gt;Projects!$W$2:$W$45-$B$106)*(45&lt;=Projects!$W$2:$W$45+$B$17)*$B$107)*((Projects!$B$2:$B$45&gt;=$B$12)*$B$9+(Projects!$B$2:$B$45&lt;$B$12)*(Projects!$B$2:$B$45&gt;=$B$13)*$B$10+(Projects!$B$2:$B$45&lt;$B$13)*$B$11))</f>
        <v>0.75</v>
      </c>
      <c r="AX40" s="351" t="n">
        <f aca="false">SUMPRODUCT((Projects!$G$2:$G$45="Yes")*(46&gt;=Projects!$C$2:$C$45-$B$16)*((46&lt;=Projects!$W$2:$W$45-$B$106)*1+(46&gt;Projects!$W$2:$W$45-$B$106)*(46&lt;=Projects!$W$2:$W$45+$B$17)*$B$107)*((Projects!$B$2:$B$45&gt;=$B$12)*$B$9+(Projects!$B$2:$B$45&lt;$B$12)*(Projects!$B$2:$B$45&gt;=$B$13)*$B$10+(Projects!$B$2:$B$45&lt;$B$13)*$B$11))</f>
        <v>0.5</v>
      </c>
      <c r="AY40" s="351" t="n">
        <f aca="false">SUMPRODUCT((Projects!$G$2:$G$45="Yes")*(47&gt;=Projects!$C$2:$C$45-$B$16)*((47&lt;=Projects!$W$2:$W$45-$B$106)*1+(47&gt;Projects!$W$2:$W$45-$B$106)*(47&lt;=Projects!$W$2:$W$45+$B$17)*$B$107)*((Projects!$B$2:$B$45&gt;=$B$12)*$B$9+(Projects!$B$2:$B$45&lt;$B$12)*(Projects!$B$2:$B$45&gt;=$B$13)*$B$10+(Projects!$B$2:$B$45&lt;$B$13)*$B$11))</f>
        <v>0.5</v>
      </c>
      <c r="AZ40" s="351" t="n">
        <f aca="false">SUMPRODUCT((Projects!$G$2:$G$45="Yes")*(48&gt;=Projects!$C$2:$C$45-$B$16)*((48&lt;=Projects!$W$2:$W$45-$B$106)*1+(48&gt;Projects!$W$2:$W$45-$B$106)*(48&lt;=Projects!$W$2:$W$45+$B$17)*$B$107)*((Projects!$B$2:$B$45&gt;=$B$12)*$B$9+(Projects!$B$2:$B$45&lt;$B$12)*(Projects!$B$2:$B$45&gt;=$B$13)*$B$10+(Projects!$B$2:$B$45&lt;$B$13)*$B$11))</f>
        <v>0.5</v>
      </c>
      <c r="BA40" s="351" t="n">
        <f aca="false">SUMPRODUCT((Projects!$G$2:$G$45="Yes")*(49&gt;=Projects!$C$2:$C$45-$B$16)*((49&lt;=Projects!$W$2:$W$45-$B$106)*1+(49&gt;Projects!$W$2:$W$45-$B$106)*(49&lt;=Projects!$W$2:$W$45+$B$17)*$B$107)*((Projects!$B$2:$B$45&gt;=$B$12)*$B$9+(Projects!$B$2:$B$45&lt;$B$12)*(Projects!$B$2:$B$45&gt;=$B$13)*$B$10+(Projects!$B$2:$B$45&lt;$B$13)*$B$11))</f>
        <v>0.5</v>
      </c>
      <c r="BB40" s="351" t="n">
        <f aca="false">SUMPRODUCT((Projects!$G$2:$G$45="Yes")*(50&gt;=Projects!$C$2:$C$45-$B$16)*((50&lt;=Projects!$W$2:$W$45-$B$106)*1+(50&gt;Projects!$W$2:$W$45-$B$106)*(50&lt;=Projects!$W$2:$W$45+$B$17)*$B$107)*((Projects!$B$2:$B$45&gt;=$B$12)*$B$9+(Projects!$B$2:$B$45&lt;$B$12)*(Projects!$B$2:$B$45&gt;=$B$13)*$B$10+(Projects!$B$2:$B$45&lt;$B$13)*$B$11))</f>
        <v>0.5</v>
      </c>
      <c r="BC40" s="351" t="n">
        <f aca="false">SUMPRODUCT((Projects!$G$2:$G$45="Yes")*(51&gt;=Projects!$C$2:$C$45-$B$16)*((51&lt;=Projects!$W$2:$W$45-$B$106)*1+(51&gt;Projects!$W$2:$W$45-$B$106)*(51&lt;=Projects!$W$2:$W$45+$B$17)*$B$107)*((Projects!$B$2:$B$45&gt;=$B$12)*$B$9+(Projects!$B$2:$B$45&lt;$B$12)*(Projects!$B$2:$B$45&gt;=$B$13)*$B$10+(Projects!$B$2:$B$45&lt;$B$13)*$B$11))</f>
        <v>0.5</v>
      </c>
      <c r="BD40" s="351" t="n">
        <f aca="false">SUMPRODUCT((Projects!$G$2:$G$45="Yes")*(52&gt;=Projects!$C$2:$C$45-$B$16)*((52&lt;=Projects!$W$2:$W$45-$B$106)*1+(52&gt;Projects!$W$2:$W$45-$B$106)*(52&lt;=Projects!$W$2:$W$45+$B$17)*$B$107)*((Projects!$B$2:$B$45&gt;=$B$12)*$B$9+(Projects!$B$2:$B$45&lt;$B$12)*(Projects!$B$2:$B$45&gt;=$B$13)*$B$10+(Projects!$B$2:$B$45&lt;$B$13)*$B$11))</f>
        <v>0.5</v>
      </c>
      <c r="BE40" s="351" t="n">
        <f aca="false">SUMPRODUCT((Projects!$G$2:$G$45="Yes")*(53&gt;=Projects!$C$2:$C$45-$B$16)*((53&lt;=Projects!$W$2:$W$45-$B$106)*1+(53&gt;Projects!$W$2:$W$45-$B$106)*(53&lt;=Projects!$W$2:$W$45+$B$17)*$B$107)*((Projects!$B$2:$B$45&gt;=$B$12)*$B$9+(Projects!$B$2:$B$45&lt;$B$12)*(Projects!$B$2:$B$45&gt;=$B$13)*$B$10+(Projects!$B$2:$B$45&lt;$B$13)*$B$11))</f>
        <v>0.5</v>
      </c>
      <c r="BF40" s="351" t="n">
        <f aca="false">SUMPRODUCT((Projects!$G$2:$G$45="Yes")*(54&gt;=Projects!$C$2:$C$45-$B$16)*((54&lt;=Projects!$W$2:$W$45-$B$106)*1+(54&gt;Projects!$W$2:$W$45-$B$106)*(54&lt;=Projects!$W$2:$W$45+$B$17)*$B$107)*((Projects!$B$2:$B$45&gt;=$B$12)*$B$9+(Projects!$B$2:$B$45&lt;$B$12)*(Projects!$B$2:$B$45&gt;=$B$13)*$B$10+(Projects!$B$2:$B$45&lt;$B$13)*$B$11))</f>
        <v>0.25</v>
      </c>
      <c r="BG40" s="351" t="n">
        <f aca="false">SUMPRODUCT((Projects!$G$2:$G$45="Yes")*(55&gt;=Projects!$C$2:$C$45-$B$16)*((55&lt;=Projects!$W$2:$W$45-$B$106)*1+(55&gt;Projects!$W$2:$W$45-$B$106)*(55&lt;=Projects!$W$2:$W$45+$B$17)*$B$107)*((Projects!$B$2:$B$45&gt;=$B$12)*$B$9+(Projects!$B$2:$B$45&lt;$B$12)*(Projects!$B$2:$B$45&gt;=$B$13)*$B$10+(Projects!$B$2:$B$45&lt;$B$13)*$B$11))</f>
        <v>0.25</v>
      </c>
      <c r="BH40" s="351" t="n">
        <f aca="false">SUMPRODUCT((Projects!$G$2:$G$45="Yes")*(56&gt;=Projects!$C$2:$C$45-$B$16)*((56&lt;=Projects!$W$2:$W$45-$B$106)*1+(56&gt;Projects!$W$2:$W$45-$B$106)*(56&lt;=Projects!$W$2:$W$45+$B$17)*$B$107)*((Projects!$B$2:$B$45&gt;=$B$12)*$B$9+(Projects!$B$2:$B$45&lt;$B$12)*(Projects!$B$2:$B$45&gt;=$B$13)*$B$10+(Projects!$B$2:$B$45&lt;$B$13)*$B$11))</f>
        <v>0.25</v>
      </c>
      <c r="BI40" s="351" t="n">
        <f aca="false">SUMPRODUCT((Projects!$G$2:$G$45="Yes")*(57&gt;=Projects!$C$2:$C$45-$B$16)*((57&lt;=Projects!$W$2:$W$45-$B$106)*1+(57&gt;Projects!$W$2:$W$45-$B$106)*(57&lt;=Projects!$W$2:$W$45+$B$17)*$B$107)*((Projects!$B$2:$B$45&gt;=$B$12)*$B$9+(Projects!$B$2:$B$45&lt;$B$12)*(Projects!$B$2:$B$45&gt;=$B$13)*$B$10+(Projects!$B$2:$B$45&lt;$B$13)*$B$11))</f>
        <v>0.25</v>
      </c>
      <c r="BJ40" s="351" t="n">
        <f aca="false">SUMPRODUCT((Projects!$G$2:$G$45="Yes")*(58&gt;=Projects!$C$2:$C$45-$B$16)*((58&lt;=Projects!$W$2:$W$45-$B$106)*1+(58&gt;Projects!$W$2:$W$45-$B$106)*(58&lt;=Projects!$W$2:$W$45+$B$17)*$B$107)*((Projects!$B$2:$B$45&gt;=$B$12)*$B$9+(Projects!$B$2:$B$45&lt;$B$12)*(Projects!$B$2:$B$45&gt;=$B$13)*$B$10+(Projects!$B$2:$B$45&lt;$B$13)*$B$11))</f>
        <v>0</v>
      </c>
      <c r="BK40" s="351" t="n">
        <f aca="false">SUMPRODUCT((Projects!$G$2:$G$45="Yes")*(59&gt;=Projects!$C$2:$C$45-$B$16)*((59&lt;=Projects!$W$2:$W$45-$B$106)*1+(59&gt;Projects!$W$2:$W$45-$B$106)*(59&lt;=Projects!$W$2:$W$45+$B$17)*$B$107)*((Projects!$B$2:$B$45&gt;=$B$12)*$B$9+(Projects!$B$2:$B$45&lt;$B$12)*(Projects!$B$2:$B$45&gt;=$B$13)*$B$10+(Projects!$B$2:$B$45&lt;$B$13)*$B$11))</f>
        <v>0</v>
      </c>
      <c r="BL40" s="351" t="n">
        <f aca="false">SUMPRODUCT((Projects!$G$2:$G$45="Yes")*(60&gt;=Projects!$C$2:$C$45-$B$16)*((60&lt;=Projects!$W$2:$W$45-$B$106)*1+(60&gt;Projects!$W$2:$W$45-$B$106)*(60&lt;=Projects!$W$2:$W$45+$B$17)*$B$107)*((Projects!$B$2:$B$45&gt;=$B$12)*$B$9+(Projects!$B$2:$B$45&lt;$B$12)*(Projects!$B$2:$B$45&gt;=$B$13)*$B$10+(Projects!$B$2:$B$45&lt;$B$13)*$B$11))</f>
        <v>0</v>
      </c>
      <c r="BM40" s="351" t="n">
        <f aca="false">SUMPRODUCT((Projects!$G$2:$G$45="Yes")*(61&gt;=Projects!$C$2:$C$45-$B$16)*((61&lt;=Projects!$W$2:$W$45-$B$106)*1+(61&gt;Projects!$W$2:$W$45-$B$106)*(61&lt;=Projects!$W$2:$W$45+$B$17)*$B$107)*((Projects!$B$2:$B$45&gt;=$B$12)*$B$9+(Projects!$B$2:$B$45&lt;$B$12)*(Projects!$B$2:$B$45&gt;=$B$13)*$B$10+(Projects!$B$2:$B$45&lt;$B$13)*$B$11))</f>
        <v>0</v>
      </c>
      <c r="BN40" s="351" t="n">
        <f aca="false">SUMPRODUCT((Projects!$G$2:$G$45="Yes")*(62&gt;=Projects!$C$2:$C$45-$B$16)*((62&lt;=Projects!$W$2:$W$45-$B$106)*1+(62&gt;Projects!$W$2:$W$45-$B$106)*(62&lt;=Projects!$W$2:$W$45+$B$17)*$B$107)*((Projects!$B$2:$B$45&gt;=$B$12)*$B$9+(Projects!$B$2:$B$45&lt;$B$12)*(Projects!$B$2:$B$45&gt;=$B$13)*$B$10+(Projects!$B$2:$B$45&lt;$B$13)*$B$11))</f>
        <v>0</v>
      </c>
      <c r="BO40" s="351" t="n">
        <f aca="false">SUMPRODUCT((Projects!$G$2:$G$45="Yes")*(63&gt;=Projects!$C$2:$C$45-$B$16)*((63&lt;=Projects!$W$2:$W$45-$B$106)*1+(63&gt;Projects!$W$2:$W$45-$B$106)*(63&lt;=Projects!$W$2:$W$45+$B$17)*$B$107)*((Projects!$B$2:$B$45&gt;=$B$12)*$B$9+(Projects!$B$2:$B$45&lt;$B$12)*(Projects!$B$2:$B$45&gt;=$B$13)*$B$10+(Projects!$B$2:$B$45&lt;$B$13)*$B$11))</f>
        <v>0</v>
      </c>
      <c r="BP40" s="351" t="n">
        <f aca="false">SUMPRODUCT((Projects!$G$2:$G$45="Yes")*(64&gt;=Projects!$C$2:$C$45-$B$16)*((64&lt;=Projects!$W$2:$W$45-$B$106)*1+(64&gt;Projects!$W$2:$W$45-$B$106)*(64&lt;=Projects!$W$2:$W$45+$B$17)*$B$107)*((Projects!$B$2:$B$45&gt;=$B$12)*$B$9+(Projects!$B$2:$B$45&lt;$B$12)*(Projects!$B$2:$B$45&gt;=$B$13)*$B$10+(Projects!$B$2:$B$45&lt;$B$13)*$B$11))</f>
        <v>0</v>
      </c>
      <c r="BQ40" s="351" t="n">
        <f aca="false">SUMPRODUCT((Projects!$G$2:$G$45="Yes")*(65&gt;=Projects!$C$2:$C$45-$B$16)*((65&lt;=Projects!$W$2:$W$45-$B$106)*1+(65&gt;Projects!$W$2:$W$45-$B$106)*(65&lt;=Projects!$W$2:$W$45+$B$17)*$B$107)*((Projects!$B$2:$B$45&gt;=$B$12)*$B$9+(Projects!$B$2:$B$45&lt;$B$12)*(Projects!$B$2:$B$45&gt;=$B$13)*$B$10+(Projects!$B$2:$B$45&lt;$B$13)*$B$11))</f>
        <v>0</v>
      </c>
      <c r="BR40" s="351" t="n">
        <f aca="false">SUMPRODUCT((Projects!$G$2:$G$45="Yes")*(66&gt;=Projects!$C$2:$C$45-$B$16)*((66&lt;=Projects!$W$2:$W$45-$B$106)*1+(66&gt;Projects!$W$2:$W$45-$B$106)*(66&lt;=Projects!$W$2:$W$45+$B$17)*$B$107)*((Projects!$B$2:$B$45&gt;=$B$12)*$B$9+(Projects!$B$2:$B$45&lt;$B$12)*(Projects!$B$2:$B$45&gt;=$B$13)*$B$10+(Projects!$B$2:$B$45&lt;$B$13)*$B$11))</f>
        <v>0</v>
      </c>
      <c r="BS40" s="351" t="n">
        <f aca="false">SUMPRODUCT((Projects!$G$2:$G$45="Yes")*(67&gt;=Projects!$C$2:$C$45-$B$16)*((67&lt;=Projects!$W$2:$W$45-$B$106)*1+(67&gt;Projects!$W$2:$W$45-$B$106)*(67&lt;=Projects!$W$2:$W$45+$B$17)*$B$107)*((Projects!$B$2:$B$45&gt;=$B$12)*$B$9+(Projects!$B$2:$B$45&lt;$B$12)*(Projects!$B$2:$B$45&gt;=$B$13)*$B$10+(Projects!$B$2:$B$45&lt;$B$13)*$B$11))</f>
        <v>0</v>
      </c>
      <c r="BT40" s="351" t="n">
        <f aca="false">SUMPRODUCT((Projects!$G$2:$G$45="Yes")*(68&gt;=Projects!$C$2:$C$45-$B$16)*((68&lt;=Projects!$W$2:$W$45-$B$106)*1+(68&gt;Projects!$W$2:$W$45-$B$106)*(68&lt;=Projects!$W$2:$W$45+$B$17)*$B$107)*((Projects!$B$2:$B$45&gt;=$B$12)*$B$9+(Projects!$B$2:$B$45&lt;$B$12)*(Projects!$B$2:$B$45&gt;=$B$13)*$B$10+(Projects!$B$2:$B$45&lt;$B$13)*$B$11))</f>
        <v>0</v>
      </c>
      <c r="BU40" s="351" t="n">
        <f aca="false">SUMPRODUCT((Projects!$G$2:$G$45="Yes")*(69&gt;=Projects!$C$2:$C$45-$B$16)*((69&lt;=Projects!$W$2:$W$45-$B$106)*1+(69&gt;Projects!$W$2:$W$45-$B$106)*(69&lt;=Projects!$W$2:$W$45+$B$17)*$B$107)*((Projects!$B$2:$B$45&gt;=$B$12)*$B$9+(Projects!$B$2:$B$45&lt;$B$12)*(Projects!$B$2:$B$45&gt;=$B$13)*$B$10+(Projects!$B$2:$B$45&lt;$B$13)*$B$11))</f>
        <v>0</v>
      </c>
      <c r="BV40" s="351" t="n">
        <f aca="false">SUMPRODUCT((Projects!$G$2:$G$45="Yes")*(70&gt;=Projects!$C$2:$C$45-$B$16)*((70&lt;=Projects!$W$2:$W$45-$B$106)*1+(70&gt;Projects!$W$2:$W$45-$B$106)*(70&lt;=Projects!$W$2:$W$45+$B$17)*$B$107)*((Projects!$B$2:$B$45&gt;=$B$12)*$B$9+(Projects!$B$2:$B$45&lt;$B$12)*(Projects!$B$2:$B$45&gt;=$B$13)*$B$10+(Projects!$B$2:$B$45&lt;$B$13)*$B$11))</f>
        <v>0</v>
      </c>
      <c r="BW40" s="351" t="n">
        <f aca="false">SUMPRODUCT((Projects!$G$2:$G$45="Yes")*(71&gt;=Projects!$C$2:$C$45-$B$16)*((71&lt;=Projects!$W$2:$W$45-$B$106)*1+(71&gt;Projects!$W$2:$W$45-$B$106)*(71&lt;=Projects!$W$2:$W$45+$B$17)*$B$107)*((Projects!$B$2:$B$45&gt;=$B$12)*$B$9+(Projects!$B$2:$B$45&lt;$B$12)*(Projects!$B$2:$B$45&gt;=$B$13)*$B$10+(Projects!$B$2:$B$45&lt;$B$13)*$B$11))</f>
        <v>0</v>
      </c>
      <c r="BX40" s="351" t="n">
        <f aca="false">SUMPRODUCT((Projects!$G$2:$G$45="Yes")*(72&gt;=Projects!$C$2:$C$45-$B$16)*((72&lt;=Projects!$W$2:$W$45-$B$106)*1+(72&gt;Projects!$W$2:$W$45-$B$106)*(72&lt;=Projects!$W$2:$W$45+$B$17)*$B$107)*((Projects!$B$2:$B$45&gt;=$B$12)*$B$9+(Projects!$B$2:$B$45&lt;$B$12)*(Projects!$B$2:$B$45&gt;=$B$13)*$B$10+(Projects!$B$2:$B$45&lt;$B$13)*$B$11))</f>
        <v>0</v>
      </c>
      <c r="BY40" s="351" t="n">
        <f aca="false">SUMPRODUCT((Projects!$G$2:$G$45="Yes")*(73&gt;=Projects!$C$2:$C$45-$B$16)*((73&lt;=Projects!$W$2:$W$45-$B$106)*1+(73&gt;Projects!$W$2:$W$45-$B$106)*(73&lt;=Projects!$W$2:$W$45+$B$17)*$B$107)*((Projects!$B$2:$B$45&gt;=$B$12)*$B$9+(Projects!$B$2:$B$45&lt;$B$12)*(Projects!$B$2:$B$45&gt;=$B$13)*$B$10+(Projects!$B$2:$B$45&lt;$B$13)*$B$11))</f>
        <v>0</v>
      </c>
      <c r="BZ40" s="351" t="n">
        <f aca="false">SUMPRODUCT((Projects!$G$2:$G$45="Yes")*(74&gt;=Projects!$C$2:$C$45-$B$16)*((74&lt;=Projects!$W$2:$W$45-$B$106)*1+(74&gt;Projects!$W$2:$W$45-$B$106)*(74&lt;=Projects!$W$2:$W$45+$B$17)*$B$107)*((Projects!$B$2:$B$45&gt;=$B$12)*$B$9+(Projects!$B$2:$B$45&lt;$B$12)*(Projects!$B$2:$B$45&gt;=$B$13)*$B$10+(Projects!$B$2:$B$45&lt;$B$13)*$B$11))</f>
        <v>0</v>
      </c>
      <c r="CA40" s="351" t="n">
        <f aca="false">SUMPRODUCT((Projects!$G$2:$G$45="Yes")*(75&gt;=Projects!$C$2:$C$45-$B$16)*((75&lt;=Projects!$W$2:$W$45-$B$106)*1+(75&gt;Projects!$W$2:$W$45-$B$106)*(75&lt;=Projects!$W$2:$W$45+$B$17)*$B$107)*((Projects!$B$2:$B$45&gt;=$B$12)*$B$9+(Projects!$B$2:$B$45&lt;$B$12)*(Projects!$B$2:$B$45&gt;=$B$13)*$B$10+(Projects!$B$2:$B$45&lt;$B$13)*$B$11))</f>
        <v>0</v>
      </c>
      <c r="CB40" s="351" t="n">
        <f aca="false">SUMPRODUCT((Projects!$G$2:$G$45="Yes")*(76&gt;=Projects!$C$2:$C$45-$B$16)*((76&lt;=Projects!$W$2:$W$45-$B$106)*1+(76&gt;Projects!$W$2:$W$45-$B$106)*(76&lt;=Projects!$W$2:$W$45+$B$17)*$B$107)*((Projects!$B$2:$B$45&gt;=$B$12)*$B$9+(Projects!$B$2:$B$45&lt;$B$12)*(Projects!$B$2:$B$45&gt;=$B$13)*$B$10+(Projects!$B$2:$B$45&lt;$B$13)*$B$11))</f>
        <v>0</v>
      </c>
      <c r="CC40" s="351" t="n">
        <f aca="false">SUMPRODUCT((Projects!$G$2:$G$45="Yes")*(77&gt;=Projects!$C$2:$C$45-$B$16)*((77&lt;=Projects!$W$2:$W$45-$B$106)*1+(77&gt;Projects!$W$2:$W$45-$B$106)*(77&lt;=Projects!$W$2:$W$45+$B$17)*$B$107)*((Projects!$B$2:$B$45&gt;=$B$12)*$B$9+(Projects!$B$2:$B$45&lt;$B$12)*(Projects!$B$2:$B$45&gt;=$B$13)*$B$10+(Projects!$B$2:$B$45&lt;$B$13)*$B$11))</f>
        <v>0</v>
      </c>
      <c r="CD40" s="351" t="n">
        <f aca="false">SUMPRODUCT((Projects!$G$2:$G$45="Yes")*(78&gt;=Projects!$C$2:$C$45-$B$16)*((78&lt;=Projects!$W$2:$W$45-$B$106)*1+(78&gt;Projects!$W$2:$W$45-$B$106)*(78&lt;=Projects!$W$2:$W$45+$B$17)*$B$107)*((Projects!$B$2:$B$45&gt;=$B$12)*$B$9+(Projects!$B$2:$B$45&lt;$B$12)*(Projects!$B$2:$B$45&gt;=$B$13)*$B$10+(Projects!$B$2:$B$45&lt;$B$13)*$B$11))</f>
        <v>0</v>
      </c>
      <c r="CE40" s="351" t="n">
        <f aca="false">SUMPRODUCT((Projects!$G$2:$G$45="Yes")*(79&gt;=Projects!$C$2:$C$45-$B$16)*((79&lt;=Projects!$W$2:$W$45-$B$106)*1+(79&gt;Projects!$W$2:$W$45-$B$106)*(79&lt;=Projects!$W$2:$W$45+$B$17)*$B$107)*((Projects!$B$2:$B$45&gt;=$B$12)*$B$9+(Projects!$B$2:$B$45&lt;$B$12)*(Projects!$B$2:$B$45&gt;=$B$13)*$B$10+(Projects!$B$2:$B$45&lt;$B$13)*$B$11))</f>
        <v>0</v>
      </c>
      <c r="CF40" s="351" t="n">
        <f aca="false">SUMPRODUCT((Projects!$G$2:$G$45="Yes")*(80&gt;=Projects!$C$2:$C$45-$B$16)*((80&lt;=Projects!$W$2:$W$45-$B$106)*1+(80&gt;Projects!$W$2:$W$45-$B$106)*(80&lt;=Projects!$W$2:$W$45+$B$17)*$B$107)*((Projects!$B$2:$B$45&gt;=$B$12)*$B$9+(Projects!$B$2:$B$45&lt;$B$12)*(Projects!$B$2:$B$45&gt;=$B$13)*$B$10+(Projects!$B$2:$B$45&lt;$B$13)*$B$11))</f>
        <v>0</v>
      </c>
      <c r="CG40" s="351" t="n">
        <f aca="false">SUMPRODUCT((Projects!$G$2:$G$45="Yes")*(81&gt;=Projects!$C$2:$C$45-$B$16)*((81&lt;=Projects!$W$2:$W$45-$B$106)*1+(81&gt;Projects!$W$2:$W$45-$B$106)*(81&lt;=Projects!$W$2:$W$45+$B$17)*$B$107)*((Projects!$B$2:$B$45&gt;=$B$12)*$B$9+(Projects!$B$2:$B$45&lt;$B$12)*(Projects!$B$2:$B$45&gt;=$B$13)*$B$10+(Projects!$B$2:$B$45&lt;$B$13)*$B$11))</f>
        <v>0</v>
      </c>
      <c r="CH40" s="351" t="n">
        <f aca="false">SUMPRODUCT((Projects!$G$2:$G$45="Yes")*(82&gt;=Projects!$C$2:$C$45-$B$16)*((82&lt;=Projects!$W$2:$W$45-$B$106)*1+(82&gt;Projects!$W$2:$W$45-$B$106)*(82&lt;=Projects!$W$2:$W$45+$B$17)*$B$107)*((Projects!$B$2:$B$45&gt;=$B$12)*$B$9+(Projects!$B$2:$B$45&lt;$B$12)*(Projects!$B$2:$B$45&gt;=$B$13)*$B$10+(Projects!$B$2:$B$45&lt;$B$13)*$B$11))</f>
        <v>0</v>
      </c>
      <c r="CI40" s="351" t="n">
        <f aca="false">SUMPRODUCT((Projects!$G$2:$G$45="Yes")*(83&gt;=Projects!$C$2:$C$45-$B$16)*((83&lt;=Projects!$W$2:$W$45-$B$106)*1+(83&gt;Projects!$W$2:$W$45-$B$106)*(83&lt;=Projects!$W$2:$W$45+$B$17)*$B$107)*((Projects!$B$2:$B$45&gt;=$B$12)*$B$9+(Projects!$B$2:$B$45&lt;$B$12)*(Projects!$B$2:$B$45&gt;=$B$13)*$B$10+(Projects!$B$2:$B$45&lt;$B$13)*$B$11))</f>
        <v>0</v>
      </c>
      <c r="CJ40" s="351" t="n">
        <f aca="false">SUMPRODUCT((Projects!$G$2:$G$45="Yes")*(84&gt;=Projects!$C$2:$C$45-$B$16)*((84&lt;=Projects!$W$2:$W$45-$B$106)*1+(84&gt;Projects!$W$2:$W$45-$B$106)*(84&lt;=Projects!$W$2:$W$45+$B$17)*$B$107)*((Projects!$B$2:$B$45&gt;=$B$12)*$B$9+(Projects!$B$2:$B$45&lt;$B$12)*(Projects!$B$2:$B$45&gt;=$B$13)*$B$10+(Projects!$B$2:$B$45&lt;$B$13)*$B$11))</f>
        <v>0</v>
      </c>
      <c r="CK40" s="351" t="n">
        <f aca="false">SUMPRODUCT((Projects!$G$2:$G$45="Yes")*(85&gt;=Projects!$C$2:$C$45-$B$16)*((85&lt;=Projects!$W$2:$W$45-$B$106)*1+(85&gt;Projects!$W$2:$W$45-$B$106)*(85&lt;=Projects!$W$2:$W$45+$B$17)*$B$107)*((Projects!$B$2:$B$45&gt;=$B$12)*$B$9+(Projects!$B$2:$B$45&lt;$B$12)*(Projects!$B$2:$B$45&gt;=$B$13)*$B$10+(Projects!$B$2:$B$45&lt;$B$13)*$B$11))</f>
        <v>0</v>
      </c>
      <c r="CL40" s="351" t="n">
        <f aca="false">SUMPRODUCT((Projects!$G$2:$G$45="Yes")*(86&gt;=Projects!$C$2:$C$45-$B$16)*((86&lt;=Projects!$W$2:$W$45-$B$106)*1+(86&gt;Projects!$W$2:$W$45-$B$106)*(86&lt;=Projects!$W$2:$W$45+$B$17)*$B$107)*((Projects!$B$2:$B$45&gt;=$B$12)*$B$9+(Projects!$B$2:$B$45&lt;$B$12)*(Projects!$B$2:$B$45&gt;=$B$13)*$B$10+(Projects!$B$2:$B$45&lt;$B$13)*$B$11))</f>
        <v>0</v>
      </c>
      <c r="CM40" s="351" t="n">
        <f aca="false">SUMPRODUCT((Projects!$G$2:$G$45="Yes")*(87&gt;=Projects!$C$2:$C$45-$B$16)*((87&lt;=Projects!$W$2:$W$45-$B$106)*1+(87&gt;Projects!$W$2:$W$45-$B$106)*(87&lt;=Projects!$W$2:$W$45+$B$17)*$B$107)*((Projects!$B$2:$B$45&gt;=$B$12)*$B$9+(Projects!$B$2:$B$45&lt;$B$12)*(Projects!$B$2:$B$45&gt;=$B$13)*$B$10+(Projects!$B$2:$B$45&lt;$B$13)*$B$11))</f>
        <v>0</v>
      </c>
      <c r="CN40" s="351" t="n">
        <f aca="false">SUMPRODUCT((Projects!$G$2:$G$45="Yes")*(88&gt;=Projects!$C$2:$C$45-$B$16)*((88&lt;=Projects!$W$2:$W$45-$B$106)*1+(88&gt;Projects!$W$2:$W$45-$B$106)*(88&lt;=Projects!$W$2:$W$45+$B$17)*$B$107)*((Projects!$B$2:$B$45&gt;=$B$12)*$B$9+(Projects!$B$2:$B$45&lt;$B$12)*(Projects!$B$2:$B$45&gt;=$B$13)*$B$10+(Projects!$B$2:$B$45&lt;$B$13)*$B$11))</f>
        <v>0</v>
      </c>
      <c r="CO40" s="351" t="n">
        <f aca="false">SUMPRODUCT((Projects!$G$2:$G$45="Yes")*(89&gt;=Projects!$C$2:$C$45-$B$16)*((89&lt;=Projects!$W$2:$W$45-$B$106)*1+(89&gt;Projects!$W$2:$W$45-$B$106)*(89&lt;=Projects!$W$2:$W$45+$B$17)*$B$107)*((Projects!$B$2:$B$45&gt;=$B$12)*$B$9+(Projects!$B$2:$B$45&lt;$B$12)*(Projects!$B$2:$B$45&gt;=$B$13)*$B$10+(Projects!$B$2:$B$45&lt;$B$13)*$B$11))</f>
        <v>0</v>
      </c>
      <c r="CP40" s="351" t="n">
        <f aca="false">SUMPRODUCT((Projects!$G$2:$G$45="Yes")*(90&gt;=Projects!$C$2:$C$45-$B$16)*((90&lt;=Projects!$W$2:$W$45-$B$106)*1+(90&gt;Projects!$W$2:$W$45-$B$106)*(90&lt;=Projects!$W$2:$W$45+$B$17)*$B$107)*((Projects!$B$2:$B$45&gt;=$B$12)*$B$9+(Projects!$B$2:$B$45&lt;$B$12)*(Projects!$B$2:$B$45&gt;=$B$13)*$B$10+(Projects!$B$2:$B$45&lt;$B$13)*$B$11))</f>
        <v>0</v>
      </c>
      <c r="CQ40" s="351" t="n">
        <f aca="false">SUMPRODUCT((Projects!$G$2:$G$45="Yes")*(91&gt;=Projects!$C$2:$C$45-$B$16)*((91&lt;=Projects!$W$2:$W$45-$B$106)*1+(91&gt;Projects!$W$2:$W$45-$B$106)*(91&lt;=Projects!$W$2:$W$45+$B$17)*$B$107)*((Projects!$B$2:$B$45&gt;=$B$12)*$B$9+(Projects!$B$2:$B$45&lt;$B$12)*(Projects!$B$2:$B$45&gt;=$B$13)*$B$10+(Projects!$B$2:$B$45&lt;$B$13)*$B$11))</f>
        <v>0</v>
      </c>
      <c r="CR40" s="351" t="n">
        <f aca="false">SUMPRODUCT((Projects!$G$2:$G$45="Yes")*(92&gt;=Projects!$C$2:$C$45-$B$16)*((92&lt;=Projects!$W$2:$W$45-$B$106)*1+(92&gt;Projects!$W$2:$W$45-$B$106)*(92&lt;=Projects!$W$2:$W$45+$B$17)*$B$107)*((Projects!$B$2:$B$45&gt;=$B$12)*$B$9+(Projects!$B$2:$B$45&lt;$B$12)*(Projects!$B$2:$B$45&gt;=$B$13)*$B$10+(Projects!$B$2:$B$45&lt;$B$13)*$B$11))</f>
        <v>0</v>
      </c>
      <c r="CS40" s="351" t="n">
        <f aca="false">SUMPRODUCT((Projects!$G$2:$G$45="Yes")*(93&gt;=Projects!$C$2:$C$45-$B$16)*((93&lt;=Projects!$W$2:$W$45-$B$106)*1+(93&gt;Projects!$W$2:$W$45-$B$106)*(93&lt;=Projects!$W$2:$W$45+$B$17)*$B$107)*((Projects!$B$2:$B$45&gt;=$B$12)*$B$9+(Projects!$B$2:$B$45&lt;$B$12)*(Projects!$B$2:$B$45&gt;=$B$13)*$B$10+(Projects!$B$2:$B$45&lt;$B$13)*$B$11))</f>
        <v>0</v>
      </c>
      <c r="CT40" s="351" t="n">
        <f aca="false">SUMPRODUCT((Projects!$G$2:$G$45="Yes")*(94&gt;=Projects!$C$2:$C$45-$B$16)*((94&lt;=Projects!$W$2:$W$45-$B$106)*1+(94&gt;Projects!$W$2:$W$45-$B$106)*(94&lt;=Projects!$W$2:$W$45+$B$17)*$B$107)*((Projects!$B$2:$B$45&gt;=$B$12)*$B$9+(Projects!$B$2:$B$45&lt;$B$12)*(Projects!$B$2:$B$45&gt;=$B$13)*$B$10+(Projects!$B$2:$B$45&lt;$B$13)*$B$11))</f>
        <v>0</v>
      </c>
      <c r="CU40" s="351" t="n">
        <f aca="false">SUMPRODUCT((Projects!$G$2:$G$45="Yes")*(95&gt;=Projects!$C$2:$C$45-$B$16)*((95&lt;=Projects!$W$2:$W$45-$B$106)*1+(95&gt;Projects!$W$2:$W$45-$B$106)*(95&lt;=Projects!$W$2:$W$45+$B$17)*$B$107)*((Projects!$B$2:$B$45&gt;=$B$12)*$B$9+(Projects!$B$2:$B$45&lt;$B$12)*(Projects!$B$2:$B$45&gt;=$B$13)*$B$10+(Projects!$B$2:$B$45&lt;$B$13)*$B$11))</f>
        <v>0</v>
      </c>
      <c r="CV40" s="351" t="n">
        <f aca="false">SUMPRODUCT((Projects!$G$2:$G$45="Yes")*(96&gt;=Projects!$C$2:$C$45-$B$16)*((96&lt;=Projects!$W$2:$W$45-$B$106)*1+(96&gt;Projects!$W$2:$W$45-$B$106)*(96&lt;=Projects!$W$2:$W$45+$B$17)*$B$107)*((Projects!$B$2:$B$45&gt;=$B$12)*$B$9+(Projects!$B$2:$B$45&lt;$B$12)*(Projects!$B$2:$B$45&gt;=$B$13)*$B$10+(Projects!$B$2:$B$45&lt;$B$13)*$B$11))</f>
        <v>0</v>
      </c>
      <c r="CW40" s="351" t="n">
        <f aca="false">SUMPRODUCT((Projects!$G$2:$G$45="Yes")*(97&gt;=Projects!$C$2:$C$45-$B$16)*((97&lt;=Projects!$W$2:$W$45-$B$106)*1+(97&gt;Projects!$W$2:$W$45-$B$106)*(97&lt;=Projects!$W$2:$W$45+$B$17)*$B$107)*((Projects!$B$2:$B$45&gt;=$B$12)*$B$9+(Projects!$B$2:$B$45&lt;$B$12)*(Projects!$B$2:$B$45&gt;=$B$13)*$B$10+(Projects!$B$2:$B$45&lt;$B$13)*$B$11))</f>
        <v>0</v>
      </c>
      <c r="CX40" s="351" t="n">
        <f aca="false">SUMPRODUCT((Projects!$G$2:$G$45="Yes")*(98&gt;=Projects!$C$2:$C$45-$B$16)*((98&lt;=Projects!$W$2:$W$45-$B$106)*1+(98&gt;Projects!$W$2:$W$45-$B$106)*(98&lt;=Projects!$W$2:$W$45+$B$17)*$B$107)*((Projects!$B$2:$B$45&gt;=$B$12)*$B$9+(Projects!$B$2:$B$45&lt;$B$12)*(Projects!$B$2:$B$45&gt;=$B$13)*$B$10+(Projects!$B$2:$B$45&lt;$B$13)*$B$11))</f>
        <v>0</v>
      </c>
      <c r="CY40" s="351" t="n">
        <f aca="false">SUMPRODUCT((Projects!$G$2:$G$45="Yes")*(99&gt;=Projects!$C$2:$C$45-$B$16)*((99&lt;=Projects!$W$2:$W$45-$B$106)*1+(99&gt;Projects!$W$2:$W$45-$B$106)*(99&lt;=Projects!$W$2:$W$45+$B$17)*$B$107)*((Projects!$B$2:$B$45&gt;=$B$12)*$B$9+(Projects!$B$2:$B$45&lt;$B$12)*(Projects!$B$2:$B$45&gt;=$B$13)*$B$10+(Projects!$B$2:$B$45&lt;$B$13)*$B$11))</f>
        <v>0</v>
      </c>
      <c r="CZ40" s="351" t="n">
        <f aca="false">SUMPRODUCT((Projects!$G$2:$G$45="Yes")*(100&gt;=Projects!$C$2:$C$45-$B$16)*((100&lt;=Projects!$W$2:$W$45-$B$106)*1+(100&gt;Projects!$W$2:$W$45-$B$106)*(100&lt;=Projects!$W$2:$W$45+$B$17)*$B$107)*((Projects!$B$2:$B$45&gt;=$B$12)*$B$9+(Projects!$B$2:$B$45&lt;$B$12)*(Projects!$B$2:$B$45&gt;=$B$13)*$B$10+(Projects!$B$2:$B$45&lt;$B$13)*$B$11))</f>
        <v>0</v>
      </c>
      <c r="DA40" s="351" t="n">
        <f aca="false">SUMPRODUCT((Projects!$G$2:$G$45="Yes")*(101&gt;=Projects!$C$2:$C$45-$B$16)*((101&lt;=Projects!$W$2:$W$45-$B$106)*1+(101&gt;Projects!$W$2:$W$45-$B$106)*(101&lt;=Projects!$W$2:$W$45+$B$17)*$B$107)*((Projects!$B$2:$B$45&gt;=$B$12)*$B$9+(Projects!$B$2:$B$45&lt;$B$12)*(Projects!$B$2:$B$45&gt;=$B$13)*$B$10+(Projects!$B$2:$B$45&lt;$B$13)*$B$11))</f>
        <v>0</v>
      </c>
      <c r="DB40" s="351" t="n">
        <f aca="false">SUMPRODUCT((Projects!$G$2:$G$45="Yes")*(102&gt;=Projects!$C$2:$C$45-$B$16)*((102&lt;=Projects!$W$2:$W$45-$B$106)*1+(102&gt;Projects!$W$2:$W$45-$B$106)*(102&lt;=Projects!$W$2:$W$45+$B$17)*$B$107)*((Projects!$B$2:$B$45&gt;=$B$12)*$B$9+(Projects!$B$2:$B$45&lt;$B$12)*(Projects!$B$2:$B$45&gt;=$B$13)*$B$10+(Projects!$B$2:$B$45&lt;$B$13)*$B$11))</f>
        <v>0</v>
      </c>
      <c r="DC40" s="351" t="n">
        <f aca="false">SUMPRODUCT((Projects!$G$2:$G$45="Yes")*(103&gt;=Projects!$C$2:$C$45-$B$16)*((103&lt;=Projects!$W$2:$W$45-$B$106)*1+(103&gt;Projects!$W$2:$W$45-$B$106)*(103&lt;=Projects!$W$2:$W$45+$B$17)*$B$107)*((Projects!$B$2:$B$45&gt;=$B$12)*$B$9+(Projects!$B$2:$B$45&lt;$B$12)*(Projects!$B$2:$B$45&gt;=$B$13)*$B$10+(Projects!$B$2:$B$45&lt;$B$13)*$B$11))</f>
        <v>0</v>
      </c>
      <c r="DD40" s="351" t="n">
        <f aca="false">SUMPRODUCT((Projects!$G$2:$G$45="Yes")*(104&gt;=Projects!$C$2:$C$45-$B$16)*((104&lt;=Projects!$W$2:$W$45-$B$106)*1+(104&gt;Projects!$W$2:$W$45-$B$106)*(104&lt;=Projects!$W$2:$W$45+$B$17)*$B$107)*((Projects!$B$2:$B$45&gt;=$B$12)*$B$9+(Projects!$B$2:$B$45&lt;$B$12)*(Projects!$B$2:$B$45&gt;=$B$13)*$B$10+(Projects!$B$2:$B$45&lt;$B$13)*$B$11))</f>
        <v>0</v>
      </c>
      <c r="DE40" s="351"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1172</v>
      </c>
      <c r="B42" s="210"/>
      <c r="C42" s="210"/>
      <c r="D42" s="210"/>
      <c r="E42" s="210"/>
      <c r="F42" s="210"/>
    </row>
    <row r="43" customFormat="false" ht="13.5" hidden="false" customHeight="true" outlineLevel="0" collapsed="false">
      <c r="A43" s="109" t="s">
        <v>1173</v>
      </c>
      <c r="E43" s="351" t="n">
        <f aca="false">SUMPRODUCT((Personnel!$P$9:$P$100="SUPER")*(Personnel!$G$9:$G$100="Yes")*(1&gt;=Personnel!$E$9:$E$100)*((Personnel!$K$9:$K$100="")+(1&lt;=Personnel!$K$9:$K$100)&gt;0))</f>
        <v>4</v>
      </c>
      <c r="F43" s="351" t="n">
        <f aca="false">SUMPRODUCT((Personnel!$P$9:$P$100="SUPER")*(Personnel!$G$9:$G$100="Yes")*(2&gt;=Personnel!$E$9:$E$100)*((Personnel!$K$9:$K$100="")+(2&lt;=Personnel!$K$9:$K$100)&gt;0))</f>
        <v>5</v>
      </c>
      <c r="G43" s="351" t="n">
        <f aca="false">SUMPRODUCT((Personnel!$P$9:$P$100="SUPER")*(Personnel!$G$9:$G$100="Yes")*(3&gt;=Personnel!$E$9:$E$100)*((Personnel!$K$9:$K$100="")+(3&lt;=Personnel!$K$9:$K$100)&gt;0))</f>
        <v>5</v>
      </c>
      <c r="H43" s="351" t="n">
        <f aca="false">SUMPRODUCT((Personnel!$P$9:$P$100="SUPER")*(Personnel!$G$9:$G$100="Yes")*(4&gt;=Personnel!$E$9:$E$100)*((Personnel!$K$9:$K$100="")+(4&lt;=Personnel!$K$9:$K$100)&gt;0))</f>
        <v>6</v>
      </c>
      <c r="I43" s="351" t="n">
        <f aca="false">SUMPRODUCT((Personnel!$P$9:$P$100="SUPER")*(Personnel!$G$9:$G$100="Yes")*(5&gt;=Personnel!$E$9:$E$100)*((Personnel!$K$9:$K$100="")+(5&lt;=Personnel!$K$9:$K$100)&gt;0))</f>
        <v>6</v>
      </c>
      <c r="J43" s="351" t="n">
        <f aca="false">SUMPRODUCT((Personnel!$P$9:$P$100="SUPER")*(Personnel!$G$9:$G$100="Yes")*(6&gt;=Personnel!$E$9:$E$100)*((Personnel!$K$9:$K$100="")+(6&lt;=Personnel!$K$9:$K$100)&gt;0))</f>
        <v>7</v>
      </c>
      <c r="K43" s="351" t="n">
        <f aca="false">SUMPRODUCT((Personnel!$P$9:$P$100="SUPER")*(Personnel!$G$9:$G$100="Yes")*(7&gt;=Personnel!$E$9:$E$100)*((Personnel!$K$9:$K$100="")+(7&lt;=Personnel!$K$9:$K$100)&gt;0))</f>
        <v>7</v>
      </c>
      <c r="L43" s="351" t="n">
        <f aca="false">SUMPRODUCT((Personnel!$P$9:$P$100="SUPER")*(Personnel!$G$9:$G$100="Yes")*(8&gt;=Personnel!$E$9:$E$100)*((Personnel!$K$9:$K$100="")+(8&lt;=Personnel!$K$9:$K$100)&gt;0))</f>
        <v>7</v>
      </c>
      <c r="M43" s="351" t="n">
        <f aca="false">SUMPRODUCT((Personnel!$P$9:$P$100="SUPER")*(Personnel!$G$9:$G$100="Yes")*(9&gt;=Personnel!$E$9:$E$100)*((Personnel!$K$9:$K$100="")+(9&lt;=Personnel!$K$9:$K$100)&gt;0))</f>
        <v>7</v>
      </c>
      <c r="N43" s="351" t="n">
        <f aca="false">SUMPRODUCT((Personnel!$P$9:$P$100="SUPER")*(Personnel!$G$9:$G$100="Yes")*(10&gt;=Personnel!$E$9:$E$100)*((Personnel!$K$9:$K$100="")+(10&lt;=Personnel!$K$9:$K$100)&gt;0))</f>
        <v>7</v>
      </c>
      <c r="O43" s="351" t="n">
        <f aca="false">SUMPRODUCT((Personnel!$P$9:$P$100="SUPER")*(Personnel!$G$9:$G$100="Yes")*(11&gt;=Personnel!$E$9:$E$100)*((Personnel!$K$9:$K$100="")+(11&lt;=Personnel!$K$9:$K$100)&gt;0))</f>
        <v>7</v>
      </c>
      <c r="P43" s="351" t="n">
        <f aca="false">SUMPRODUCT((Personnel!$P$9:$P$100="SUPER")*(Personnel!$G$9:$G$100="Yes")*(12&gt;=Personnel!$E$9:$E$100)*((Personnel!$K$9:$K$100="")+(12&lt;=Personnel!$K$9:$K$100)&gt;0))</f>
        <v>7</v>
      </c>
      <c r="Q43" s="351" t="n">
        <f aca="false">SUMPRODUCT((Personnel!$P$9:$P$100="SUPER")*(Personnel!$G$9:$G$100="Yes")*(13&gt;=Personnel!$E$9:$E$100)*((Personnel!$K$9:$K$100="")+(13&lt;=Personnel!$K$9:$K$100)&gt;0))</f>
        <v>7</v>
      </c>
      <c r="R43" s="351" t="n">
        <f aca="false">SUMPRODUCT((Personnel!$P$9:$P$100="SUPER")*(Personnel!$G$9:$G$100="Yes")*(14&gt;=Personnel!$E$9:$E$100)*((Personnel!$K$9:$K$100="")+(14&lt;=Personnel!$K$9:$K$100)&gt;0))</f>
        <v>7</v>
      </c>
      <c r="S43" s="351" t="n">
        <f aca="false">SUMPRODUCT((Personnel!$P$9:$P$100="SUPER")*(Personnel!$G$9:$G$100="Yes")*(15&gt;=Personnel!$E$9:$E$100)*((Personnel!$K$9:$K$100="")+(15&lt;=Personnel!$K$9:$K$100)&gt;0))</f>
        <v>7</v>
      </c>
      <c r="T43" s="351" t="n">
        <f aca="false">SUMPRODUCT((Personnel!$P$9:$P$100="SUPER")*(Personnel!$G$9:$G$100="Yes")*(16&gt;=Personnel!$E$9:$E$100)*((Personnel!$K$9:$K$100="")+(16&lt;=Personnel!$K$9:$K$100)&gt;0))</f>
        <v>7</v>
      </c>
      <c r="U43" s="351" t="n">
        <f aca="false">SUMPRODUCT((Personnel!$P$9:$P$100="SUPER")*(Personnel!$G$9:$G$100="Yes")*(17&gt;=Personnel!$E$9:$E$100)*((Personnel!$K$9:$K$100="")+(17&lt;=Personnel!$K$9:$K$100)&gt;0))</f>
        <v>7</v>
      </c>
      <c r="V43" s="351" t="n">
        <f aca="false">SUMPRODUCT((Personnel!$P$9:$P$100="SUPER")*(Personnel!$G$9:$G$100="Yes")*(18&gt;=Personnel!$E$9:$E$100)*((Personnel!$K$9:$K$100="")+(18&lt;=Personnel!$K$9:$K$100)&gt;0))</f>
        <v>7</v>
      </c>
      <c r="W43" s="351" t="n">
        <f aca="false">SUMPRODUCT((Personnel!$P$9:$P$100="SUPER")*(Personnel!$G$9:$G$100="Yes")*(19&gt;=Personnel!$E$9:$E$100)*((Personnel!$K$9:$K$100="")+(19&lt;=Personnel!$K$9:$K$100)&gt;0))</f>
        <v>7</v>
      </c>
      <c r="X43" s="351" t="n">
        <f aca="false">SUMPRODUCT((Personnel!$P$9:$P$100="SUPER")*(Personnel!$G$9:$G$100="Yes")*(20&gt;=Personnel!$E$9:$E$100)*((Personnel!$K$9:$K$100="")+(20&lt;=Personnel!$K$9:$K$100)&gt;0))</f>
        <v>7</v>
      </c>
      <c r="Y43" s="351" t="n">
        <f aca="false">SUMPRODUCT((Personnel!$P$9:$P$100="SUPER")*(Personnel!$G$9:$G$100="Yes")*(21&gt;=Personnel!$E$9:$E$100)*((Personnel!$K$9:$K$100="")+(21&lt;=Personnel!$K$9:$K$100)&gt;0))</f>
        <v>7</v>
      </c>
      <c r="Z43" s="351" t="n">
        <f aca="false">SUMPRODUCT((Personnel!$P$9:$P$100="SUPER")*(Personnel!$G$9:$G$100="Yes")*(22&gt;=Personnel!$E$9:$E$100)*((Personnel!$K$9:$K$100="")+(22&lt;=Personnel!$K$9:$K$100)&gt;0))</f>
        <v>7</v>
      </c>
      <c r="AA43" s="351" t="n">
        <f aca="false">SUMPRODUCT((Personnel!$P$9:$P$100="SUPER")*(Personnel!$G$9:$G$100="Yes")*(23&gt;=Personnel!$E$9:$E$100)*((Personnel!$K$9:$K$100="")+(23&lt;=Personnel!$K$9:$K$100)&gt;0))</f>
        <v>7</v>
      </c>
      <c r="AB43" s="351" t="n">
        <f aca="false">SUMPRODUCT((Personnel!$P$9:$P$100="SUPER")*(Personnel!$G$9:$G$100="Yes")*(24&gt;=Personnel!$E$9:$E$100)*((Personnel!$K$9:$K$100="")+(24&lt;=Personnel!$K$9:$K$100)&gt;0))</f>
        <v>7</v>
      </c>
      <c r="AC43" s="351" t="n">
        <f aca="false">SUMPRODUCT((Personnel!$P$9:$P$100="SUPER")*(Personnel!$G$9:$G$100="Yes")*(25&gt;=Personnel!$E$9:$E$100)*((Personnel!$K$9:$K$100="")+(25&lt;=Personnel!$K$9:$K$100)&gt;0))</f>
        <v>7</v>
      </c>
      <c r="AD43" s="351" t="n">
        <f aca="false">SUMPRODUCT((Personnel!$P$9:$P$100="SUPER")*(Personnel!$G$9:$G$100="Yes")*(26&gt;=Personnel!$E$9:$E$100)*((Personnel!$K$9:$K$100="")+(26&lt;=Personnel!$K$9:$K$100)&gt;0))</f>
        <v>7</v>
      </c>
      <c r="AE43" s="351" t="n">
        <f aca="false">SUMPRODUCT((Personnel!$P$9:$P$100="SUPER")*(Personnel!$G$9:$G$100="Yes")*(27&gt;=Personnel!$E$9:$E$100)*((Personnel!$K$9:$K$100="")+(27&lt;=Personnel!$K$9:$K$100)&gt;0))</f>
        <v>7</v>
      </c>
      <c r="AF43" s="351" t="n">
        <f aca="false">SUMPRODUCT((Personnel!$P$9:$P$100="SUPER")*(Personnel!$G$9:$G$100="Yes")*(28&gt;=Personnel!$E$9:$E$100)*((Personnel!$K$9:$K$100="")+(28&lt;=Personnel!$K$9:$K$100)&gt;0))</f>
        <v>7</v>
      </c>
      <c r="AG43" s="351" t="n">
        <f aca="false">SUMPRODUCT((Personnel!$P$9:$P$100="SUPER")*(Personnel!$G$9:$G$100="Yes")*(29&gt;=Personnel!$E$9:$E$100)*((Personnel!$K$9:$K$100="")+(29&lt;=Personnel!$K$9:$K$100)&gt;0))</f>
        <v>7</v>
      </c>
      <c r="AH43" s="351" t="n">
        <f aca="false">SUMPRODUCT((Personnel!$P$9:$P$100="SUPER")*(Personnel!$G$9:$G$100="Yes")*(30&gt;=Personnel!$E$9:$E$100)*((Personnel!$K$9:$K$100="")+(30&lt;=Personnel!$K$9:$K$100)&gt;0))</f>
        <v>7</v>
      </c>
      <c r="AI43" s="351" t="n">
        <f aca="false">SUMPRODUCT((Personnel!$P$9:$P$100="SUPER")*(Personnel!$G$9:$G$100="Yes")*(31&gt;=Personnel!$E$9:$E$100)*((Personnel!$K$9:$K$100="")+(31&lt;=Personnel!$K$9:$K$100)&gt;0))</f>
        <v>7</v>
      </c>
      <c r="AJ43" s="351" t="n">
        <f aca="false">SUMPRODUCT((Personnel!$P$9:$P$100="SUPER")*(Personnel!$G$9:$G$100="Yes")*(32&gt;=Personnel!$E$9:$E$100)*((Personnel!$K$9:$K$100="")+(32&lt;=Personnel!$K$9:$K$100)&gt;0))</f>
        <v>7</v>
      </c>
      <c r="AK43" s="351" t="n">
        <f aca="false">SUMPRODUCT((Personnel!$P$9:$P$100="SUPER")*(Personnel!$G$9:$G$100="Yes")*(33&gt;=Personnel!$E$9:$E$100)*((Personnel!$K$9:$K$100="")+(33&lt;=Personnel!$K$9:$K$100)&gt;0))</f>
        <v>7</v>
      </c>
      <c r="AL43" s="351" t="n">
        <f aca="false">SUMPRODUCT((Personnel!$P$9:$P$100="SUPER")*(Personnel!$G$9:$G$100="Yes")*(34&gt;=Personnel!$E$9:$E$100)*((Personnel!$K$9:$K$100="")+(34&lt;=Personnel!$K$9:$K$100)&gt;0))</f>
        <v>7</v>
      </c>
      <c r="AM43" s="351" t="n">
        <f aca="false">SUMPRODUCT((Personnel!$P$9:$P$100="SUPER")*(Personnel!$G$9:$G$100="Yes")*(35&gt;=Personnel!$E$9:$E$100)*((Personnel!$K$9:$K$100="")+(35&lt;=Personnel!$K$9:$K$100)&gt;0))</f>
        <v>7</v>
      </c>
      <c r="AN43" s="351" t="n">
        <f aca="false">SUMPRODUCT((Personnel!$P$9:$P$100="SUPER")*(Personnel!$G$9:$G$100="Yes")*(36&gt;=Personnel!$E$9:$E$100)*((Personnel!$K$9:$K$100="")+(36&lt;=Personnel!$K$9:$K$100)&gt;0))</f>
        <v>7</v>
      </c>
      <c r="AO43" s="351" t="n">
        <f aca="false">SUMPRODUCT((Personnel!$P$9:$P$100="SUPER")*(Personnel!$G$9:$G$100="Yes")*(37&gt;=Personnel!$E$9:$E$100)*((Personnel!$K$9:$K$100="")+(37&lt;=Personnel!$K$9:$K$100)&gt;0))</f>
        <v>7</v>
      </c>
      <c r="AP43" s="351" t="n">
        <f aca="false">SUMPRODUCT((Personnel!$P$9:$P$100="SUPER")*(Personnel!$G$9:$G$100="Yes")*(38&gt;=Personnel!$E$9:$E$100)*((Personnel!$K$9:$K$100="")+(38&lt;=Personnel!$K$9:$K$100)&gt;0))</f>
        <v>7</v>
      </c>
      <c r="AQ43" s="351" t="n">
        <f aca="false">SUMPRODUCT((Personnel!$P$9:$P$100="SUPER")*(Personnel!$G$9:$G$100="Yes")*(39&gt;=Personnel!$E$9:$E$100)*((Personnel!$K$9:$K$100="")+(39&lt;=Personnel!$K$9:$K$100)&gt;0))</f>
        <v>7</v>
      </c>
      <c r="AR43" s="351" t="n">
        <f aca="false">SUMPRODUCT((Personnel!$P$9:$P$100="SUPER")*(Personnel!$G$9:$G$100="Yes")*(40&gt;=Personnel!$E$9:$E$100)*((Personnel!$K$9:$K$100="")+(40&lt;=Personnel!$K$9:$K$100)&gt;0))</f>
        <v>7</v>
      </c>
      <c r="AS43" s="351" t="n">
        <f aca="false">SUMPRODUCT((Personnel!$P$9:$P$100="SUPER")*(Personnel!$G$9:$G$100="Yes")*(41&gt;=Personnel!$E$9:$E$100)*((Personnel!$K$9:$K$100="")+(41&lt;=Personnel!$K$9:$K$100)&gt;0))</f>
        <v>7</v>
      </c>
      <c r="AT43" s="351" t="n">
        <f aca="false">SUMPRODUCT((Personnel!$P$9:$P$100="SUPER")*(Personnel!$G$9:$G$100="Yes")*(42&gt;=Personnel!$E$9:$E$100)*((Personnel!$K$9:$K$100="")+(42&lt;=Personnel!$K$9:$K$100)&gt;0))</f>
        <v>7</v>
      </c>
      <c r="AU43" s="351" t="n">
        <f aca="false">SUMPRODUCT((Personnel!$P$9:$P$100="SUPER")*(Personnel!$G$9:$G$100="Yes")*(43&gt;=Personnel!$E$9:$E$100)*((Personnel!$K$9:$K$100="")+(43&lt;=Personnel!$K$9:$K$100)&gt;0))</f>
        <v>7</v>
      </c>
      <c r="AV43" s="351" t="n">
        <f aca="false">SUMPRODUCT((Personnel!$P$9:$P$100="SUPER")*(Personnel!$G$9:$G$100="Yes")*(44&gt;=Personnel!$E$9:$E$100)*((Personnel!$K$9:$K$100="")+(44&lt;=Personnel!$K$9:$K$100)&gt;0))</f>
        <v>7</v>
      </c>
      <c r="AW43" s="351" t="n">
        <f aca="false">SUMPRODUCT((Personnel!$P$9:$P$100="SUPER")*(Personnel!$G$9:$G$100="Yes")*(45&gt;=Personnel!$E$9:$E$100)*((Personnel!$K$9:$K$100="")+(45&lt;=Personnel!$K$9:$K$100)&gt;0))</f>
        <v>7</v>
      </c>
      <c r="AX43" s="351" t="n">
        <f aca="false">SUMPRODUCT((Personnel!$P$9:$P$100="SUPER")*(Personnel!$G$9:$G$100="Yes")*(46&gt;=Personnel!$E$9:$E$100)*((Personnel!$K$9:$K$100="")+(46&lt;=Personnel!$K$9:$K$100)&gt;0))</f>
        <v>7</v>
      </c>
      <c r="AY43" s="351" t="n">
        <f aca="false">SUMPRODUCT((Personnel!$P$9:$P$100="SUPER")*(Personnel!$G$9:$G$100="Yes")*(47&gt;=Personnel!$E$9:$E$100)*((Personnel!$K$9:$K$100="")+(47&lt;=Personnel!$K$9:$K$100)&gt;0))</f>
        <v>7</v>
      </c>
      <c r="AZ43" s="351" t="n">
        <f aca="false">SUMPRODUCT((Personnel!$P$9:$P$100="SUPER")*(Personnel!$G$9:$G$100="Yes")*(48&gt;=Personnel!$E$9:$E$100)*((Personnel!$K$9:$K$100="")+(48&lt;=Personnel!$K$9:$K$100)&gt;0))</f>
        <v>7</v>
      </c>
      <c r="BA43" s="351" t="n">
        <f aca="false">SUMPRODUCT((Personnel!$P$9:$P$100="SUPER")*(Personnel!$G$9:$G$100="Yes")*(49&gt;=Personnel!$E$9:$E$100)*((Personnel!$K$9:$K$100="")+(49&lt;=Personnel!$K$9:$K$100)&gt;0))</f>
        <v>7</v>
      </c>
      <c r="BB43" s="351" t="n">
        <f aca="false">SUMPRODUCT((Personnel!$P$9:$P$100="SUPER")*(Personnel!$G$9:$G$100="Yes")*(50&gt;=Personnel!$E$9:$E$100)*((Personnel!$K$9:$K$100="")+(50&lt;=Personnel!$K$9:$K$100)&gt;0))</f>
        <v>7</v>
      </c>
      <c r="BC43" s="351" t="n">
        <f aca="false">SUMPRODUCT((Personnel!$P$9:$P$100="SUPER")*(Personnel!$G$9:$G$100="Yes")*(51&gt;=Personnel!$E$9:$E$100)*((Personnel!$K$9:$K$100="")+(51&lt;=Personnel!$K$9:$K$100)&gt;0))</f>
        <v>7</v>
      </c>
      <c r="BD43" s="351" t="n">
        <f aca="false">SUMPRODUCT((Personnel!$P$9:$P$100="SUPER")*(Personnel!$G$9:$G$100="Yes")*(52&gt;=Personnel!$E$9:$E$100)*((Personnel!$K$9:$K$100="")+(52&lt;=Personnel!$K$9:$K$100)&gt;0))</f>
        <v>7</v>
      </c>
      <c r="BE43" s="351" t="n">
        <f aca="false">SUMPRODUCT((Personnel!$P$9:$P$100="SUPER")*(Personnel!$G$9:$G$100="Yes")*(53&gt;=Personnel!$E$9:$E$100)*((Personnel!$K$9:$K$100="")+(53&lt;=Personnel!$K$9:$K$100)&gt;0))</f>
        <v>7</v>
      </c>
      <c r="BF43" s="351" t="n">
        <f aca="false">SUMPRODUCT((Personnel!$P$9:$P$100="SUPER")*(Personnel!$G$9:$G$100="Yes")*(54&gt;=Personnel!$E$9:$E$100)*((Personnel!$K$9:$K$100="")+(54&lt;=Personnel!$K$9:$K$100)&gt;0))</f>
        <v>7</v>
      </c>
      <c r="BG43" s="351" t="n">
        <f aca="false">SUMPRODUCT((Personnel!$P$9:$P$100="SUPER")*(Personnel!$G$9:$G$100="Yes")*(55&gt;=Personnel!$E$9:$E$100)*((Personnel!$K$9:$K$100="")+(55&lt;=Personnel!$K$9:$K$100)&gt;0))</f>
        <v>7</v>
      </c>
      <c r="BH43" s="351" t="n">
        <f aca="false">SUMPRODUCT((Personnel!$P$9:$P$100="SUPER")*(Personnel!$G$9:$G$100="Yes")*(56&gt;=Personnel!$E$9:$E$100)*((Personnel!$K$9:$K$100="")+(56&lt;=Personnel!$K$9:$K$100)&gt;0))</f>
        <v>7</v>
      </c>
      <c r="BI43" s="351" t="n">
        <f aca="false">SUMPRODUCT((Personnel!$P$9:$P$100="SUPER")*(Personnel!$G$9:$G$100="Yes")*(57&gt;=Personnel!$E$9:$E$100)*((Personnel!$K$9:$K$100="")+(57&lt;=Personnel!$K$9:$K$100)&gt;0))</f>
        <v>7</v>
      </c>
      <c r="BJ43" s="351" t="n">
        <f aca="false">SUMPRODUCT((Personnel!$P$9:$P$100="SUPER")*(Personnel!$G$9:$G$100="Yes")*(58&gt;=Personnel!$E$9:$E$100)*((Personnel!$K$9:$K$100="")+(58&lt;=Personnel!$K$9:$K$100)&gt;0))</f>
        <v>7</v>
      </c>
      <c r="BK43" s="351" t="n">
        <f aca="false">SUMPRODUCT((Personnel!$P$9:$P$100="SUPER")*(Personnel!$G$9:$G$100="Yes")*(59&gt;=Personnel!$E$9:$E$100)*((Personnel!$K$9:$K$100="")+(59&lt;=Personnel!$K$9:$K$100)&gt;0))</f>
        <v>7</v>
      </c>
      <c r="BL43" s="351" t="n">
        <f aca="false">SUMPRODUCT((Personnel!$P$9:$P$100="SUPER")*(Personnel!$G$9:$G$100="Yes")*(60&gt;=Personnel!$E$9:$E$100)*((Personnel!$K$9:$K$100="")+(60&lt;=Personnel!$K$9:$K$100)&gt;0))</f>
        <v>7</v>
      </c>
      <c r="BM43" s="351" t="n">
        <f aca="false">SUMPRODUCT((Personnel!$P$9:$P$100="SUPER")*(Personnel!$G$9:$G$100="Yes")*(61&gt;=Personnel!$E$9:$E$100)*((Personnel!$K$9:$K$100="")+(61&lt;=Personnel!$K$9:$K$100)&gt;0))</f>
        <v>7</v>
      </c>
      <c r="BN43" s="351" t="n">
        <f aca="false">SUMPRODUCT((Personnel!$P$9:$P$100="SUPER")*(Personnel!$G$9:$G$100="Yes")*(62&gt;=Personnel!$E$9:$E$100)*((Personnel!$K$9:$K$100="")+(62&lt;=Personnel!$K$9:$K$100)&gt;0))</f>
        <v>7</v>
      </c>
      <c r="BO43" s="351" t="n">
        <f aca="false">SUMPRODUCT((Personnel!$P$9:$P$100="SUPER")*(Personnel!$G$9:$G$100="Yes")*(63&gt;=Personnel!$E$9:$E$100)*((Personnel!$K$9:$K$100="")+(63&lt;=Personnel!$K$9:$K$100)&gt;0))</f>
        <v>7</v>
      </c>
      <c r="BP43" s="351" t="n">
        <f aca="false">SUMPRODUCT((Personnel!$P$9:$P$100="SUPER")*(Personnel!$G$9:$G$100="Yes")*(64&gt;=Personnel!$E$9:$E$100)*((Personnel!$K$9:$K$100="")+(64&lt;=Personnel!$K$9:$K$100)&gt;0))</f>
        <v>7</v>
      </c>
      <c r="BQ43" s="351" t="n">
        <f aca="false">SUMPRODUCT((Personnel!$P$9:$P$100="SUPER")*(Personnel!$G$9:$G$100="Yes")*(65&gt;=Personnel!$E$9:$E$100)*((Personnel!$K$9:$K$100="")+(65&lt;=Personnel!$K$9:$K$100)&gt;0))</f>
        <v>7</v>
      </c>
      <c r="BR43" s="351" t="n">
        <f aca="false">SUMPRODUCT((Personnel!$P$9:$P$100="SUPER")*(Personnel!$G$9:$G$100="Yes")*(66&gt;=Personnel!$E$9:$E$100)*((Personnel!$K$9:$K$100="")+(66&lt;=Personnel!$K$9:$K$100)&gt;0))</f>
        <v>7</v>
      </c>
      <c r="BS43" s="351" t="n">
        <f aca="false">SUMPRODUCT((Personnel!$P$9:$P$100="SUPER")*(Personnel!$G$9:$G$100="Yes")*(67&gt;=Personnel!$E$9:$E$100)*((Personnel!$K$9:$K$100="")+(67&lt;=Personnel!$K$9:$K$100)&gt;0))</f>
        <v>7</v>
      </c>
      <c r="BT43" s="351" t="n">
        <f aca="false">SUMPRODUCT((Personnel!$P$9:$P$100="SUPER")*(Personnel!$G$9:$G$100="Yes")*(68&gt;=Personnel!$E$9:$E$100)*((Personnel!$K$9:$K$100="")+(68&lt;=Personnel!$K$9:$K$100)&gt;0))</f>
        <v>7</v>
      </c>
      <c r="BU43" s="351" t="n">
        <f aca="false">SUMPRODUCT((Personnel!$P$9:$P$100="SUPER")*(Personnel!$G$9:$G$100="Yes")*(69&gt;=Personnel!$E$9:$E$100)*((Personnel!$K$9:$K$100="")+(69&lt;=Personnel!$K$9:$K$100)&gt;0))</f>
        <v>7</v>
      </c>
      <c r="BV43" s="351" t="n">
        <f aca="false">SUMPRODUCT((Personnel!$P$9:$P$100="SUPER")*(Personnel!$G$9:$G$100="Yes")*(70&gt;=Personnel!$E$9:$E$100)*((Personnel!$K$9:$K$100="")+(70&lt;=Personnel!$K$9:$K$100)&gt;0))</f>
        <v>7</v>
      </c>
      <c r="BW43" s="351" t="n">
        <f aca="false">SUMPRODUCT((Personnel!$P$9:$P$100="SUPER")*(Personnel!$G$9:$G$100="Yes")*(71&gt;=Personnel!$E$9:$E$100)*((Personnel!$K$9:$K$100="")+(71&lt;=Personnel!$K$9:$K$100)&gt;0))</f>
        <v>7</v>
      </c>
      <c r="BX43" s="351" t="n">
        <f aca="false">SUMPRODUCT((Personnel!$P$9:$P$100="SUPER")*(Personnel!$G$9:$G$100="Yes")*(72&gt;=Personnel!$E$9:$E$100)*((Personnel!$K$9:$K$100="")+(72&lt;=Personnel!$K$9:$K$100)&gt;0))</f>
        <v>7</v>
      </c>
      <c r="BY43" s="351" t="n">
        <f aca="false">SUMPRODUCT((Personnel!$P$9:$P$100="SUPER")*(Personnel!$G$9:$G$100="Yes")*(73&gt;=Personnel!$E$9:$E$100)*((Personnel!$K$9:$K$100="")+(73&lt;=Personnel!$K$9:$K$100)&gt;0))</f>
        <v>7</v>
      </c>
      <c r="BZ43" s="351" t="n">
        <f aca="false">SUMPRODUCT((Personnel!$P$9:$P$100="SUPER")*(Personnel!$G$9:$G$100="Yes")*(74&gt;=Personnel!$E$9:$E$100)*((Personnel!$K$9:$K$100="")+(74&lt;=Personnel!$K$9:$K$100)&gt;0))</f>
        <v>7</v>
      </c>
      <c r="CA43" s="351" t="n">
        <f aca="false">SUMPRODUCT((Personnel!$P$9:$P$100="SUPER")*(Personnel!$G$9:$G$100="Yes")*(75&gt;=Personnel!$E$9:$E$100)*((Personnel!$K$9:$K$100="")+(75&lt;=Personnel!$K$9:$K$100)&gt;0))</f>
        <v>7</v>
      </c>
      <c r="CB43" s="351" t="n">
        <f aca="false">SUMPRODUCT((Personnel!$P$9:$P$100="SUPER")*(Personnel!$G$9:$G$100="Yes")*(76&gt;=Personnel!$E$9:$E$100)*((Personnel!$K$9:$K$100="")+(76&lt;=Personnel!$K$9:$K$100)&gt;0))</f>
        <v>7</v>
      </c>
      <c r="CC43" s="351" t="n">
        <f aca="false">SUMPRODUCT((Personnel!$P$9:$P$100="SUPER")*(Personnel!$G$9:$G$100="Yes")*(77&gt;=Personnel!$E$9:$E$100)*((Personnel!$K$9:$K$100="")+(77&lt;=Personnel!$K$9:$K$100)&gt;0))</f>
        <v>7</v>
      </c>
      <c r="CD43" s="351" t="n">
        <f aca="false">SUMPRODUCT((Personnel!$P$9:$P$100="SUPER")*(Personnel!$G$9:$G$100="Yes")*(78&gt;=Personnel!$E$9:$E$100)*((Personnel!$K$9:$K$100="")+(78&lt;=Personnel!$K$9:$K$100)&gt;0))</f>
        <v>7</v>
      </c>
      <c r="CE43" s="351" t="n">
        <f aca="false">SUMPRODUCT((Personnel!$P$9:$P$100="SUPER")*(Personnel!$G$9:$G$100="Yes")*(79&gt;=Personnel!$E$9:$E$100)*((Personnel!$K$9:$K$100="")+(79&lt;=Personnel!$K$9:$K$100)&gt;0))</f>
        <v>7</v>
      </c>
      <c r="CF43" s="351" t="n">
        <f aca="false">SUMPRODUCT((Personnel!$P$9:$P$100="SUPER")*(Personnel!$G$9:$G$100="Yes")*(80&gt;=Personnel!$E$9:$E$100)*((Personnel!$K$9:$K$100="")+(80&lt;=Personnel!$K$9:$K$100)&gt;0))</f>
        <v>7</v>
      </c>
      <c r="CG43" s="351" t="n">
        <f aca="false">SUMPRODUCT((Personnel!$P$9:$P$100="SUPER")*(Personnel!$G$9:$G$100="Yes")*(81&gt;=Personnel!$E$9:$E$100)*((Personnel!$K$9:$K$100="")+(81&lt;=Personnel!$K$9:$K$100)&gt;0))</f>
        <v>7</v>
      </c>
      <c r="CH43" s="351" t="n">
        <f aca="false">SUMPRODUCT((Personnel!$P$9:$P$100="SUPER")*(Personnel!$G$9:$G$100="Yes")*(82&gt;=Personnel!$E$9:$E$100)*((Personnel!$K$9:$K$100="")+(82&lt;=Personnel!$K$9:$K$100)&gt;0))</f>
        <v>7</v>
      </c>
      <c r="CI43" s="351" t="n">
        <f aca="false">SUMPRODUCT((Personnel!$P$9:$P$100="SUPER")*(Personnel!$G$9:$G$100="Yes")*(83&gt;=Personnel!$E$9:$E$100)*((Personnel!$K$9:$K$100="")+(83&lt;=Personnel!$K$9:$K$100)&gt;0))</f>
        <v>7</v>
      </c>
      <c r="CJ43" s="351" t="n">
        <f aca="false">SUMPRODUCT((Personnel!$P$9:$P$100="SUPER")*(Personnel!$G$9:$G$100="Yes")*(84&gt;=Personnel!$E$9:$E$100)*((Personnel!$K$9:$K$100="")+(84&lt;=Personnel!$K$9:$K$100)&gt;0))</f>
        <v>7</v>
      </c>
      <c r="CK43" s="351" t="n">
        <f aca="false">SUMPRODUCT((Personnel!$P$9:$P$100="SUPER")*(Personnel!$G$9:$G$100="Yes")*(85&gt;=Personnel!$E$9:$E$100)*((Personnel!$K$9:$K$100="")+(85&lt;=Personnel!$K$9:$K$100)&gt;0))</f>
        <v>7</v>
      </c>
      <c r="CL43" s="351" t="n">
        <f aca="false">SUMPRODUCT((Personnel!$P$9:$P$100="SUPER")*(Personnel!$G$9:$G$100="Yes")*(86&gt;=Personnel!$E$9:$E$100)*((Personnel!$K$9:$K$100="")+(86&lt;=Personnel!$K$9:$K$100)&gt;0))</f>
        <v>7</v>
      </c>
      <c r="CM43" s="351" t="n">
        <f aca="false">SUMPRODUCT((Personnel!$P$9:$P$100="SUPER")*(Personnel!$G$9:$G$100="Yes")*(87&gt;=Personnel!$E$9:$E$100)*((Personnel!$K$9:$K$100="")+(87&lt;=Personnel!$K$9:$K$100)&gt;0))</f>
        <v>7</v>
      </c>
      <c r="CN43" s="351" t="n">
        <f aca="false">SUMPRODUCT((Personnel!$P$9:$P$100="SUPER")*(Personnel!$G$9:$G$100="Yes")*(88&gt;=Personnel!$E$9:$E$100)*((Personnel!$K$9:$K$100="")+(88&lt;=Personnel!$K$9:$K$100)&gt;0))</f>
        <v>7</v>
      </c>
      <c r="CO43" s="351" t="n">
        <f aca="false">SUMPRODUCT((Personnel!$P$9:$P$100="SUPER")*(Personnel!$G$9:$G$100="Yes")*(89&gt;=Personnel!$E$9:$E$100)*((Personnel!$K$9:$K$100="")+(89&lt;=Personnel!$K$9:$K$100)&gt;0))</f>
        <v>7</v>
      </c>
      <c r="CP43" s="351" t="n">
        <f aca="false">SUMPRODUCT((Personnel!$P$9:$P$100="SUPER")*(Personnel!$G$9:$G$100="Yes")*(90&gt;=Personnel!$E$9:$E$100)*((Personnel!$K$9:$K$100="")+(90&lt;=Personnel!$K$9:$K$100)&gt;0))</f>
        <v>7</v>
      </c>
      <c r="CQ43" s="351" t="n">
        <f aca="false">SUMPRODUCT((Personnel!$P$9:$P$100="SUPER")*(Personnel!$G$9:$G$100="Yes")*(91&gt;=Personnel!$E$9:$E$100)*((Personnel!$K$9:$K$100="")+(91&lt;=Personnel!$K$9:$K$100)&gt;0))</f>
        <v>7</v>
      </c>
      <c r="CR43" s="351" t="n">
        <f aca="false">SUMPRODUCT((Personnel!$P$9:$P$100="SUPER")*(Personnel!$G$9:$G$100="Yes")*(92&gt;=Personnel!$E$9:$E$100)*((Personnel!$K$9:$K$100="")+(92&lt;=Personnel!$K$9:$K$100)&gt;0))</f>
        <v>7</v>
      </c>
      <c r="CS43" s="351" t="n">
        <f aca="false">SUMPRODUCT((Personnel!$P$9:$P$100="SUPER")*(Personnel!$G$9:$G$100="Yes")*(93&gt;=Personnel!$E$9:$E$100)*((Personnel!$K$9:$K$100="")+(93&lt;=Personnel!$K$9:$K$100)&gt;0))</f>
        <v>7</v>
      </c>
      <c r="CT43" s="351" t="n">
        <f aca="false">SUMPRODUCT((Personnel!$P$9:$P$100="SUPER")*(Personnel!$G$9:$G$100="Yes")*(94&gt;=Personnel!$E$9:$E$100)*((Personnel!$K$9:$K$100="")+(94&lt;=Personnel!$K$9:$K$100)&gt;0))</f>
        <v>7</v>
      </c>
      <c r="CU43" s="351" t="n">
        <f aca="false">SUMPRODUCT((Personnel!$P$9:$P$100="SUPER")*(Personnel!$G$9:$G$100="Yes")*(95&gt;=Personnel!$E$9:$E$100)*((Personnel!$K$9:$K$100="")+(95&lt;=Personnel!$K$9:$K$100)&gt;0))</f>
        <v>7</v>
      </c>
      <c r="CV43" s="351" t="n">
        <f aca="false">SUMPRODUCT((Personnel!$P$9:$P$100="SUPER")*(Personnel!$G$9:$G$100="Yes")*(96&gt;=Personnel!$E$9:$E$100)*((Personnel!$K$9:$K$100="")+(96&lt;=Personnel!$K$9:$K$100)&gt;0))</f>
        <v>7</v>
      </c>
      <c r="CW43" s="351" t="n">
        <f aca="false">SUMPRODUCT((Personnel!$P$9:$P$100="SUPER")*(Personnel!$G$9:$G$100="Yes")*(97&gt;=Personnel!$E$9:$E$100)*((Personnel!$K$9:$K$100="")+(97&lt;=Personnel!$K$9:$K$100)&gt;0))</f>
        <v>7</v>
      </c>
      <c r="CX43" s="351" t="n">
        <f aca="false">SUMPRODUCT((Personnel!$P$9:$P$100="SUPER")*(Personnel!$G$9:$G$100="Yes")*(98&gt;=Personnel!$E$9:$E$100)*((Personnel!$K$9:$K$100="")+(98&lt;=Personnel!$K$9:$K$100)&gt;0))</f>
        <v>7</v>
      </c>
      <c r="CY43" s="351" t="n">
        <f aca="false">SUMPRODUCT((Personnel!$P$9:$P$100="SUPER")*(Personnel!$G$9:$G$100="Yes")*(99&gt;=Personnel!$E$9:$E$100)*((Personnel!$K$9:$K$100="")+(99&lt;=Personnel!$K$9:$K$100)&gt;0))</f>
        <v>7</v>
      </c>
      <c r="CZ43" s="351" t="n">
        <f aca="false">SUMPRODUCT((Personnel!$P$9:$P$100="SUPER")*(Personnel!$G$9:$G$100="Yes")*(100&gt;=Personnel!$E$9:$E$100)*((Personnel!$K$9:$K$100="")+(100&lt;=Personnel!$K$9:$K$100)&gt;0))</f>
        <v>7</v>
      </c>
      <c r="DA43" s="351" t="n">
        <f aca="false">SUMPRODUCT((Personnel!$P$9:$P$100="SUPER")*(Personnel!$G$9:$G$100="Yes")*(101&gt;=Personnel!$E$9:$E$100)*((Personnel!$K$9:$K$100="")+(101&lt;=Personnel!$K$9:$K$100)&gt;0))</f>
        <v>7</v>
      </c>
      <c r="DB43" s="351" t="n">
        <f aca="false">SUMPRODUCT((Personnel!$P$9:$P$100="SUPER")*(Personnel!$G$9:$G$100="Yes")*(102&gt;=Personnel!$E$9:$E$100)*((Personnel!$K$9:$K$100="")+(102&lt;=Personnel!$K$9:$K$100)&gt;0))</f>
        <v>7</v>
      </c>
      <c r="DC43" s="351" t="n">
        <f aca="false">SUMPRODUCT((Personnel!$P$9:$P$100="SUPER")*(Personnel!$G$9:$G$100="Yes")*(103&gt;=Personnel!$E$9:$E$100)*((Personnel!$K$9:$K$100="")+(103&lt;=Personnel!$K$9:$K$100)&gt;0))</f>
        <v>7</v>
      </c>
      <c r="DD43" s="351" t="n">
        <f aca="false">SUMPRODUCT((Personnel!$P$9:$P$100="SUPER")*(Personnel!$G$9:$G$100="Yes")*(104&gt;=Personnel!$E$9:$E$100)*((Personnel!$K$9:$K$100="")+(104&lt;=Personnel!$K$9:$K$100)&gt;0))</f>
        <v>7</v>
      </c>
      <c r="DE43" s="351" t="n">
        <f aca="false">SUMPRODUCT((Personnel!$P$9:$P$100="SUPER")*(Personnel!$G$9:$G$100="Yes")*(105&gt;=Personnel!$E$9:$E$100)*((Personnel!$K$9:$K$100="")+(105&lt;=Personnel!$K$9:$K$100)&gt;0))</f>
        <v>7</v>
      </c>
    </row>
    <row r="44" customFormat="false" ht="13.5" hidden="false" customHeight="true" outlineLevel="0" collapsed="false">
      <c r="A44" s="109" t="s">
        <v>1174</v>
      </c>
      <c r="E44" s="351" t="n">
        <f aca="false">SUMPRODUCT((Personnel!$P$9:$P$100="APM")*(Personnel!$G$9:$G$100="Yes")*(1&gt;=Personnel!$E$9:$E$100)*((Personnel!$K$9:$K$100="")+(1&lt;=Personnel!$K$9:$K$100)&gt;0))</f>
        <v>1</v>
      </c>
      <c r="F44" s="351" t="n">
        <f aca="false">SUMPRODUCT((Personnel!$P$9:$P$100="APM")*(Personnel!$G$9:$G$100="Yes")*(2&gt;=Personnel!$E$9:$E$100)*((Personnel!$K$9:$K$100="")+(2&lt;=Personnel!$K$9:$K$100)&gt;0))</f>
        <v>2</v>
      </c>
      <c r="G44" s="351" t="n">
        <f aca="false">SUMPRODUCT((Personnel!$P$9:$P$100="APM")*(Personnel!$G$9:$G$100="Yes")*(3&gt;=Personnel!$E$9:$E$100)*((Personnel!$K$9:$K$100="")+(3&lt;=Personnel!$K$9:$K$100)&gt;0))</f>
        <v>2</v>
      </c>
      <c r="H44" s="351" t="n">
        <f aca="false">SUMPRODUCT((Personnel!$P$9:$P$100="APM")*(Personnel!$G$9:$G$100="Yes")*(4&gt;=Personnel!$E$9:$E$100)*((Personnel!$K$9:$K$100="")+(4&lt;=Personnel!$K$9:$K$100)&gt;0))</f>
        <v>2</v>
      </c>
      <c r="I44" s="351" t="n">
        <f aca="false">SUMPRODUCT((Personnel!$P$9:$P$100="APM")*(Personnel!$G$9:$G$100="Yes")*(5&gt;=Personnel!$E$9:$E$100)*((Personnel!$K$9:$K$100="")+(5&lt;=Personnel!$K$9:$K$100)&gt;0))</f>
        <v>1</v>
      </c>
      <c r="J44" s="351" t="n">
        <f aca="false">SUMPRODUCT((Personnel!$P$9:$P$100="APM")*(Personnel!$G$9:$G$100="Yes")*(6&gt;=Personnel!$E$9:$E$100)*((Personnel!$K$9:$K$100="")+(6&lt;=Personnel!$K$9:$K$100)&gt;0))</f>
        <v>2</v>
      </c>
      <c r="K44" s="351" t="n">
        <f aca="false">SUMPRODUCT((Personnel!$P$9:$P$100="APM")*(Personnel!$G$9:$G$100="Yes")*(7&gt;=Personnel!$E$9:$E$100)*((Personnel!$K$9:$K$100="")+(7&lt;=Personnel!$K$9:$K$100)&gt;0))</f>
        <v>2</v>
      </c>
      <c r="L44" s="351" t="n">
        <f aca="false">SUMPRODUCT((Personnel!$P$9:$P$100="APM")*(Personnel!$G$9:$G$100="Yes")*(8&gt;=Personnel!$E$9:$E$100)*((Personnel!$K$9:$K$100="")+(8&lt;=Personnel!$K$9:$K$100)&gt;0))</f>
        <v>2</v>
      </c>
      <c r="M44" s="351" t="n">
        <f aca="false">SUMPRODUCT((Personnel!$P$9:$P$100="APM")*(Personnel!$G$9:$G$100="Yes")*(9&gt;=Personnel!$E$9:$E$100)*((Personnel!$K$9:$K$100="")+(9&lt;=Personnel!$K$9:$K$100)&gt;0))</f>
        <v>2</v>
      </c>
      <c r="N44" s="351" t="n">
        <f aca="false">SUMPRODUCT((Personnel!$P$9:$P$100="APM")*(Personnel!$G$9:$G$100="Yes")*(10&gt;=Personnel!$E$9:$E$100)*((Personnel!$K$9:$K$100="")+(10&lt;=Personnel!$K$9:$K$100)&gt;0))</f>
        <v>2</v>
      </c>
      <c r="O44" s="351" t="n">
        <f aca="false">SUMPRODUCT((Personnel!$P$9:$P$100="APM")*(Personnel!$G$9:$G$100="Yes")*(11&gt;=Personnel!$E$9:$E$100)*((Personnel!$K$9:$K$100="")+(11&lt;=Personnel!$K$9:$K$100)&gt;0))</f>
        <v>2</v>
      </c>
      <c r="P44" s="351" t="n">
        <f aca="false">SUMPRODUCT((Personnel!$P$9:$P$100="APM")*(Personnel!$G$9:$G$100="Yes")*(12&gt;=Personnel!$E$9:$E$100)*((Personnel!$K$9:$K$100="")+(12&lt;=Personnel!$K$9:$K$100)&gt;0))</f>
        <v>2</v>
      </c>
      <c r="Q44" s="351" t="n">
        <f aca="false">SUMPRODUCT((Personnel!$P$9:$P$100="APM")*(Personnel!$G$9:$G$100="Yes")*(13&gt;=Personnel!$E$9:$E$100)*((Personnel!$K$9:$K$100="")+(13&lt;=Personnel!$K$9:$K$100)&gt;0))</f>
        <v>2</v>
      </c>
      <c r="R44" s="351" t="n">
        <f aca="false">SUMPRODUCT((Personnel!$P$9:$P$100="APM")*(Personnel!$G$9:$G$100="Yes")*(14&gt;=Personnel!$E$9:$E$100)*((Personnel!$K$9:$K$100="")+(14&lt;=Personnel!$K$9:$K$100)&gt;0))</f>
        <v>2</v>
      </c>
      <c r="S44" s="351" t="n">
        <f aca="false">SUMPRODUCT((Personnel!$P$9:$P$100="APM")*(Personnel!$G$9:$G$100="Yes")*(15&gt;=Personnel!$E$9:$E$100)*((Personnel!$K$9:$K$100="")+(15&lt;=Personnel!$K$9:$K$100)&gt;0))</f>
        <v>2</v>
      </c>
      <c r="T44" s="351" t="n">
        <f aca="false">SUMPRODUCT((Personnel!$P$9:$P$100="APM")*(Personnel!$G$9:$G$100="Yes")*(16&gt;=Personnel!$E$9:$E$100)*((Personnel!$K$9:$K$100="")+(16&lt;=Personnel!$K$9:$K$100)&gt;0))</f>
        <v>2</v>
      </c>
      <c r="U44" s="351" t="n">
        <f aca="false">SUMPRODUCT((Personnel!$P$9:$P$100="APM")*(Personnel!$G$9:$G$100="Yes")*(17&gt;=Personnel!$E$9:$E$100)*((Personnel!$K$9:$K$100="")+(17&lt;=Personnel!$K$9:$K$100)&gt;0))</f>
        <v>2</v>
      </c>
      <c r="V44" s="351" t="n">
        <f aca="false">SUMPRODUCT((Personnel!$P$9:$P$100="APM")*(Personnel!$G$9:$G$100="Yes")*(18&gt;=Personnel!$E$9:$E$100)*((Personnel!$K$9:$K$100="")+(18&lt;=Personnel!$K$9:$K$100)&gt;0))</f>
        <v>2</v>
      </c>
      <c r="W44" s="351" t="n">
        <f aca="false">SUMPRODUCT((Personnel!$P$9:$P$100="APM")*(Personnel!$G$9:$G$100="Yes")*(19&gt;=Personnel!$E$9:$E$100)*((Personnel!$K$9:$K$100="")+(19&lt;=Personnel!$K$9:$K$100)&gt;0))</f>
        <v>2</v>
      </c>
      <c r="X44" s="351" t="n">
        <f aca="false">SUMPRODUCT((Personnel!$P$9:$P$100="APM")*(Personnel!$G$9:$G$100="Yes")*(20&gt;=Personnel!$E$9:$E$100)*((Personnel!$K$9:$K$100="")+(20&lt;=Personnel!$K$9:$K$100)&gt;0))</f>
        <v>2</v>
      </c>
      <c r="Y44" s="351" t="n">
        <f aca="false">SUMPRODUCT((Personnel!$P$9:$P$100="APM")*(Personnel!$G$9:$G$100="Yes")*(21&gt;=Personnel!$E$9:$E$100)*((Personnel!$K$9:$K$100="")+(21&lt;=Personnel!$K$9:$K$100)&gt;0))</f>
        <v>2</v>
      </c>
      <c r="Z44" s="351" t="n">
        <f aca="false">SUMPRODUCT((Personnel!$P$9:$P$100="APM")*(Personnel!$G$9:$G$100="Yes")*(22&gt;=Personnel!$E$9:$E$100)*((Personnel!$K$9:$K$100="")+(22&lt;=Personnel!$K$9:$K$100)&gt;0))</f>
        <v>2</v>
      </c>
      <c r="AA44" s="351" t="n">
        <f aca="false">SUMPRODUCT((Personnel!$P$9:$P$100="APM")*(Personnel!$G$9:$G$100="Yes")*(23&gt;=Personnel!$E$9:$E$100)*((Personnel!$K$9:$K$100="")+(23&lt;=Personnel!$K$9:$K$100)&gt;0))</f>
        <v>2</v>
      </c>
      <c r="AB44" s="351" t="n">
        <f aca="false">SUMPRODUCT((Personnel!$P$9:$P$100="APM")*(Personnel!$G$9:$G$100="Yes")*(24&gt;=Personnel!$E$9:$E$100)*((Personnel!$K$9:$K$100="")+(24&lt;=Personnel!$K$9:$K$100)&gt;0))</f>
        <v>2</v>
      </c>
      <c r="AC44" s="351" t="n">
        <f aca="false">SUMPRODUCT((Personnel!$P$9:$P$100="APM")*(Personnel!$G$9:$G$100="Yes")*(25&gt;=Personnel!$E$9:$E$100)*((Personnel!$K$9:$K$100="")+(25&lt;=Personnel!$K$9:$K$100)&gt;0))</f>
        <v>2</v>
      </c>
      <c r="AD44" s="351" t="n">
        <f aca="false">SUMPRODUCT((Personnel!$P$9:$P$100="APM")*(Personnel!$G$9:$G$100="Yes")*(26&gt;=Personnel!$E$9:$E$100)*((Personnel!$K$9:$K$100="")+(26&lt;=Personnel!$K$9:$K$100)&gt;0))</f>
        <v>2</v>
      </c>
      <c r="AE44" s="351" t="n">
        <f aca="false">SUMPRODUCT((Personnel!$P$9:$P$100="APM")*(Personnel!$G$9:$G$100="Yes")*(27&gt;=Personnel!$E$9:$E$100)*((Personnel!$K$9:$K$100="")+(27&lt;=Personnel!$K$9:$K$100)&gt;0))</f>
        <v>2</v>
      </c>
      <c r="AF44" s="351" t="n">
        <f aca="false">SUMPRODUCT((Personnel!$P$9:$P$100="APM")*(Personnel!$G$9:$G$100="Yes")*(28&gt;=Personnel!$E$9:$E$100)*((Personnel!$K$9:$K$100="")+(28&lt;=Personnel!$K$9:$K$100)&gt;0))</f>
        <v>2</v>
      </c>
      <c r="AG44" s="351" t="n">
        <f aca="false">SUMPRODUCT((Personnel!$P$9:$P$100="APM")*(Personnel!$G$9:$G$100="Yes")*(29&gt;=Personnel!$E$9:$E$100)*((Personnel!$K$9:$K$100="")+(29&lt;=Personnel!$K$9:$K$100)&gt;0))</f>
        <v>2</v>
      </c>
      <c r="AH44" s="351" t="n">
        <f aca="false">SUMPRODUCT((Personnel!$P$9:$P$100="APM")*(Personnel!$G$9:$G$100="Yes")*(30&gt;=Personnel!$E$9:$E$100)*((Personnel!$K$9:$K$100="")+(30&lt;=Personnel!$K$9:$K$100)&gt;0))</f>
        <v>2</v>
      </c>
      <c r="AI44" s="351" t="n">
        <f aca="false">SUMPRODUCT((Personnel!$P$9:$P$100="APM")*(Personnel!$G$9:$G$100="Yes")*(31&gt;=Personnel!$E$9:$E$100)*((Personnel!$K$9:$K$100="")+(31&lt;=Personnel!$K$9:$K$100)&gt;0))</f>
        <v>2</v>
      </c>
      <c r="AJ44" s="351" t="n">
        <f aca="false">SUMPRODUCT((Personnel!$P$9:$P$100="APM")*(Personnel!$G$9:$G$100="Yes")*(32&gt;=Personnel!$E$9:$E$100)*((Personnel!$K$9:$K$100="")+(32&lt;=Personnel!$K$9:$K$100)&gt;0))</f>
        <v>2</v>
      </c>
      <c r="AK44" s="351" t="n">
        <f aca="false">SUMPRODUCT((Personnel!$P$9:$P$100="APM")*(Personnel!$G$9:$G$100="Yes")*(33&gt;=Personnel!$E$9:$E$100)*((Personnel!$K$9:$K$100="")+(33&lt;=Personnel!$K$9:$K$100)&gt;0))</f>
        <v>2</v>
      </c>
      <c r="AL44" s="351" t="n">
        <f aca="false">SUMPRODUCT((Personnel!$P$9:$P$100="APM")*(Personnel!$G$9:$G$100="Yes")*(34&gt;=Personnel!$E$9:$E$100)*((Personnel!$K$9:$K$100="")+(34&lt;=Personnel!$K$9:$K$100)&gt;0))</f>
        <v>2</v>
      </c>
      <c r="AM44" s="351" t="n">
        <f aca="false">SUMPRODUCT((Personnel!$P$9:$P$100="APM")*(Personnel!$G$9:$G$100="Yes")*(35&gt;=Personnel!$E$9:$E$100)*((Personnel!$K$9:$K$100="")+(35&lt;=Personnel!$K$9:$K$100)&gt;0))</f>
        <v>2</v>
      </c>
      <c r="AN44" s="351" t="n">
        <f aca="false">SUMPRODUCT((Personnel!$P$9:$P$100="APM")*(Personnel!$G$9:$G$100="Yes")*(36&gt;=Personnel!$E$9:$E$100)*((Personnel!$K$9:$K$100="")+(36&lt;=Personnel!$K$9:$K$100)&gt;0))</f>
        <v>2</v>
      </c>
      <c r="AO44" s="351" t="n">
        <f aca="false">SUMPRODUCT((Personnel!$P$9:$P$100="APM")*(Personnel!$G$9:$G$100="Yes")*(37&gt;=Personnel!$E$9:$E$100)*((Personnel!$K$9:$K$100="")+(37&lt;=Personnel!$K$9:$K$100)&gt;0))</f>
        <v>2</v>
      </c>
      <c r="AP44" s="351" t="n">
        <f aca="false">SUMPRODUCT((Personnel!$P$9:$P$100="APM")*(Personnel!$G$9:$G$100="Yes")*(38&gt;=Personnel!$E$9:$E$100)*((Personnel!$K$9:$K$100="")+(38&lt;=Personnel!$K$9:$K$100)&gt;0))</f>
        <v>2</v>
      </c>
      <c r="AQ44" s="351" t="n">
        <f aca="false">SUMPRODUCT((Personnel!$P$9:$P$100="APM")*(Personnel!$G$9:$G$100="Yes")*(39&gt;=Personnel!$E$9:$E$100)*((Personnel!$K$9:$K$100="")+(39&lt;=Personnel!$K$9:$K$100)&gt;0))</f>
        <v>2</v>
      </c>
      <c r="AR44" s="351" t="n">
        <f aca="false">SUMPRODUCT((Personnel!$P$9:$P$100="APM")*(Personnel!$G$9:$G$100="Yes")*(40&gt;=Personnel!$E$9:$E$100)*((Personnel!$K$9:$K$100="")+(40&lt;=Personnel!$K$9:$K$100)&gt;0))</f>
        <v>2</v>
      </c>
      <c r="AS44" s="351" t="n">
        <f aca="false">SUMPRODUCT((Personnel!$P$9:$P$100="APM")*(Personnel!$G$9:$G$100="Yes")*(41&gt;=Personnel!$E$9:$E$100)*((Personnel!$K$9:$K$100="")+(41&lt;=Personnel!$K$9:$K$100)&gt;0))</f>
        <v>2</v>
      </c>
      <c r="AT44" s="351" t="n">
        <f aca="false">SUMPRODUCT((Personnel!$P$9:$P$100="APM")*(Personnel!$G$9:$G$100="Yes")*(42&gt;=Personnel!$E$9:$E$100)*((Personnel!$K$9:$K$100="")+(42&lt;=Personnel!$K$9:$K$100)&gt;0))</f>
        <v>2</v>
      </c>
      <c r="AU44" s="351" t="n">
        <f aca="false">SUMPRODUCT((Personnel!$P$9:$P$100="APM")*(Personnel!$G$9:$G$100="Yes")*(43&gt;=Personnel!$E$9:$E$100)*((Personnel!$K$9:$K$100="")+(43&lt;=Personnel!$K$9:$K$100)&gt;0))</f>
        <v>2</v>
      </c>
      <c r="AV44" s="351" t="n">
        <f aca="false">SUMPRODUCT((Personnel!$P$9:$P$100="APM")*(Personnel!$G$9:$G$100="Yes")*(44&gt;=Personnel!$E$9:$E$100)*((Personnel!$K$9:$K$100="")+(44&lt;=Personnel!$K$9:$K$100)&gt;0))</f>
        <v>2</v>
      </c>
      <c r="AW44" s="351" t="n">
        <f aca="false">SUMPRODUCT((Personnel!$P$9:$P$100="APM")*(Personnel!$G$9:$G$100="Yes")*(45&gt;=Personnel!$E$9:$E$100)*((Personnel!$K$9:$K$100="")+(45&lt;=Personnel!$K$9:$K$100)&gt;0))</f>
        <v>2</v>
      </c>
      <c r="AX44" s="351" t="n">
        <f aca="false">SUMPRODUCT((Personnel!$P$9:$P$100="APM")*(Personnel!$G$9:$G$100="Yes")*(46&gt;=Personnel!$E$9:$E$100)*((Personnel!$K$9:$K$100="")+(46&lt;=Personnel!$K$9:$K$100)&gt;0))</f>
        <v>2</v>
      </c>
      <c r="AY44" s="351" t="n">
        <f aca="false">SUMPRODUCT((Personnel!$P$9:$P$100="APM")*(Personnel!$G$9:$G$100="Yes")*(47&gt;=Personnel!$E$9:$E$100)*((Personnel!$K$9:$K$100="")+(47&lt;=Personnel!$K$9:$K$100)&gt;0))</f>
        <v>2</v>
      </c>
      <c r="AZ44" s="351" t="n">
        <f aca="false">SUMPRODUCT((Personnel!$P$9:$P$100="APM")*(Personnel!$G$9:$G$100="Yes")*(48&gt;=Personnel!$E$9:$E$100)*((Personnel!$K$9:$K$100="")+(48&lt;=Personnel!$K$9:$K$100)&gt;0))</f>
        <v>2</v>
      </c>
      <c r="BA44" s="351" t="n">
        <f aca="false">SUMPRODUCT((Personnel!$P$9:$P$100="APM")*(Personnel!$G$9:$G$100="Yes")*(49&gt;=Personnel!$E$9:$E$100)*((Personnel!$K$9:$K$100="")+(49&lt;=Personnel!$K$9:$K$100)&gt;0))</f>
        <v>2</v>
      </c>
      <c r="BB44" s="351" t="n">
        <f aca="false">SUMPRODUCT((Personnel!$P$9:$P$100="APM")*(Personnel!$G$9:$G$100="Yes")*(50&gt;=Personnel!$E$9:$E$100)*((Personnel!$K$9:$K$100="")+(50&lt;=Personnel!$K$9:$K$100)&gt;0))</f>
        <v>2</v>
      </c>
      <c r="BC44" s="351" t="n">
        <f aca="false">SUMPRODUCT((Personnel!$P$9:$P$100="APM")*(Personnel!$G$9:$G$100="Yes")*(51&gt;=Personnel!$E$9:$E$100)*((Personnel!$K$9:$K$100="")+(51&lt;=Personnel!$K$9:$K$100)&gt;0))</f>
        <v>2</v>
      </c>
      <c r="BD44" s="351" t="n">
        <f aca="false">SUMPRODUCT((Personnel!$P$9:$P$100="APM")*(Personnel!$G$9:$G$100="Yes")*(52&gt;=Personnel!$E$9:$E$100)*((Personnel!$K$9:$K$100="")+(52&lt;=Personnel!$K$9:$K$100)&gt;0))</f>
        <v>2</v>
      </c>
      <c r="BE44" s="351" t="n">
        <f aca="false">SUMPRODUCT((Personnel!$P$9:$P$100="APM")*(Personnel!$G$9:$G$100="Yes")*(53&gt;=Personnel!$E$9:$E$100)*((Personnel!$K$9:$K$100="")+(53&lt;=Personnel!$K$9:$K$100)&gt;0))</f>
        <v>2</v>
      </c>
      <c r="BF44" s="351" t="n">
        <f aca="false">SUMPRODUCT((Personnel!$P$9:$P$100="APM")*(Personnel!$G$9:$G$100="Yes")*(54&gt;=Personnel!$E$9:$E$100)*((Personnel!$K$9:$K$100="")+(54&lt;=Personnel!$K$9:$K$100)&gt;0))</f>
        <v>2</v>
      </c>
      <c r="BG44" s="351" t="n">
        <f aca="false">SUMPRODUCT((Personnel!$P$9:$P$100="APM")*(Personnel!$G$9:$G$100="Yes")*(55&gt;=Personnel!$E$9:$E$100)*((Personnel!$K$9:$K$100="")+(55&lt;=Personnel!$K$9:$K$100)&gt;0))</f>
        <v>2</v>
      </c>
      <c r="BH44" s="351" t="n">
        <f aca="false">SUMPRODUCT((Personnel!$P$9:$P$100="APM")*(Personnel!$G$9:$G$100="Yes")*(56&gt;=Personnel!$E$9:$E$100)*((Personnel!$K$9:$K$100="")+(56&lt;=Personnel!$K$9:$K$100)&gt;0))</f>
        <v>2</v>
      </c>
      <c r="BI44" s="351" t="n">
        <f aca="false">SUMPRODUCT((Personnel!$P$9:$P$100="APM")*(Personnel!$G$9:$G$100="Yes")*(57&gt;=Personnel!$E$9:$E$100)*((Personnel!$K$9:$K$100="")+(57&lt;=Personnel!$K$9:$K$100)&gt;0))</f>
        <v>2</v>
      </c>
      <c r="BJ44" s="351" t="n">
        <f aca="false">SUMPRODUCT((Personnel!$P$9:$P$100="APM")*(Personnel!$G$9:$G$100="Yes")*(58&gt;=Personnel!$E$9:$E$100)*((Personnel!$K$9:$K$100="")+(58&lt;=Personnel!$K$9:$K$100)&gt;0))</f>
        <v>2</v>
      </c>
      <c r="BK44" s="351" t="n">
        <f aca="false">SUMPRODUCT((Personnel!$P$9:$P$100="APM")*(Personnel!$G$9:$G$100="Yes")*(59&gt;=Personnel!$E$9:$E$100)*((Personnel!$K$9:$K$100="")+(59&lt;=Personnel!$K$9:$K$100)&gt;0))</f>
        <v>2</v>
      </c>
      <c r="BL44" s="351" t="n">
        <f aca="false">SUMPRODUCT((Personnel!$P$9:$P$100="APM")*(Personnel!$G$9:$G$100="Yes")*(60&gt;=Personnel!$E$9:$E$100)*((Personnel!$K$9:$K$100="")+(60&lt;=Personnel!$K$9:$K$100)&gt;0))</f>
        <v>2</v>
      </c>
      <c r="BM44" s="351" t="n">
        <f aca="false">SUMPRODUCT((Personnel!$P$9:$P$100="APM")*(Personnel!$G$9:$G$100="Yes")*(61&gt;=Personnel!$E$9:$E$100)*((Personnel!$K$9:$K$100="")+(61&lt;=Personnel!$K$9:$K$100)&gt;0))</f>
        <v>2</v>
      </c>
      <c r="BN44" s="351" t="n">
        <f aca="false">SUMPRODUCT((Personnel!$P$9:$P$100="APM")*(Personnel!$G$9:$G$100="Yes")*(62&gt;=Personnel!$E$9:$E$100)*((Personnel!$K$9:$K$100="")+(62&lt;=Personnel!$K$9:$K$100)&gt;0))</f>
        <v>2</v>
      </c>
      <c r="BO44" s="351" t="n">
        <f aca="false">SUMPRODUCT((Personnel!$P$9:$P$100="APM")*(Personnel!$G$9:$G$100="Yes")*(63&gt;=Personnel!$E$9:$E$100)*((Personnel!$K$9:$K$100="")+(63&lt;=Personnel!$K$9:$K$100)&gt;0))</f>
        <v>2</v>
      </c>
      <c r="BP44" s="351" t="n">
        <f aca="false">SUMPRODUCT((Personnel!$P$9:$P$100="APM")*(Personnel!$G$9:$G$100="Yes")*(64&gt;=Personnel!$E$9:$E$100)*((Personnel!$K$9:$K$100="")+(64&lt;=Personnel!$K$9:$K$100)&gt;0))</f>
        <v>2</v>
      </c>
      <c r="BQ44" s="351" t="n">
        <f aca="false">SUMPRODUCT((Personnel!$P$9:$P$100="APM")*(Personnel!$G$9:$G$100="Yes")*(65&gt;=Personnel!$E$9:$E$100)*((Personnel!$K$9:$K$100="")+(65&lt;=Personnel!$K$9:$K$100)&gt;0))</f>
        <v>2</v>
      </c>
      <c r="BR44" s="351" t="n">
        <f aca="false">SUMPRODUCT((Personnel!$P$9:$P$100="APM")*(Personnel!$G$9:$G$100="Yes")*(66&gt;=Personnel!$E$9:$E$100)*((Personnel!$K$9:$K$100="")+(66&lt;=Personnel!$K$9:$K$100)&gt;0))</f>
        <v>2</v>
      </c>
      <c r="BS44" s="351" t="n">
        <f aca="false">SUMPRODUCT((Personnel!$P$9:$P$100="APM")*(Personnel!$G$9:$G$100="Yes")*(67&gt;=Personnel!$E$9:$E$100)*((Personnel!$K$9:$K$100="")+(67&lt;=Personnel!$K$9:$K$100)&gt;0))</f>
        <v>2</v>
      </c>
      <c r="BT44" s="351" t="n">
        <f aca="false">SUMPRODUCT((Personnel!$P$9:$P$100="APM")*(Personnel!$G$9:$G$100="Yes")*(68&gt;=Personnel!$E$9:$E$100)*((Personnel!$K$9:$K$100="")+(68&lt;=Personnel!$K$9:$K$100)&gt;0))</f>
        <v>2</v>
      </c>
      <c r="BU44" s="351" t="n">
        <f aca="false">SUMPRODUCT((Personnel!$P$9:$P$100="APM")*(Personnel!$G$9:$G$100="Yes")*(69&gt;=Personnel!$E$9:$E$100)*((Personnel!$K$9:$K$100="")+(69&lt;=Personnel!$K$9:$K$100)&gt;0))</f>
        <v>2</v>
      </c>
      <c r="BV44" s="351" t="n">
        <f aca="false">SUMPRODUCT((Personnel!$P$9:$P$100="APM")*(Personnel!$G$9:$G$100="Yes")*(70&gt;=Personnel!$E$9:$E$100)*((Personnel!$K$9:$K$100="")+(70&lt;=Personnel!$K$9:$K$100)&gt;0))</f>
        <v>2</v>
      </c>
      <c r="BW44" s="351" t="n">
        <f aca="false">SUMPRODUCT((Personnel!$P$9:$P$100="APM")*(Personnel!$G$9:$G$100="Yes")*(71&gt;=Personnel!$E$9:$E$100)*((Personnel!$K$9:$K$100="")+(71&lt;=Personnel!$K$9:$K$100)&gt;0))</f>
        <v>2</v>
      </c>
      <c r="BX44" s="351" t="n">
        <f aca="false">SUMPRODUCT((Personnel!$P$9:$P$100="APM")*(Personnel!$G$9:$G$100="Yes")*(72&gt;=Personnel!$E$9:$E$100)*((Personnel!$K$9:$K$100="")+(72&lt;=Personnel!$K$9:$K$100)&gt;0))</f>
        <v>2</v>
      </c>
      <c r="BY44" s="351" t="n">
        <f aca="false">SUMPRODUCT((Personnel!$P$9:$P$100="APM")*(Personnel!$G$9:$G$100="Yes")*(73&gt;=Personnel!$E$9:$E$100)*((Personnel!$K$9:$K$100="")+(73&lt;=Personnel!$K$9:$K$100)&gt;0))</f>
        <v>2</v>
      </c>
      <c r="BZ44" s="351" t="n">
        <f aca="false">SUMPRODUCT((Personnel!$P$9:$P$100="APM")*(Personnel!$G$9:$G$100="Yes")*(74&gt;=Personnel!$E$9:$E$100)*((Personnel!$K$9:$K$100="")+(74&lt;=Personnel!$K$9:$K$100)&gt;0))</f>
        <v>2</v>
      </c>
      <c r="CA44" s="351" t="n">
        <f aca="false">SUMPRODUCT((Personnel!$P$9:$P$100="APM")*(Personnel!$G$9:$G$100="Yes")*(75&gt;=Personnel!$E$9:$E$100)*((Personnel!$K$9:$K$100="")+(75&lt;=Personnel!$K$9:$K$100)&gt;0))</f>
        <v>2</v>
      </c>
      <c r="CB44" s="351" t="n">
        <f aca="false">SUMPRODUCT((Personnel!$P$9:$P$100="APM")*(Personnel!$G$9:$G$100="Yes")*(76&gt;=Personnel!$E$9:$E$100)*((Personnel!$K$9:$K$100="")+(76&lt;=Personnel!$K$9:$K$100)&gt;0))</f>
        <v>2</v>
      </c>
      <c r="CC44" s="351" t="n">
        <f aca="false">SUMPRODUCT((Personnel!$P$9:$P$100="APM")*(Personnel!$G$9:$G$100="Yes")*(77&gt;=Personnel!$E$9:$E$100)*((Personnel!$K$9:$K$100="")+(77&lt;=Personnel!$K$9:$K$100)&gt;0))</f>
        <v>2</v>
      </c>
      <c r="CD44" s="351" t="n">
        <f aca="false">SUMPRODUCT((Personnel!$P$9:$P$100="APM")*(Personnel!$G$9:$G$100="Yes")*(78&gt;=Personnel!$E$9:$E$100)*((Personnel!$K$9:$K$100="")+(78&lt;=Personnel!$K$9:$K$100)&gt;0))</f>
        <v>2</v>
      </c>
      <c r="CE44" s="351" t="n">
        <f aca="false">SUMPRODUCT((Personnel!$P$9:$P$100="APM")*(Personnel!$G$9:$G$100="Yes")*(79&gt;=Personnel!$E$9:$E$100)*((Personnel!$K$9:$K$100="")+(79&lt;=Personnel!$K$9:$K$100)&gt;0))</f>
        <v>2</v>
      </c>
      <c r="CF44" s="351" t="n">
        <f aca="false">SUMPRODUCT((Personnel!$P$9:$P$100="APM")*(Personnel!$G$9:$G$100="Yes")*(80&gt;=Personnel!$E$9:$E$100)*((Personnel!$K$9:$K$100="")+(80&lt;=Personnel!$K$9:$K$100)&gt;0))</f>
        <v>2</v>
      </c>
      <c r="CG44" s="351" t="n">
        <f aca="false">SUMPRODUCT((Personnel!$P$9:$P$100="APM")*(Personnel!$G$9:$G$100="Yes")*(81&gt;=Personnel!$E$9:$E$100)*((Personnel!$K$9:$K$100="")+(81&lt;=Personnel!$K$9:$K$100)&gt;0))</f>
        <v>2</v>
      </c>
      <c r="CH44" s="351" t="n">
        <f aca="false">SUMPRODUCT((Personnel!$P$9:$P$100="APM")*(Personnel!$G$9:$G$100="Yes")*(82&gt;=Personnel!$E$9:$E$100)*((Personnel!$K$9:$K$100="")+(82&lt;=Personnel!$K$9:$K$100)&gt;0))</f>
        <v>2</v>
      </c>
      <c r="CI44" s="351" t="n">
        <f aca="false">SUMPRODUCT((Personnel!$P$9:$P$100="APM")*(Personnel!$G$9:$G$100="Yes")*(83&gt;=Personnel!$E$9:$E$100)*((Personnel!$K$9:$K$100="")+(83&lt;=Personnel!$K$9:$K$100)&gt;0))</f>
        <v>2</v>
      </c>
      <c r="CJ44" s="351" t="n">
        <f aca="false">SUMPRODUCT((Personnel!$P$9:$P$100="APM")*(Personnel!$G$9:$G$100="Yes")*(84&gt;=Personnel!$E$9:$E$100)*((Personnel!$K$9:$K$100="")+(84&lt;=Personnel!$K$9:$K$100)&gt;0))</f>
        <v>2</v>
      </c>
      <c r="CK44" s="351" t="n">
        <f aca="false">SUMPRODUCT((Personnel!$P$9:$P$100="APM")*(Personnel!$G$9:$G$100="Yes")*(85&gt;=Personnel!$E$9:$E$100)*((Personnel!$K$9:$K$100="")+(85&lt;=Personnel!$K$9:$K$100)&gt;0))</f>
        <v>2</v>
      </c>
      <c r="CL44" s="351" t="n">
        <f aca="false">SUMPRODUCT((Personnel!$P$9:$P$100="APM")*(Personnel!$G$9:$G$100="Yes")*(86&gt;=Personnel!$E$9:$E$100)*((Personnel!$K$9:$K$100="")+(86&lt;=Personnel!$K$9:$K$100)&gt;0))</f>
        <v>2</v>
      </c>
      <c r="CM44" s="351" t="n">
        <f aca="false">SUMPRODUCT((Personnel!$P$9:$P$100="APM")*(Personnel!$G$9:$G$100="Yes")*(87&gt;=Personnel!$E$9:$E$100)*((Personnel!$K$9:$K$100="")+(87&lt;=Personnel!$K$9:$K$100)&gt;0))</f>
        <v>2</v>
      </c>
      <c r="CN44" s="351" t="n">
        <f aca="false">SUMPRODUCT((Personnel!$P$9:$P$100="APM")*(Personnel!$G$9:$G$100="Yes")*(88&gt;=Personnel!$E$9:$E$100)*((Personnel!$K$9:$K$100="")+(88&lt;=Personnel!$K$9:$K$100)&gt;0))</f>
        <v>2</v>
      </c>
      <c r="CO44" s="351" t="n">
        <f aca="false">SUMPRODUCT((Personnel!$P$9:$P$100="APM")*(Personnel!$G$9:$G$100="Yes")*(89&gt;=Personnel!$E$9:$E$100)*((Personnel!$K$9:$K$100="")+(89&lt;=Personnel!$K$9:$K$100)&gt;0))</f>
        <v>2</v>
      </c>
      <c r="CP44" s="351" t="n">
        <f aca="false">SUMPRODUCT((Personnel!$P$9:$P$100="APM")*(Personnel!$G$9:$G$100="Yes")*(90&gt;=Personnel!$E$9:$E$100)*((Personnel!$K$9:$K$100="")+(90&lt;=Personnel!$K$9:$K$100)&gt;0))</f>
        <v>2</v>
      </c>
      <c r="CQ44" s="351" t="n">
        <f aca="false">SUMPRODUCT((Personnel!$P$9:$P$100="APM")*(Personnel!$G$9:$G$100="Yes")*(91&gt;=Personnel!$E$9:$E$100)*((Personnel!$K$9:$K$100="")+(91&lt;=Personnel!$K$9:$K$100)&gt;0))</f>
        <v>2</v>
      </c>
      <c r="CR44" s="351" t="n">
        <f aca="false">SUMPRODUCT((Personnel!$P$9:$P$100="APM")*(Personnel!$G$9:$G$100="Yes")*(92&gt;=Personnel!$E$9:$E$100)*((Personnel!$K$9:$K$100="")+(92&lt;=Personnel!$K$9:$K$100)&gt;0))</f>
        <v>2</v>
      </c>
      <c r="CS44" s="351" t="n">
        <f aca="false">SUMPRODUCT((Personnel!$P$9:$P$100="APM")*(Personnel!$G$9:$G$100="Yes")*(93&gt;=Personnel!$E$9:$E$100)*((Personnel!$K$9:$K$100="")+(93&lt;=Personnel!$K$9:$K$100)&gt;0))</f>
        <v>2</v>
      </c>
      <c r="CT44" s="351" t="n">
        <f aca="false">SUMPRODUCT((Personnel!$P$9:$P$100="APM")*(Personnel!$G$9:$G$100="Yes")*(94&gt;=Personnel!$E$9:$E$100)*((Personnel!$K$9:$K$100="")+(94&lt;=Personnel!$K$9:$K$100)&gt;0))</f>
        <v>2</v>
      </c>
      <c r="CU44" s="351" t="n">
        <f aca="false">SUMPRODUCT((Personnel!$P$9:$P$100="APM")*(Personnel!$G$9:$G$100="Yes")*(95&gt;=Personnel!$E$9:$E$100)*((Personnel!$K$9:$K$100="")+(95&lt;=Personnel!$K$9:$K$100)&gt;0))</f>
        <v>2</v>
      </c>
      <c r="CV44" s="351" t="n">
        <f aca="false">SUMPRODUCT((Personnel!$P$9:$P$100="APM")*(Personnel!$G$9:$G$100="Yes")*(96&gt;=Personnel!$E$9:$E$100)*((Personnel!$K$9:$K$100="")+(96&lt;=Personnel!$K$9:$K$100)&gt;0))</f>
        <v>2</v>
      </c>
      <c r="CW44" s="351" t="n">
        <f aca="false">SUMPRODUCT((Personnel!$P$9:$P$100="APM")*(Personnel!$G$9:$G$100="Yes")*(97&gt;=Personnel!$E$9:$E$100)*((Personnel!$K$9:$K$100="")+(97&lt;=Personnel!$K$9:$K$100)&gt;0))</f>
        <v>2</v>
      </c>
      <c r="CX44" s="351" t="n">
        <f aca="false">SUMPRODUCT((Personnel!$P$9:$P$100="APM")*(Personnel!$G$9:$G$100="Yes")*(98&gt;=Personnel!$E$9:$E$100)*((Personnel!$K$9:$K$100="")+(98&lt;=Personnel!$K$9:$K$100)&gt;0))</f>
        <v>2</v>
      </c>
      <c r="CY44" s="351" t="n">
        <f aca="false">SUMPRODUCT((Personnel!$P$9:$P$100="APM")*(Personnel!$G$9:$G$100="Yes")*(99&gt;=Personnel!$E$9:$E$100)*((Personnel!$K$9:$K$100="")+(99&lt;=Personnel!$K$9:$K$100)&gt;0))</f>
        <v>2</v>
      </c>
      <c r="CZ44" s="351" t="n">
        <f aca="false">SUMPRODUCT((Personnel!$P$9:$P$100="APM")*(Personnel!$G$9:$G$100="Yes")*(100&gt;=Personnel!$E$9:$E$100)*((Personnel!$K$9:$K$100="")+(100&lt;=Personnel!$K$9:$K$100)&gt;0))</f>
        <v>2</v>
      </c>
      <c r="DA44" s="351" t="n">
        <f aca="false">SUMPRODUCT((Personnel!$P$9:$P$100="APM")*(Personnel!$G$9:$G$100="Yes")*(101&gt;=Personnel!$E$9:$E$100)*((Personnel!$K$9:$K$100="")+(101&lt;=Personnel!$K$9:$K$100)&gt;0))</f>
        <v>2</v>
      </c>
      <c r="DB44" s="351" t="n">
        <f aca="false">SUMPRODUCT((Personnel!$P$9:$P$100="APM")*(Personnel!$G$9:$G$100="Yes")*(102&gt;=Personnel!$E$9:$E$100)*((Personnel!$K$9:$K$100="")+(102&lt;=Personnel!$K$9:$K$100)&gt;0))</f>
        <v>2</v>
      </c>
      <c r="DC44" s="351" t="n">
        <f aca="false">SUMPRODUCT((Personnel!$P$9:$P$100="APM")*(Personnel!$G$9:$G$100="Yes")*(103&gt;=Personnel!$E$9:$E$100)*((Personnel!$K$9:$K$100="")+(103&lt;=Personnel!$K$9:$K$100)&gt;0))</f>
        <v>2</v>
      </c>
      <c r="DD44" s="351" t="n">
        <f aca="false">SUMPRODUCT((Personnel!$P$9:$P$100="APM")*(Personnel!$G$9:$G$100="Yes")*(104&gt;=Personnel!$E$9:$E$100)*((Personnel!$K$9:$K$100="")+(104&lt;=Personnel!$K$9:$K$100)&gt;0))</f>
        <v>2</v>
      </c>
      <c r="DE44" s="351" t="n">
        <f aca="false">SUMPRODUCT((Personnel!$P$9:$P$100="APM")*(Personnel!$G$9:$G$100="Yes")*(105&gt;=Personnel!$E$9:$E$100)*((Personnel!$K$9:$K$100="")+(105&lt;=Personnel!$K$9:$K$100)&gt;0))</f>
        <v>2</v>
      </c>
    </row>
    <row r="45" customFormat="false" ht="13.5" hidden="false" customHeight="true" outlineLevel="0" collapsed="false">
      <c r="A45" s="109" t="s">
        <v>1175</v>
      </c>
      <c r="E45" s="351" t="n">
        <f aca="false">SUMPRODUCT((Personnel!$P$9:$P$100="PM")*(Personnel!$G$9:$G$100="Yes")*(1&gt;=Personnel!$E$9:$E$100)*((Personnel!$K$9:$K$100="")+(1&lt;=Personnel!$K$9:$K$100)&gt;0))</f>
        <v>3</v>
      </c>
      <c r="F45" s="351" t="n">
        <f aca="false">SUMPRODUCT((Personnel!$P$9:$P$100="PM")*(Personnel!$G$9:$G$100="Yes")*(2&gt;=Personnel!$E$9:$E$100)*((Personnel!$K$9:$K$100="")+(2&lt;=Personnel!$K$9:$K$100)&gt;0))</f>
        <v>3</v>
      </c>
      <c r="G45" s="351" t="n">
        <f aca="false">SUMPRODUCT((Personnel!$P$9:$P$100="PM")*(Personnel!$G$9:$G$100="Yes")*(3&gt;=Personnel!$E$9:$E$100)*((Personnel!$K$9:$K$100="")+(3&lt;=Personnel!$K$9:$K$100)&gt;0))</f>
        <v>3</v>
      </c>
      <c r="H45" s="351" t="n">
        <f aca="false">SUMPRODUCT((Personnel!$P$9:$P$100="PM")*(Personnel!$G$9:$G$100="Yes")*(4&gt;=Personnel!$E$9:$E$100)*((Personnel!$K$9:$K$100="")+(4&lt;=Personnel!$K$9:$K$100)&gt;0))</f>
        <v>3</v>
      </c>
      <c r="I45" s="351" t="n">
        <f aca="false">SUMPRODUCT((Personnel!$P$9:$P$100="PM")*(Personnel!$G$9:$G$100="Yes")*(5&gt;=Personnel!$E$9:$E$100)*((Personnel!$K$9:$K$100="")+(5&lt;=Personnel!$K$9:$K$100)&gt;0))</f>
        <v>3</v>
      </c>
      <c r="J45" s="351" t="n">
        <f aca="false">SUMPRODUCT((Personnel!$P$9:$P$100="PM")*(Personnel!$G$9:$G$100="Yes")*(6&gt;=Personnel!$E$9:$E$100)*((Personnel!$K$9:$K$100="")+(6&lt;=Personnel!$K$9:$K$100)&gt;0))</f>
        <v>3</v>
      </c>
      <c r="K45" s="351" t="n">
        <f aca="false">SUMPRODUCT((Personnel!$P$9:$P$100="PM")*(Personnel!$G$9:$G$100="Yes")*(7&gt;=Personnel!$E$9:$E$100)*((Personnel!$K$9:$K$100="")+(7&lt;=Personnel!$K$9:$K$100)&gt;0))</f>
        <v>3</v>
      </c>
      <c r="L45" s="351" t="n">
        <f aca="false">SUMPRODUCT((Personnel!$P$9:$P$100="PM")*(Personnel!$G$9:$G$100="Yes")*(8&gt;=Personnel!$E$9:$E$100)*((Personnel!$K$9:$K$100="")+(8&lt;=Personnel!$K$9:$K$100)&gt;0))</f>
        <v>3</v>
      </c>
      <c r="M45" s="351" t="n">
        <f aca="false">SUMPRODUCT((Personnel!$P$9:$P$100="PM")*(Personnel!$G$9:$G$100="Yes")*(9&gt;=Personnel!$E$9:$E$100)*((Personnel!$K$9:$K$100="")+(9&lt;=Personnel!$K$9:$K$100)&gt;0))</f>
        <v>3</v>
      </c>
      <c r="N45" s="351" t="n">
        <f aca="false">SUMPRODUCT((Personnel!$P$9:$P$100="PM")*(Personnel!$G$9:$G$100="Yes")*(10&gt;=Personnel!$E$9:$E$100)*((Personnel!$K$9:$K$100="")+(10&lt;=Personnel!$K$9:$K$100)&gt;0))</f>
        <v>3</v>
      </c>
      <c r="O45" s="351" t="n">
        <f aca="false">SUMPRODUCT((Personnel!$P$9:$P$100="PM")*(Personnel!$G$9:$G$100="Yes")*(11&gt;=Personnel!$E$9:$E$100)*((Personnel!$K$9:$K$100="")+(11&lt;=Personnel!$K$9:$K$100)&gt;0))</f>
        <v>3</v>
      </c>
      <c r="P45" s="351" t="n">
        <f aca="false">SUMPRODUCT((Personnel!$P$9:$P$100="PM")*(Personnel!$G$9:$G$100="Yes")*(12&gt;=Personnel!$E$9:$E$100)*((Personnel!$K$9:$K$100="")+(12&lt;=Personnel!$K$9:$K$100)&gt;0))</f>
        <v>3</v>
      </c>
      <c r="Q45" s="351" t="n">
        <f aca="false">SUMPRODUCT((Personnel!$P$9:$P$100="PM")*(Personnel!$G$9:$G$100="Yes")*(13&gt;=Personnel!$E$9:$E$100)*((Personnel!$K$9:$K$100="")+(13&lt;=Personnel!$K$9:$K$100)&gt;0))</f>
        <v>3</v>
      </c>
      <c r="R45" s="351" t="n">
        <f aca="false">SUMPRODUCT((Personnel!$P$9:$P$100="PM")*(Personnel!$G$9:$G$100="Yes")*(14&gt;=Personnel!$E$9:$E$100)*((Personnel!$K$9:$K$100="")+(14&lt;=Personnel!$K$9:$K$100)&gt;0))</f>
        <v>3</v>
      </c>
      <c r="S45" s="351" t="n">
        <f aca="false">SUMPRODUCT((Personnel!$P$9:$P$100="PM")*(Personnel!$G$9:$G$100="Yes")*(15&gt;=Personnel!$E$9:$E$100)*((Personnel!$K$9:$K$100="")+(15&lt;=Personnel!$K$9:$K$100)&gt;0))</f>
        <v>3</v>
      </c>
      <c r="T45" s="351" t="n">
        <f aca="false">SUMPRODUCT((Personnel!$P$9:$P$100="PM")*(Personnel!$G$9:$G$100="Yes")*(16&gt;=Personnel!$E$9:$E$100)*((Personnel!$K$9:$K$100="")+(16&lt;=Personnel!$K$9:$K$100)&gt;0))</f>
        <v>3</v>
      </c>
      <c r="U45" s="351" t="n">
        <f aca="false">SUMPRODUCT((Personnel!$P$9:$P$100="PM")*(Personnel!$G$9:$G$100="Yes")*(17&gt;=Personnel!$E$9:$E$100)*((Personnel!$K$9:$K$100="")+(17&lt;=Personnel!$K$9:$K$100)&gt;0))</f>
        <v>3</v>
      </c>
      <c r="V45" s="351" t="n">
        <f aca="false">SUMPRODUCT((Personnel!$P$9:$P$100="PM")*(Personnel!$G$9:$G$100="Yes")*(18&gt;=Personnel!$E$9:$E$100)*((Personnel!$K$9:$K$100="")+(18&lt;=Personnel!$K$9:$K$100)&gt;0))</f>
        <v>3</v>
      </c>
      <c r="W45" s="351" t="n">
        <f aca="false">SUMPRODUCT((Personnel!$P$9:$P$100="PM")*(Personnel!$G$9:$G$100="Yes")*(19&gt;=Personnel!$E$9:$E$100)*((Personnel!$K$9:$K$100="")+(19&lt;=Personnel!$K$9:$K$100)&gt;0))</f>
        <v>3</v>
      </c>
      <c r="X45" s="351" t="n">
        <f aca="false">SUMPRODUCT((Personnel!$P$9:$P$100="PM")*(Personnel!$G$9:$G$100="Yes")*(20&gt;=Personnel!$E$9:$E$100)*((Personnel!$K$9:$K$100="")+(20&lt;=Personnel!$K$9:$K$100)&gt;0))</f>
        <v>3</v>
      </c>
      <c r="Y45" s="351" t="n">
        <f aca="false">SUMPRODUCT((Personnel!$P$9:$P$100="PM")*(Personnel!$G$9:$G$100="Yes")*(21&gt;=Personnel!$E$9:$E$100)*((Personnel!$K$9:$K$100="")+(21&lt;=Personnel!$K$9:$K$100)&gt;0))</f>
        <v>3</v>
      </c>
      <c r="Z45" s="351" t="n">
        <f aca="false">SUMPRODUCT((Personnel!$P$9:$P$100="PM")*(Personnel!$G$9:$G$100="Yes")*(22&gt;=Personnel!$E$9:$E$100)*((Personnel!$K$9:$K$100="")+(22&lt;=Personnel!$K$9:$K$100)&gt;0))</f>
        <v>3</v>
      </c>
      <c r="AA45" s="351" t="n">
        <f aca="false">SUMPRODUCT((Personnel!$P$9:$P$100="PM")*(Personnel!$G$9:$G$100="Yes")*(23&gt;=Personnel!$E$9:$E$100)*((Personnel!$K$9:$K$100="")+(23&lt;=Personnel!$K$9:$K$100)&gt;0))</f>
        <v>3</v>
      </c>
      <c r="AB45" s="351" t="n">
        <f aca="false">SUMPRODUCT((Personnel!$P$9:$P$100="PM")*(Personnel!$G$9:$G$100="Yes")*(24&gt;=Personnel!$E$9:$E$100)*((Personnel!$K$9:$K$100="")+(24&lt;=Personnel!$K$9:$K$100)&gt;0))</f>
        <v>3</v>
      </c>
      <c r="AC45" s="351" t="n">
        <f aca="false">SUMPRODUCT((Personnel!$P$9:$P$100="PM")*(Personnel!$G$9:$G$100="Yes")*(25&gt;=Personnel!$E$9:$E$100)*((Personnel!$K$9:$K$100="")+(25&lt;=Personnel!$K$9:$K$100)&gt;0))</f>
        <v>3</v>
      </c>
      <c r="AD45" s="351" t="n">
        <f aca="false">SUMPRODUCT((Personnel!$P$9:$P$100="PM")*(Personnel!$G$9:$G$100="Yes")*(26&gt;=Personnel!$E$9:$E$100)*((Personnel!$K$9:$K$100="")+(26&lt;=Personnel!$K$9:$K$100)&gt;0))</f>
        <v>3</v>
      </c>
      <c r="AE45" s="351" t="n">
        <f aca="false">SUMPRODUCT((Personnel!$P$9:$P$100="PM")*(Personnel!$G$9:$G$100="Yes")*(27&gt;=Personnel!$E$9:$E$100)*((Personnel!$K$9:$K$100="")+(27&lt;=Personnel!$K$9:$K$100)&gt;0))</f>
        <v>3</v>
      </c>
      <c r="AF45" s="351" t="n">
        <f aca="false">SUMPRODUCT((Personnel!$P$9:$P$100="PM")*(Personnel!$G$9:$G$100="Yes")*(28&gt;=Personnel!$E$9:$E$100)*((Personnel!$K$9:$K$100="")+(28&lt;=Personnel!$K$9:$K$100)&gt;0))</f>
        <v>3</v>
      </c>
      <c r="AG45" s="351" t="n">
        <f aca="false">SUMPRODUCT((Personnel!$P$9:$P$100="PM")*(Personnel!$G$9:$G$100="Yes")*(29&gt;=Personnel!$E$9:$E$100)*((Personnel!$K$9:$K$100="")+(29&lt;=Personnel!$K$9:$K$100)&gt;0))</f>
        <v>3</v>
      </c>
      <c r="AH45" s="351" t="n">
        <f aca="false">SUMPRODUCT((Personnel!$P$9:$P$100="PM")*(Personnel!$G$9:$G$100="Yes")*(30&gt;=Personnel!$E$9:$E$100)*((Personnel!$K$9:$K$100="")+(30&lt;=Personnel!$K$9:$K$100)&gt;0))</f>
        <v>3</v>
      </c>
      <c r="AI45" s="351" t="n">
        <f aca="false">SUMPRODUCT((Personnel!$P$9:$P$100="PM")*(Personnel!$G$9:$G$100="Yes")*(31&gt;=Personnel!$E$9:$E$100)*((Personnel!$K$9:$K$100="")+(31&lt;=Personnel!$K$9:$K$100)&gt;0))</f>
        <v>3</v>
      </c>
      <c r="AJ45" s="351" t="n">
        <f aca="false">SUMPRODUCT((Personnel!$P$9:$P$100="PM")*(Personnel!$G$9:$G$100="Yes")*(32&gt;=Personnel!$E$9:$E$100)*((Personnel!$K$9:$K$100="")+(32&lt;=Personnel!$K$9:$K$100)&gt;0))</f>
        <v>3</v>
      </c>
      <c r="AK45" s="351" t="n">
        <f aca="false">SUMPRODUCT((Personnel!$P$9:$P$100="PM")*(Personnel!$G$9:$G$100="Yes")*(33&gt;=Personnel!$E$9:$E$100)*((Personnel!$K$9:$K$100="")+(33&lt;=Personnel!$K$9:$K$100)&gt;0))</f>
        <v>3</v>
      </c>
      <c r="AL45" s="351" t="n">
        <f aca="false">SUMPRODUCT((Personnel!$P$9:$P$100="PM")*(Personnel!$G$9:$G$100="Yes")*(34&gt;=Personnel!$E$9:$E$100)*((Personnel!$K$9:$K$100="")+(34&lt;=Personnel!$K$9:$K$100)&gt;0))</f>
        <v>3</v>
      </c>
      <c r="AM45" s="351" t="n">
        <f aca="false">SUMPRODUCT((Personnel!$P$9:$P$100="PM")*(Personnel!$G$9:$G$100="Yes")*(35&gt;=Personnel!$E$9:$E$100)*((Personnel!$K$9:$K$100="")+(35&lt;=Personnel!$K$9:$K$100)&gt;0))</f>
        <v>3</v>
      </c>
      <c r="AN45" s="351" t="n">
        <f aca="false">SUMPRODUCT((Personnel!$P$9:$P$100="PM")*(Personnel!$G$9:$G$100="Yes")*(36&gt;=Personnel!$E$9:$E$100)*((Personnel!$K$9:$K$100="")+(36&lt;=Personnel!$K$9:$K$100)&gt;0))</f>
        <v>3</v>
      </c>
      <c r="AO45" s="351" t="n">
        <f aca="false">SUMPRODUCT((Personnel!$P$9:$P$100="PM")*(Personnel!$G$9:$G$100="Yes")*(37&gt;=Personnel!$E$9:$E$100)*((Personnel!$K$9:$K$100="")+(37&lt;=Personnel!$K$9:$K$100)&gt;0))</f>
        <v>3</v>
      </c>
      <c r="AP45" s="351" t="n">
        <f aca="false">SUMPRODUCT((Personnel!$P$9:$P$100="PM")*(Personnel!$G$9:$G$100="Yes")*(38&gt;=Personnel!$E$9:$E$100)*((Personnel!$K$9:$K$100="")+(38&lt;=Personnel!$K$9:$K$100)&gt;0))</f>
        <v>3</v>
      </c>
      <c r="AQ45" s="351" t="n">
        <f aca="false">SUMPRODUCT((Personnel!$P$9:$P$100="PM")*(Personnel!$G$9:$G$100="Yes")*(39&gt;=Personnel!$E$9:$E$100)*((Personnel!$K$9:$K$100="")+(39&lt;=Personnel!$K$9:$K$100)&gt;0))</f>
        <v>3</v>
      </c>
      <c r="AR45" s="351" t="n">
        <f aca="false">SUMPRODUCT((Personnel!$P$9:$P$100="PM")*(Personnel!$G$9:$G$100="Yes")*(40&gt;=Personnel!$E$9:$E$100)*((Personnel!$K$9:$K$100="")+(40&lt;=Personnel!$K$9:$K$100)&gt;0))</f>
        <v>3</v>
      </c>
      <c r="AS45" s="351" t="n">
        <f aca="false">SUMPRODUCT((Personnel!$P$9:$P$100="PM")*(Personnel!$G$9:$G$100="Yes")*(41&gt;=Personnel!$E$9:$E$100)*((Personnel!$K$9:$K$100="")+(41&lt;=Personnel!$K$9:$K$100)&gt;0))</f>
        <v>3</v>
      </c>
      <c r="AT45" s="351" t="n">
        <f aca="false">SUMPRODUCT((Personnel!$P$9:$P$100="PM")*(Personnel!$G$9:$G$100="Yes")*(42&gt;=Personnel!$E$9:$E$100)*((Personnel!$K$9:$K$100="")+(42&lt;=Personnel!$K$9:$K$100)&gt;0))</f>
        <v>3</v>
      </c>
      <c r="AU45" s="351" t="n">
        <f aca="false">SUMPRODUCT((Personnel!$P$9:$P$100="PM")*(Personnel!$G$9:$G$100="Yes")*(43&gt;=Personnel!$E$9:$E$100)*((Personnel!$K$9:$K$100="")+(43&lt;=Personnel!$K$9:$K$100)&gt;0))</f>
        <v>3</v>
      </c>
      <c r="AV45" s="351" t="n">
        <f aca="false">SUMPRODUCT((Personnel!$P$9:$P$100="PM")*(Personnel!$G$9:$G$100="Yes")*(44&gt;=Personnel!$E$9:$E$100)*((Personnel!$K$9:$K$100="")+(44&lt;=Personnel!$K$9:$K$100)&gt;0))</f>
        <v>3</v>
      </c>
      <c r="AW45" s="351" t="n">
        <f aca="false">SUMPRODUCT((Personnel!$P$9:$P$100="PM")*(Personnel!$G$9:$G$100="Yes")*(45&gt;=Personnel!$E$9:$E$100)*((Personnel!$K$9:$K$100="")+(45&lt;=Personnel!$K$9:$K$100)&gt;0))</f>
        <v>3</v>
      </c>
      <c r="AX45" s="351" t="n">
        <f aca="false">SUMPRODUCT((Personnel!$P$9:$P$100="PM")*(Personnel!$G$9:$G$100="Yes")*(46&gt;=Personnel!$E$9:$E$100)*((Personnel!$K$9:$K$100="")+(46&lt;=Personnel!$K$9:$K$100)&gt;0))</f>
        <v>3</v>
      </c>
      <c r="AY45" s="351" t="n">
        <f aca="false">SUMPRODUCT((Personnel!$P$9:$P$100="PM")*(Personnel!$G$9:$G$100="Yes")*(47&gt;=Personnel!$E$9:$E$100)*((Personnel!$K$9:$K$100="")+(47&lt;=Personnel!$K$9:$K$100)&gt;0))</f>
        <v>3</v>
      </c>
      <c r="AZ45" s="351" t="n">
        <f aca="false">SUMPRODUCT((Personnel!$P$9:$P$100="PM")*(Personnel!$G$9:$G$100="Yes")*(48&gt;=Personnel!$E$9:$E$100)*((Personnel!$K$9:$K$100="")+(48&lt;=Personnel!$K$9:$K$100)&gt;0))</f>
        <v>3</v>
      </c>
      <c r="BA45" s="351" t="n">
        <f aca="false">SUMPRODUCT((Personnel!$P$9:$P$100="PM")*(Personnel!$G$9:$G$100="Yes")*(49&gt;=Personnel!$E$9:$E$100)*((Personnel!$K$9:$K$100="")+(49&lt;=Personnel!$K$9:$K$100)&gt;0))</f>
        <v>3</v>
      </c>
      <c r="BB45" s="351" t="n">
        <f aca="false">SUMPRODUCT((Personnel!$P$9:$P$100="PM")*(Personnel!$G$9:$G$100="Yes")*(50&gt;=Personnel!$E$9:$E$100)*((Personnel!$K$9:$K$100="")+(50&lt;=Personnel!$K$9:$K$100)&gt;0))</f>
        <v>3</v>
      </c>
      <c r="BC45" s="351" t="n">
        <f aca="false">SUMPRODUCT((Personnel!$P$9:$P$100="PM")*(Personnel!$G$9:$G$100="Yes")*(51&gt;=Personnel!$E$9:$E$100)*((Personnel!$K$9:$K$100="")+(51&lt;=Personnel!$K$9:$K$100)&gt;0))</f>
        <v>3</v>
      </c>
      <c r="BD45" s="351" t="n">
        <f aca="false">SUMPRODUCT((Personnel!$P$9:$P$100="PM")*(Personnel!$G$9:$G$100="Yes")*(52&gt;=Personnel!$E$9:$E$100)*((Personnel!$K$9:$K$100="")+(52&lt;=Personnel!$K$9:$K$100)&gt;0))</f>
        <v>3</v>
      </c>
      <c r="BE45" s="351" t="n">
        <f aca="false">SUMPRODUCT((Personnel!$P$9:$P$100="PM")*(Personnel!$G$9:$G$100="Yes")*(53&gt;=Personnel!$E$9:$E$100)*((Personnel!$K$9:$K$100="")+(53&lt;=Personnel!$K$9:$K$100)&gt;0))</f>
        <v>3</v>
      </c>
      <c r="BF45" s="351" t="n">
        <f aca="false">SUMPRODUCT((Personnel!$P$9:$P$100="PM")*(Personnel!$G$9:$G$100="Yes")*(54&gt;=Personnel!$E$9:$E$100)*((Personnel!$K$9:$K$100="")+(54&lt;=Personnel!$K$9:$K$100)&gt;0))</f>
        <v>3</v>
      </c>
      <c r="BG45" s="351" t="n">
        <f aca="false">SUMPRODUCT((Personnel!$P$9:$P$100="PM")*(Personnel!$G$9:$G$100="Yes")*(55&gt;=Personnel!$E$9:$E$100)*((Personnel!$K$9:$K$100="")+(55&lt;=Personnel!$K$9:$K$100)&gt;0))</f>
        <v>3</v>
      </c>
      <c r="BH45" s="351" t="n">
        <f aca="false">SUMPRODUCT((Personnel!$P$9:$P$100="PM")*(Personnel!$G$9:$G$100="Yes")*(56&gt;=Personnel!$E$9:$E$100)*((Personnel!$K$9:$K$100="")+(56&lt;=Personnel!$K$9:$K$100)&gt;0))</f>
        <v>3</v>
      </c>
      <c r="BI45" s="351" t="n">
        <f aca="false">SUMPRODUCT((Personnel!$P$9:$P$100="PM")*(Personnel!$G$9:$G$100="Yes")*(57&gt;=Personnel!$E$9:$E$100)*((Personnel!$K$9:$K$100="")+(57&lt;=Personnel!$K$9:$K$100)&gt;0))</f>
        <v>3</v>
      </c>
      <c r="BJ45" s="351" t="n">
        <f aca="false">SUMPRODUCT((Personnel!$P$9:$P$100="PM")*(Personnel!$G$9:$G$100="Yes")*(58&gt;=Personnel!$E$9:$E$100)*((Personnel!$K$9:$K$100="")+(58&lt;=Personnel!$K$9:$K$100)&gt;0))</f>
        <v>3</v>
      </c>
      <c r="BK45" s="351" t="n">
        <f aca="false">SUMPRODUCT((Personnel!$P$9:$P$100="PM")*(Personnel!$G$9:$G$100="Yes")*(59&gt;=Personnel!$E$9:$E$100)*((Personnel!$K$9:$K$100="")+(59&lt;=Personnel!$K$9:$K$100)&gt;0))</f>
        <v>3</v>
      </c>
      <c r="BL45" s="351" t="n">
        <f aca="false">SUMPRODUCT((Personnel!$P$9:$P$100="PM")*(Personnel!$G$9:$G$100="Yes")*(60&gt;=Personnel!$E$9:$E$100)*((Personnel!$K$9:$K$100="")+(60&lt;=Personnel!$K$9:$K$100)&gt;0))</f>
        <v>3</v>
      </c>
      <c r="BM45" s="351" t="n">
        <f aca="false">SUMPRODUCT((Personnel!$P$9:$P$100="PM")*(Personnel!$G$9:$G$100="Yes")*(61&gt;=Personnel!$E$9:$E$100)*((Personnel!$K$9:$K$100="")+(61&lt;=Personnel!$K$9:$K$100)&gt;0))</f>
        <v>3</v>
      </c>
      <c r="BN45" s="351" t="n">
        <f aca="false">SUMPRODUCT((Personnel!$P$9:$P$100="PM")*(Personnel!$G$9:$G$100="Yes")*(62&gt;=Personnel!$E$9:$E$100)*((Personnel!$K$9:$K$100="")+(62&lt;=Personnel!$K$9:$K$100)&gt;0))</f>
        <v>3</v>
      </c>
      <c r="BO45" s="351" t="n">
        <f aca="false">SUMPRODUCT((Personnel!$P$9:$P$100="PM")*(Personnel!$G$9:$G$100="Yes")*(63&gt;=Personnel!$E$9:$E$100)*((Personnel!$K$9:$K$100="")+(63&lt;=Personnel!$K$9:$K$100)&gt;0))</f>
        <v>3</v>
      </c>
      <c r="BP45" s="351" t="n">
        <f aca="false">SUMPRODUCT((Personnel!$P$9:$P$100="PM")*(Personnel!$G$9:$G$100="Yes")*(64&gt;=Personnel!$E$9:$E$100)*((Personnel!$K$9:$K$100="")+(64&lt;=Personnel!$K$9:$K$100)&gt;0))</f>
        <v>3</v>
      </c>
      <c r="BQ45" s="351" t="n">
        <f aca="false">SUMPRODUCT((Personnel!$P$9:$P$100="PM")*(Personnel!$G$9:$G$100="Yes")*(65&gt;=Personnel!$E$9:$E$100)*((Personnel!$K$9:$K$100="")+(65&lt;=Personnel!$K$9:$K$100)&gt;0))</f>
        <v>3</v>
      </c>
      <c r="BR45" s="351" t="n">
        <f aca="false">SUMPRODUCT((Personnel!$P$9:$P$100="PM")*(Personnel!$G$9:$G$100="Yes")*(66&gt;=Personnel!$E$9:$E$100)*((Personnel!$K$9:$K$100="")+(66&lt;=Personnel!$K$9:$K$100)&gt;0))</f>
        <v>3</v>
      </c>
      <c r="BS45" s="351" t="n">
        <f aca="false">SUMPRODUCT((Personnel!$P$9:$P$100="PM")*(Personnel!$G$9:$G$100="Yes")*(67&gt;=Personnel!$E$9:$E$100)*((Personnel!$K$9:$K$100="")+(67&lt;=Personnel!$K$9:$K$100)&gt;0))</f>
        <v>3</v>
      </c>
      <c r="BT45" s="351" t="n">
        <f aca="false">SUMPRODUCT((Personnel!$P$9:$P$100="PM")*(Personnel!$G$9:$G$100="Yes")*(68&gt;=Personnel!$E$9:$E$100)*((Personnel!$K$9:$K$100="")+(68&lt;=Personnel!$K$9:$K$100)&gt;0))</f>
        <v>3</v>
      </c>
      <c r="BU45" s="351" t="n">
        <f aca="false">SUMPRODUCT((Personnel!$P$9:$P$100="PM")*(Personnel!$G$9:$G$100="Yes")*(69&gt;=Personnel!$E$9:$E$100)*((Personnel!$K$9:$K$100="")+(69&lt;=Personnel!$K$9:$K$100)&gt;0))</f>
        <v>3</v>
      </c>
      <c r="BV45" s="351" t="n">
        <f aca="false">SUMPRODUCT((Personnel!$P$9:$P$100="PM")*(Personnel!$G$9:$G$100="Yes")*(70&gt;=Personnel!$E$9:$E$100)*((Personnel!$K$9:$K$100="")+(70&lt;=Personnel!$K$9:$K$100)&gt;0))</f>
        <v>3</v>
      </c>
      <c r="BW45" s="351" t="n">
        <f aca="false">SUMPRODUCT((Personnel!$P$9:$P$100="PM")*(Personnel!$G$9:$G$100="Yes")*(71&gt;=Personnel!$E$9:$E$100)*((Personnel!$K$9:$K$100="")+(71&lt;=Personnel!$K$9:$K$100)&gt;0))</f>
        <v>3</v>
      </c>
      <c r="BX45" s="351" t="n">
        <f aca="false">SUMPRODUCT((Personnel!$P$9:$P$100="PM")*(Personnel!$G$9:$G$100="Yes")*(72&gt;=Personnel!$E$9:$E$100)*((Personnel!$K$9:$K$100="")+(72&lt;=Personnel!$K$9:$K$100)&gt;0))</f>
        <v>3</v>
      </c>
      <c r="BY45" s="351" t="n">
        <f aca="false">SUMPRODUCT((Personnel!$P$9:$P$100="PM")*(Personnel!$G$9:$G$100="Yes")*(73&gt;=Personnel!$E$9:$E$100)*((Personnel!$K$9:$K$100="")+(73&lt;=Personnel!$K$9:$K$100)&gt;0))</f>
        <v>3</v>
      </c>
      <c r="BZ45" s="351" t="n">
        <f aca="false">SUMPRODUCT((Personnel!$P$9:$P$100="PM")*(Personnel!$G$9:$G$100="Yes")*(74&gt;=Personnel!$E$9:$E$100)*((Personnel!$K$9:$K$100="")+(74&lt;=Personnel!$K$9:$K$100)&gt;0))</f>
        <v>3</v>
      </c>
      <c r="CA45" s="351" t="n">
        <f aca="false">SUMPRODUCT((Personnel!$P$9:$P$100="PM")*(Personnel!$G$9:$G$100="Yes")*(75&gt;=Personnel!$E$9:$E$100)*((Personnel!$K$9:$K$100="")+(75&lt;=Personnel!$K$9:$K$100)&gt;0))</f>
        <v>3</v>
      </c>
      <c r="CB45" s="351" t="n">
        <f aca="false">SUMPRODUCT((Personnel!$P$9:$P$100="PM")*(Personnel!$G$9:$G$100="Yes")*(76&gt;=Personnel!$E$9:$E$100)*((Personnel!$K$9:$K$100="")+(76&lt;=Personnel!$K$9:$K$100)&gt;0))</f>
        <v>3</v>
      </c>
      <c r="CC45" s="351" t="n">
        <f aca="false">SUMPRODUCT((Personnel!$P$9:$P$100="PM")*(Personnel!$G$9:$G$100="Yes")*(77&gt;=Personnel!$E$9:$E$100)*((Personnel!$K$9:$K$100="")+(77&lt;=Personnel!$K$9:$K$100)&gt;0))</f>
        <v>3</v>
      </c>
      <c r="CD45" s="351" t="n">
        <f aca="false">SUMPRODUCT((Personnel!$P$9:$P$100="PM")*(Personnel!$G$9:$G$100="Yes")*(78&gt;=Personnel!$E$9:$E$100)*((Personnel!$K$9:$K$100="")+(78&lt;=Personnel!$K$9:$K$100)&gt;0))</f>
        <v>3</v>
      </c>
      <c r="CE45" s="351" t="n">
        <f aca="false">SUMPRODUCT((Personnel!$P$9:$P$100="PM")*(Personnel!$G$9:$G$100="Yes")*(79&gt;=Personnel!$E$9:$E$100)*((Personnel!$K$9:$K$100="")+(79&lt;=Personnel!$K$9:$K$100)&gt;0))</f>
        <v>3</v>
      </c>
      <c r="CF45" s="351" t="n">
        <f aca="false">SUMPRODUCT((Personnel!$P$9:$P$100="PM")*(Personnel!$G$9:$G$100="Yes")*(80&gt;=Personnel!$E$9:$E$100)*((Personnel!$K$9:$K$100="")+(80&lt;=Personnel!$K$9:$K$100)&gt;0))</f>
        <v>3</v>
      </c>
      <c r="CG45" s="351" t="n">
        <f aca="false">SUMPRODUCT((Personnel!$P$9:$P$100="PM")*(Personnel!$G$9:$G$100="Yes")*(81&gt;=Personnel!$E$9:$E$100)*((Personnel!$K$9:$K$100="")+(81&lt;=Personnel!$K$9:$K$100)&gt;0))</f>
        <v>3</v>
      </c>
      <c r="CH45" s="351" t="n">
        <f aca="false">SUMPRODUCT((Personnel!$P$9:$P$100="PM")*(Personnel!$G$9:$G$100="Yes")*(82&gt;=Personnel!$E$9:$E$100)*((Personnel!$K$9:$K$100="")+(82&lt;=Personnel!$K$9:$K$100)&gt;0))</f>
        <v>3</v>
      </c>
      <c r="CI45" s="351" t="n">
        <f aca="false">SUMPRODUCT((Personnel!$P$9:$P$100="PM")*(Personnel!$G$9:$G$100="Yes")*(83&gt;=Personnel!$E$9:$E$100)*((Personnel!$K$9:$K$100="")+(83&lt;=Personnel!$K$9:$K$100)&gt;0))</f>
        <v>3</v>
      </c>
      <c r="CJ45" s="351" t="n">
        <f aca="false">SUMPRODUCT((Personnel!$P$9:$P$100="PM")*(Personnel!$G$9:$G$100="Yes")*(84&gt;=Personnel!$E$9:$E$100)*((Personnel!$K$9:$K$100="")+(84&lt;=Personnel!$K$9:$K$100)&gt;0))</f>
        <v>3</v>
      </c>
      <c r="CK45" s="351" t="n">
        <f aca="false">SUMPRODUCT((Personnel!$P$9:$P$100="PM")*(Personnel!$G$9:$G$100="Yes")*(85&gt;=Personnel!$E$9:$E$100)*((Personnel!$K$9:$K$100="")+(85&lt;=Personnel!$K$9:$K$100)&gt;0))</f>
        <v>3</v>
      </c>
      <c r="CL45" s="351" t="n">
        <f aca="false">SUMPRODUCT((Personnel!$P$9:$P$100="PM")*(Personnel!$G$9:$G$100="Yes")*(86&gt;=Personnel!$E$9:$E$100)*((Personnel!$K$9:$K$100="")+(86&lt;=Personnel!$K$9:$K$100)&gt;0))</f>
        <v>3</v>
      </c>
      <c r="CM45" s="351" t="n">
        <f aca="false">SUMPRODUCT((Personnel!$P$9:$P$100="PM")*(Personnel!$G$9:$G$100="Yes")*(87&gt;=Personnel!$E$9:$E$100)*((Personnel!$K$9:$K$100="")+(87&lt;=Personnel!$K$9:$K$100)&gt;0))</f>
        <v>3</v>
      </c>
      <c r="CN45" s="351" t="n">
        <f aca="false">SUMPRODUCT((Personnel!$P$9:$P$100="PM")*(Personnel!$G$9:$G$100="Yes")*(88&gt;=Personnel!$E$9:$E$100)*((Personnel!$K$9:$K$100="")+(88&lt;=Personnel!$K$9:$K$100)&gt;0))</f>
        <v>3</v>
      </c>
      <c r="CO45" s="351" t="n">
        <f aca="false">SUMPRODUCT((Personnel!$P$9:$P$100="PM")*(Personnel!$G$9:$G$100="Yes")*(89&gt;=Personnel!$E$9:$E$100)*((Personnel!$K$9:$K$100="")+(89&lt;=Personnel!$K$9:$K$100)&gt;0))</f>
        <v>3</v>
      </c>
      <c r="CP45" s="351" t="n">
        <f aca="false">SUMPRODUCT((Personnel!$P$9:$P$100="PM")*(Personnel!$G$9:$G$100="Yes")*(90&gt;=Personnel!$E$9:$E$100)*((Personnel!$K$9:$K$100="")+(90&lt;=Personnel!$K$9:$K$100)&gt;0))</f>
        <v>3</v>
      </c>
      <c r="CQ45" s="351" t="n">
        <f aca="false">SUMPRODUCT((Personnel!$P$9:$P$100="PM")*(Personnel!$G$9:$G$100="Yes")*(91&gt;=Personnel!$E$9:$E$100)*((Personnel!$K$9:$K$100="")+(91&lt;=Personnel!$K$9:$K$100)&gt;0))</f>
        <v>3</v>
      </c>
      <c r="CR45" s="351" t="n">
        <f aca="false">SUMPRODUCT((Personnel!$P$9:$P$100="PM")*(Personnel!$G$9:$G$100="Yes")*(92&gt;=Personnel!$E$9:$E$100)*((Personnel!$K$9:$K$100="")+(92&lt;=Personnel!$K$9:$K$100)&gt;0))</f>
        <v>3</v>
      </c>
      <c r="CS45" s="351" t="n">
        <f aca="false">SUMPRODUCT((Personnel!$P$9:$P$100="PM")*(Personnel!$G$9:$G$100="Yes")*(93&gt;=Personnel!$E$9:$E$100)*((Personnel!$K$9:$K$100="")+(93&lt;=Personnel!$K$9:$K$100)&gt;0))</f>
        <v>3</v>
      </c>
      <c r="CT45" s="351" t="n">
        <f aca="false">SUMPRODUCT((Personnel!$P$9:$P$100="PM")*(Personnel!$G$9:$G$100="Yes")*(94&gt;=Personnel!$E$9:$E$100)*((Personnel!$K$9:$K$100="")+(94&lt;=Personnel!$K$9:$K$100)&gt;0))</f>
        <v>3</v>
      </c>
      <c r="CU45" s="351" t="n">
        <f aca="false">SUMPRODUCT((Personnel!$P$9:$P$100="PM")*(Personnel!$G$9:$G$100="Yes")*(95&gt;=Personnel!$E$9:$E$100)*((Personnel!$K$9:$K$100="")+(95&lt;=Personnel!$K$9:$K$100)&gt;0))</f>
        <v>3</v>
      </c>
      <c r="CV45" s="351" t="n">
        <f aca="false">SUMPRODUCT((Personnel!$P$9:$P$100="PM")*(Personnel!$G$9:$G$100="Yes")*(96&gt;=Personnel!$E$9:$E$100)*((Personnel!$K$9:$K$100="")+(96&lt;=Personnel!$K$9:$K$100)&gt;0))</f>
        <v>3</v>
      </c>
      <c r="CW45" s="351" t="n">
        <f aca="false">SUMPRODUCT((Personnel!$P$9:$P$100="PM")*(Personnel!$G$9:$G$100="Yes")*(97&gt;=Personnel!$E$9:$E$100)*((Personnel!$K$9:$K$100="")+(97&lt;=Personnel!$K$9:$K$100)&gt;0))</f>
        <v>3</v>
      </c>
      <c r="CX45" s="351" t="n">
        <f aca="false">SUMPRODUCT((Personnel!$P$9:$P$100="PM")*(Personnel!$G$9:$G$100="Yes")*(98&gt;=Personnel!$E$9:$E$100)*((Personnel!$K$9:$K$100="")+(98&lt;=Personnel!$K$9:$K$100)&gt;0))</f>
        <v>3</v>
      </c>
      <c r="CY45" s="351" t="n">
        <f aca="false">SUMPRODUCT((Personnel!$P$9:$P$100="PM")*(Personnel!$G$9:$G$100="Yes")*(99&gt;=Personnel!$E$9:$E$100)*((Personnel!$K$9:$K$100="")+(99&lt;=Personnel!$K$9:$K$100)&gt;0))</f>
        <v>3</v>
      </c>
      <c r="CZ45" s="351" t="n">
        <f aca="false">SUMPRODUCT((Personnel!$P$9:$P$100="PM")*(Personnel!$G$9:$G$100="Yes")*(100&gt;=Personnel!$E$9:$E$100)*((Personnel!$K$9:$K$100="")+(100&lt;=Personnel!$K$9:$K$100)&gt;0))</f>
        <v>3</v>
      </c>
      <c r="DA45" s="351" t="n">
        <f aca="false">SUMPRODUCT((Personnel!$P$9:$P$100="PM")*(Personnel!$G$9:$G$100="Yes")*(101&gt;=Personnel!$E$9:$E$100)*((Personnel!$K$9:$K$100="")+(101&lt;=Personnel!$K$9:$K$100)&gt;0))</f>
        <v>3</v>
      </c>
      <c r="DB45" s="351" t="n">
        <f aca="false">SUMPRODUCT((Personnel!$P$9:$P$100="PM")*(Personnel!$G$9:$G$100="Yes")*(102&gt;=Personnel!$E$9:$E$100)*((Personnel!$K$9:$K$100="")+(102&lt;=Personnel!$K$9:$K$100)&gt;0))</f>
        <v>3</v>
      </c>
      <c r="DC45" s="351" t="n">
        <f aca="false">SUMPRODUCT((Personnel!$P$9:$P$100="PM")*(Personnel!$G$9:$G$100="Yes")*(103&gt;=Personnel!$E$9:$E$100)*((Personnel!$K$9:$K$100="")+(103&lt;=Personnel!$K$9:$K$100)&gt;0))</f>
        <v>3</v>
      </c>
      <c r="DD45" s="351" t="n">
        <f aca="false">SUMPRODUCT((Personnel!$P$9:$P$100="PM")*(Personnel!$G$9:$G$100="Yes")*(104&gt;=Personnel!$E$9:$E$100)*((Personnel!$K$9:$K$100="")+(104&lt;=Personnel!$K$9:$K$100)&gt;0))</f>
        <v>3</v>
      </c>
      <c r="DE45" s="351" t="n">
        <f aca="false">SUMPRODUCT((Personnel!$P$9:$P$100="PM")*(Personnel!$G$9:$G$100="Yes")*(105&gt;=Personnel!$E$9:$E$100)*((Personnel!$K$9:$K$100="")+(105&lt;=Personnel!$K$9:$K$100)&gt;0))</f>
        <v>3</v>
      </c>
    </row>
    <row r="46" customFormat="false" ht="13.5" hidden="false" customHeight="true" outlineLevel="0" collapsed="false">
      <c r="A46" s="109" t="s">
        <v>1176</v>
      </c>
      <c r="E46" s="351" t="n">
        <f aca="false">SUMPRODUCT((Personnel!$P$9:$P$100="FE")*(Personnel!$G$9:$G$100="Yes")*(1&gt;=Personnel!$E$9:$E$100)*((Personnel!$K$9:$K$100="")+(1&lt;=Personnel!$K$9:$K$100)&gt;0))</f>
        <v>0</v>
      </c>
      <c r="F46" s="351" t="n">
        <f aca="false">SUMPRODUCT((Personnel!$P$9:$P$100="FE")*(Personnel!$G$9:$G$100="Yes")*(2&gt;=Personnel!$E$9:$E$100)*((Personnel!$K$9:$K$100="")+(2&lt;=Personnel!$K$9:$K$100)&gt;0))</f>
        <v>0</v>
      </c>
      <c r="G46" s="351" t="n">
        <f aca="false">SUMPRODUCT((Personnel!$P$9:$P$100="FE")*(Personnel!$G$9:$G$100="Yes")*(3&gt;=Personnel!$E$9:$E$100)*((Personnel!$K$9:$K$100="")+(3&lt;=Personnel!$K$9:$K$100)&gt;0))</f>
        <v>0</v>
      </c>
      <c r="H46" s="351" t="n">
        <f aca="false">SUMPRODUCT((Personnel!$P$9:$P$100="FE")*(Personnel!$G$9:$G$100="Yes")*(4&gt;=Personnel!$E$9:$E$100)*((Personnel!$K$9:$K$100="")+(4&lt;=Personnel!$K$9:$K$100)&gt;0))</f>
        <v>0</v>
      </c>
      <c r="I46" s="351" t="n">
        <f aca="false">SUMPRODUCT((Personnel!$P$9:$P$100="FE")*(Personnel!$G$9:$G$100="Yes")*(5&gt;=Personnel!$E$9:$E$100)*((Personnel!$K$9:$K$100="")+(5&lt;=Personnel!$K$9:$K$100)&gt;0))</f>
        <v>0</v>
      </c>
      <c r="J46" s="351" t="n">
        <f aca="false">SUMPRODUCT((Personnel!$P$9:$P$100="FE")*(Personnel!$G$9:$G$100="Yes")*(6&gt;=Personnel!$E$9:$E$100)*((Personnel!$K$9:$K$100="")+(6&lt;=Personnel!$K$9:$K$100)&gt;0))</f>
        <v>0</v>
      </c>
      <c r="K46" s="351" t="n">
        <f aca="false">SUMPRODUCT((Personnel!$P$9:$P$100="FE")*(Personnel!$G$9:$G$100="Yes")*(7&gt;=Personnel!$E$9:$E$100)*((Personnel!$K$9:$K$100="")+(7&lt;=Personnel!$K$9:$K$100)&gt;0))</f>
        <v>0</v>
      </c>
      <c r="L46" s="351" t="n">
        <f aca="false">SUMPRODUCT((Personnel!$P$9:$P$100="FE")*(Personnel!$G$9:$G$100="Yes")*(8&gt;=Personnel!$E$9:$E$100)*((Personnel!$K$9:$K$100="")+(8&lt;=Personnel!$K$9:$K$100)&gt;0))</f>
        <v>0</v>
      </c>
      <c r="M46" s="351" t="n">
        <f aca="false">SUMPRODUCT((Personnel!$P$9:$P$100="FE")*(Personnel!$G$9:$G$100="Yes")*(9&gt;=Personnel!$E$9:$E$100)*((Personnel!$K$9:$K$100="")+(9&lt;=Personnel!$K$9:$K$100)&gt;0))</f>
        <v>0</v>
      </c>
      <c r="N46" s="351" t="n">
        <f aca="false">SUMPRODUCT((Personnel!$P$9:$P$100="FE")*(Personnel!$G$9:$G$100="Yes")*(10&gt;=Personnel!$E$9:$E$100)*((Personnel!$K$9:$K$100="")+(10&lt;=Personnel!$K$9:$K$100)&gt;0))</f>
        <v>0</v>
      </c>
      <c r="O46" s="351" t="n">
        <f aca="false">SUMPRODUCT((Personnel!$P$9:$P$100="FE")*(Personnel!$G$9:$G$100="Yes")*(11&gt;=Personnel!$E$9:$E$100)*((Personnel!$K$9:$K$100="")+(11&lt;=Personnel!$K$9:$K$100)&gt;0))</f>
        <v>0</v>
      </c>
      <c r="P46" s="351" t="n">
        <f aca="false">SUMPRODUCT((Personnel!$P$9:$P$100="FE")*(Personnel!$G$9:$G$100="Yes")*(12&gt;=Personnel!$E$9:$E$100)*((Personnel!$K$9:$K$100="")+(12&lt;=Personnel!$K$9:$K$100)&gt;0))</f>
        <v>0</v>
      </c>
      <c r="Q46" s="351" t="n">
        <f aca="false">SUMPRODUCT((Personnel!$P$9:$P$100="FE")*(Personnel!$G$9:$G$100="Yes")*(13&gt;=Personnel!$E$9:$E$100)*((Personnel!$K$9:$K$100="")+(13&lt;=Personnel!$K$9:$K$100)&gt;0))</f>
        <v>0</v>
      </c>
      <c r="R46" s="351" t="n">
        <f aca="false">SUMPRODUCT((Personnel!$P$9:$P$100="FE")*(Personnel!$G$9:$G$100="Yes")*(14&gt;=Personnel!$E$9:$E$100)*((Personnel!$K$9:$K$100="")+(14&lt;=Personnel!$K$9:$K$100)&gt;0))</f>
        <v>0</v>
      </c>
      <c r="S46" s="351" t="n">
        <f aca="false">SUMPRODUCT((Personnel!$P$9:$P$100="FE")*(Personnel!$G$9:$G$100="Yes")*(15&gt;=Personnel!$E$9:$E$100)*((Personnel!$K$9:$K$100="")+(15&lt;=Personnel!$K$9:$K$100)&gt;0))</f>
        <v>0</v>
      </c>
      <c r="T46" s="351" t="n">
        <f aca="false">SUMPRODUCT((Personnel!$P$9:$P$100="FE")*(Personnel!$G$9:$G$100="Yes")*(16&gt;=Personnel!$E$9:$E$100)*((Personnel!$K$9:$K$100="")+(16&lt;=Personnel!$K$9:$K$100)&gt;0))</f>
        <v>0</v>
      </c>
      <c r="U46" s="351" t="n">
        <f aca="false">SUMPRODUCT((Personnel!$P$9:$P$100="FE")*(Personnel!$G$9:$G$100="Yes")*(17&gt;=Personnel!$E$9:$E$100)*((Personnel!$K$9:$K$100="")+(17&lt;=Personnel!$K$9:$K$100)&gt;0))</f>
        <v>0</v>
      </c>
      <c r="V46" s="351" t="n">
        <f aca="false">SUMPRODUCT((Personnel!$P$9:$P$100="FE")*(Personnel!$G$9:$G$100="Yes")*(18&gt;=Personnel!$E$9:$E$100)*((Personnel!$K$9:$K$100="")+(18&lt;=Personnel!$K$9:$K$100)&gt;0))</f>
        <v>0</v>
      </c>
      <c r="W46" s="351" t="n">
        <f aca="false">SUMPRODUCT((Personnel!$P$9:$P$100="FE")*(Personnel!$G$9:$G$100="Yes")*(19&gt;=Personnel!$E$9:$E$100)*((Personnel!$K$9:$K$100="")+(19&lt;=Personnel!$K$9:$K$100)&gt;0))</f>
        <v>0</v>
      </c>
      <c r="X46" s="351" t="n">
        <f aca="false">SUMPRODUCT((Personnel!$P$9:$P$100="FE")*(Personnel!$G$9:$G$100="Yes")*(20&gt;=Personnel!$E$9:$E$100)*((Personnel!$K$9:$K$100="")+(20&lt;=Personnel!$K$9:$K$100)&gt;0))</f>
        <v>0</v>
      </c>
      <c r="Y46" s="351" t="n">
        <f aca="false">SUMPRODUCT((Personnel!$P$9:$P$100="FE")*(Personnel!$G$9:$G$100="Yes")*(21&gt;=Personnel!$E$9:$E$100)*((Personnel!$K$9:$K$100="")+(21&lt;=Personnel!$K$9:$K$100)&gt;0))</f>
        <v>0</v>
      </c>
      <c r="Z46" s="351" t="n">
        <f aca="false">SUMPRODUCT((Personnel!$P$9:$P$100="FE")*(Personnel!$G$9:$G$100="Yes")*(22&gt;=Personnel!$E$9:$E$100)*((Personnel!$K$9:$K$100="")+(22&lt;=Personnel!$K$9:$K$100)&gt;0))</f>
        <v>0</v>
      </c>
      <c r="AA46" s="351" t="n">
        <f aca="false">SUMPRODUCT((Personnel!$P$9:$P$100="FE")*(Personnel!$G$9:$G$100="Yes")*(23&gt;=Personnel!$E$9:$E$100)*((Personnel!$K$9:$K$100="")+(23&lt;=Personnel!$K$9:$K$100)&gt;0))</f>
        <v>0</v>
      </c>
      <c r="AB46" s="351" t="n">
        <f aca="false">SUMPRODUCT((Personnel!$P$9:$P$100="FE")*(Personnel!$G$9:$G$100="Yes")*(24&gt;=Personnel!$E$9:$E$100)*((Personnel!$K$9:$K$100="")+(24&lt;=Personnel!$K$9:$K$100)&gt;0))</f>
        <v>0</v>
      </c>
      <c r="AC46" s="351" t="n">
        <f aca="false">SUMPRODUCT((Personnel!$P$9:$P$100="FE")*(Personnel!$G$9:$G$100="Yes")*(25&gt;=Personnel!$E$9:$E$100)*((Personnel!$K$9:$K$100="")+(25&lt;=Personnel!$K$9:$K$100)&gt;0))</f>
        <v>0</v>
      </c>
      <c r="AD46" s="351" t="n">
        <f aca="false">SUMPRODUCT((Personnel!$P$9:$P$100="FE")*(Personnel!$G$9:$G$100="Yes")*(26&gt;=Personnel!$E$9:$E$100)*((Personnel!$K$9:$K$100="")+(26&lt;=Personnel!$K$9:$K$100)&gt;0))</f>
        <v>0</v>
      </c>
      <c r="AE46" s="351" t="n">
        <f aca="false">SUMPRODUCT((Personnel!$P$9:$P$100="FE")*(Personnel!$G$9:$G$100="Yes")*(27&gt;=Personnel!$E$9:$E$100)*((Personnel!$K$9:$K$100="")+(27&lt;=Personnel!$K$9:$K$100)&gt;0))</f>
        <v>0</v>
      </c>
      <c r="AF46" s="351" t="n">
        <f aca="false">SUMPRODUCT((Personnel!$P$9:$P$100="FE")*(Personnel!$G$9:$G$100="Yes")*(28&gt;=Personnel!$E$9:$E$100)*((Personnel!$K$9:$K$100="")+(28&lt;=Personnel!$K$9:$K$100)&gt;0))</f>
        <v>0</v>
      </c>
      <c r="AG46" s="351" t="n">
        <f aca="false">SUMPRODUCT((Personnel!$P$9:$P$100="FE")*(Personnel!$G$9:$G$100="Yes")*(29&gt;=Personnel!$E$9:$E$100)*((Personnel!$K$9:$K$100="")+(29&lt;=Personnel!$K$9:$K$100)&gt;0))</f>
        <v>0</v>
      </c>
      <c r="AH46" s="351" t="n">
        <f aca="false">SUMPRODUCT((Personnel!$P$9:$P$100="FE")*(Personnel!$G$9:$G$100="Yes")*(30&gt;=Personnel!$E$9:$E$100)*((Personnel!$K$9:$K$100="")+(30&lt;=Personnel!$K$9:$K$100)&gt;0))</f>
        <v>0</v>
      </c>
      <c r="AI46" s="351" t="n">
        <f aca="false">SUMPRODUCT((Personnel!$P$9:$P$100="FE")*(Personnel!$G$9:$G$100="Yes")*(31&gt;=Personnel!$E$9:$E$100)*((Personnel!$K$9:$K$100="")+(31&lt;=Personnel!$K$9:$K$100)&gt;0))</f>
        <v>0</v>
      </c>
      <c r="AJ46" s="351" t="n">
        <f aca="false">SUMPRODUCT((Personnel!$P$9:$P$100="FE")*(Personnel!$G$9:$G$100="Yes")*(32&gt;=Personnel!$E$9:$E$100)*((Personnel!$K$9:$K$100="")+(32&lt;=Personnel!$K$9:$K$100)&gt;0))</f>
        <v>0</v>
      </c>
      <c r="AK46" s="351" t="n">
        <f aca="false">SUMPRODUCT((Personnel!$P$9:$P$100="FE")*(Personnel!$G$9:$G$100="Yes")*(33&gt;=Personnel!$E$9:$E$100)*((Personnel!$K$9:$K$100="")+(33&lt;=Personnel!$K$9:$K$100)&gt;0))</f>
        <v>0</v>
      </c>
      <c r="AL46" s="351" t="n">
        <f aca="false">SUMPRODUCT((Personnel!$P$9:$P$100="FE")*(Personnel!$G$9:$G$100="Yes")*(34&gt;=Personnel!$E$9:$E$100)*((Personnel!$K$9:$K$100="")+(34&lt;=Personnel!$K$9:$K$100)&gt;0))</f>
        <v>0</v>
      </c>
      <c r="AM46" s="351" t="n">
        <f aca="false">SUMPRODUCT((Personnel!$P$9:$P$100="FE")*(Personnel!$G$9:$G$100="Yes")*(35&gt;=Personnel!$E$9:$E$100)*((Personnel!$K$9:$K$100="")+(35&lt;=Personnel!$K$9:$K$100)&gt;0))</f>
        <v>0</v>
      </c>
      <c r="AN46" s="351" t="n">
        <f aca="false">SUMPRODUCT((Personnel!$P$9:$P$100="FE")*(Personnel!$G$9:$G$100="Yes")*(36&gt;=Personnel!$E$9:$E$100)*((Personnel!$K$9:$K$100="")+(36&lt;=Personnel!$K$9:$K$100)&gt;0))</f>
        <v>0</v>
      </c>
      <c r="AO46" s="351" t="n">
        <f aca="false">SUMPRODUCT((Personnel!$P$9:$P$100="FE")*(Personnel!$G$9:$G$100="Yes")*(37&gt;=Personnel!$E$9:$E$100)*((Personnel!$K$9:$K$100="")+(37&lt;=Personnel!$K$9:$K$100)&gt;0))</f>
        <v>0</v>
      </c>
      <c r="AP46" s="351" t="n">
        <f aca="false">SUMPRODUCT((Personnel!$P$9:$P$100="FE")*(Personnel!$G$9:$G$100="Yes")*(38&gt;=Personnel!$E$9:$E$100)*((Personnel!$K$9:$K$100="")+(38&lt;=Personnel!$K$9:$K$100)&gt;0))</f>
        <v>0</v>
      </c>
      <c r="AQ46" s="351" t="n">
        <f aca="false">SUMPRODUCT((Personnel!$P$9:$P$100="FE")*(Personnel!$G$9:$G$100="Yes")*(39&gt;=Personnel!$E$9:$E$100)*((Personnel!$K$9:$K$100="")+(39&lt;=Personnel!$K$9:$K$100)&gt;0))</f>
        <v>0</v>
      </c>
      <c r="AR46" s="351" t="n">
        <f aca="false">SUMPRODUCT((Personnel!$P$9:$P$100="FE")*(Personnel!$G$9:$G$100="Yes")*(40&gt;=Personnel!$E$9:$E$100)*((Personnel!$K$9:$K$100="")+(40&lt;=Personnel!$K$9:$K$100)&gt;0))</f>
        <v>0</v>
      </c>
      <c r="AS46" s="351" t="n">
        <f aca="false">SUMPRODUCT((Personnel!$P$9:$P$100="FE")*(Personnel!$G$9:$G$100="Yes")*(41&gt;=Personnel!$E$9:$E$100)*((Personnel!$K$9:$K$100="")+(41&lt;=Personnel!$K$9:$K$100)&gt;0))</f>
        <v>0</v>
      </c>
      <c r="AT46" s="351" t="n">
        <f aca="false">SUMPRODUCT((Personnel!$P$9:$P$100="FE")*(Personnel!$G$9:$G$100="Yes")*(42&gt;=Personnel!$E$9:$E$100)*((Personnel!$K$9:$K$100="")+(42&lt;=Personnel!$K$9:$K$100)&gt;0))</f>
        <v>0</v>
      </c>
      <c r="AU46" s="351" t="n">
        <f aca="false">SUMPRODUCT((Personnel!$P$9:$P$100="FE")*(Personnel!$G$9:$G$100="Yes")*(43&gt;=Personnel!$E$9:$E$100)*((Personnel!$K$9:$K$100="")+(43&lt;=Personnel!$K$9:$K$100)&gt;0))</f>
        <v>0</v>
      </c>
      <c r="AV46" s="351" t="n">
        <f aca="false">SUMPRODUCT((Personnel!$P$9:$P$100="FE")*(Personnel!$G$9:$G$100="Yes")*(44&gt;=Personnel!$E$9:$E$100)*((Personnel!$K$9:$K$100="")+(44&lt;=Personnel!$K$9:$K$100)&gt;0))</f>
        <v>0</v>
      </c>
      <c r="AW46" s="351" t="n">
        <f aca="false">SUMPRODUCT((Personnel!$P$9:$P$100="FE")*(Personnel!$G$9:$G$100="Yes")*(45&gt;=Personnel!$E$9:$E$100)*((Personnel!$K$9:$K$100="")+(45&lt;=Personnel!$K$9:$K$100)&gt;0))</f>
        <v>0</v>
      </c>
      <c r="AX46" s="351" t="n">
        <f aca="false">SUMPRODUCT((Personnel!$P$9:$P$100="FE")*(Personnel!$G$9:$G$100="Yes")*(46&gt;=Personnel!$E$9:$E$100)*((Personnel!$K$9:$K$100="")+(46&lt;=Personnel!$K$9:$K$100)&gt;0))</f>
        <v>0</v>
      </c>
      <c r="AY46" s="351" t="n">
        <f aca="false">SUMPRODUCT((Personnel!$P$9:$P$100="FE")*(Personnel!$G$9:$G$100="Yes")*(47&gt;=Personnel!$E$9:$E$100)*((Personnel!$K$9:$K$100="")+(47&lt;=Personnel!$K$9:$K$100)&gt;0))</f>
        <v>0</v>
      </c>
      <c r="AZ46" s="351" t="n">
        <f aca="false">SUMPRODUCT((Personnel!$P$9:$P$100="FE")*(Personnel!$G$9:$G$100="Yes")*(48&gt;=Personnel!$E$9:$E$100)*((Personnel!$K$9:$K$100="")+(48&lt;=Personnel!$K$9:$K$100)&gt;0))</f>
        <v>0</v>
      </c>
      <c r="BA46" s="351" t="n">
        <f aca="false">SUMPRODUCT((Personnel!$P$9:$P$100="FE")*(Personnel!$G$9:$G$100="Yes")*(49&gt;=Personnel!$E$9:$E$100)*((Personnel!$K$9:$K$100="")+(49&lt;=Personnel!$K$9:$K$100)&gt;0))</f>
        <v>0</v>
      </c>
      <c r="BB46" s="351" t="n">
        <f aca="false">SUMPRODUCT((Personnel!$P$9:$P$100="FE")*(Personnel!$G$9:$G$100="Yes")*(50&gt;=Personnel!$E$9:$E$100)*((Personnel!$K$9:$K$100="")+(50&lt;=Personnel!$K$9:$K$100)&gt;0))</f>
        <v>0</v>
      </c>
      <c r="BC46" s="351" t="n">
        <f aca="false">SUMPRODUCT((Personnel!$P$9:$P$100="FE")*(Personnel!$G$9:$G$100="Yes")*(51&gt;=Personnel!$E$9:$E$100)*((Personnel!$K$9:$K$100="")+(51&lt;=Personnel!$K$9:$K$100)&gt;0))</f>
        <v>0</v>
      </c>
      <c r="BD46" s="351" t="n">
        <f aca="false">SUMPRODUCT((Personnel!$P$9:$P$100="FE")*(Personnel!$G$9:$G$100="Yes")*(52&gt;=Personnel!$E$9:$E$100)*((Personnel!$K$9:$K$100="")+(52&lt;=Personnel!$K$9:$K$100)&gt;0))</f>
        <v>0</v>
      </c>
      <c r="BE46" s="351" t="n">
        <f aca="false">SUMPRODUCT((Personnel!$P$9:$P$100="FE")*(Personnel!$G$9:$G$100="Yes")*(53&gt;=Personnel!$E$9:$E$100)*((Personnel!$K$9:$K$100="")+(53&lt;=Personnel!$K$9:$K$100)&gt;0))</f>
        <v>0</v>
      </c>
      <c r="BF46" s="351" t="n">
        <f aca="false">SUMPRODUCT((Personnel!$P$9:$P$100="FE")*(Personnel!$G$9:$G$100="Yes")*(54&gt;=Personnel!$E$9:$E$100)*((Personnel!$K$9:$K$100="")+(54&lt;=Personnel!$K$9:$K$100)&gt;0))</f>
        <v>0</v>
      </c>
      <c r="BG46" s="351" t="n">
        <f aca="false">SUMPRODUCT((Personnel!$P$9:$P$100="FE")*(Personnel!$G$9:$G$100="Yes")*(55&gt;=Personnel!$E$9:$E$100)*((Personnel!$K$9:$K$100="")+(55&lt;=Personnel!$K$9:$K$100)&gt;0))</f>
        <v>0</v>
      </c>
      <c r="BH46" s="351" t="n">
        <f aca="false">SUMPRODUCT((Personnel!$P$9:$P$100="FE")*(Personnel!$G$9:$G$100="Yes")*(56&gt;=Personnel!$E$9:$E$100)*((Personnel!$K$9:$K$100="")+(56&lt;=Personnel!$K$9:$K$100)&gt;0))</f>
        <v>0</v>
      </c>
      <c r="BI46" s="351" t="n">
        <f aca="false">SUMPRODUCT((Personnel!$P$9:$P$100="FE")*(Personnel!$G$9:$G$100="Yes")*(57&gt;=Personnel!$E$9:$E$100)*((Personnel!$K$9:$K$100="")+(57&lt;=Personnel!$K$9:$K$100)&gt;0))</f>
        <v>0</v>
      </c>
      <c r="BJ46" s="351" t="n">
        <f aca="false">SUMPRODUCT((Personnel!$P$9:$P$100="FE")*(Personnel!$G$9:$G$100="Yes")*(58&gt;=Personnel!$E$9:$E$100)*((Personnel!$K$9:$K$100="")+(58&lt;=Personnel!$K$9:$K$100)&gt;0))</f>
        <v>0</v>
      </c>
      <c r="BK46" s="351" t="n">
        <f aca="false">SUMPRODUCT((Personnel!$P$9:$P$100="FE")*(Personnel!$G$9:$G$100="Yes")*(59&gt;=Personnel!$E$9:$E$100)*((Personnel!$K$9:$K$100="")+(59&lt;=Personnel!$K$9:$K$100)&gt;0))</f>
        <v>0</v>
      </c>
      <c r="BL46" s="351" t="n">
        <f aca="false">SUMPRODUCT((Personnel!$P$9:$P$100="FE")*(Personnel!$G$9:$G$100="Yes")*(60&gt;=Personnel!$E$9:$E$100)*((Personnel!$K$9:$K$100="")+(60&lt;=Personnel!$K$9:$K$100)&gt;0))</f>
        <v>0</v>
      </c>
      <c r="BM46" s="351" t="n">
        <f aca="false">SUMPRODUCT((Personnel!$P$9:$P$100="FE")*(Personnel!$G$9:$G$100="Yes")*(61&gt;=Personnel!$E$9:$E$100)*((Personnel!$K$9:$K$100="")+(61&lt;=Personnel!$K$9:$K$100)&gt;0))</f>
        <v>0</v>
      </c>
      <c r="BN46" s="351" t="n">
        <f aca="false">SUMPRODUCT((Personnel!$P$9:$P$100="FE")*(Personnel!$G$9:$G$100="Yes")*(62&gt;=Personnel!$E$9:$E$100)*((Personnel!$K$9:$K$100="")+(62&lt;=Personnel!$K$9:$K$100)&gt;0))</f>
        <v>0</v>
      </c>
      <c r="BO46" s="351" t="n">
        <f aca="false">SUMPRODUCT((Personnel!$P$9:$P$100="FE")*(Personnel!$G$9:$G$100="Yes")*(63&gt;=Personnel!$E$9:$E$100)*((Personnel!$K$9:$K$100="")+(63&lt;=Personnel!$K$9:$K$100)&gt;0))</f>
        <v>0</v>
      </c>
      <c r="BP46" s="351" t="n">
        <f aca="false">SUMPRODUCT((Personnel!$P$9:$P$100="FE")*(Personnel!$G$9:$G$100="Yes")*(64&gt;=Personnel!$E$9:$E$100)*((Personnel!$K$9:$K$100="")+(64&lt;=Personnel!$K$9:$K$100)&gt;0))</f>
        <v>0</v>
      </c>
      <c r="BQ46" s="351" t="n">
        <f aca="false">SUMPRODUCT((Personnel!$P$9:$P$100="FE")*(Personnel!$G$9:$G$100="Yes")*(65&gt;=Personnel!$E$9:$E$100)*((Personnel!$K$9:$K$100="")+(65&lt;=Personnel!$K$9:$K$100)&gt;0))</f>
        <v>0</v>
      </c>
      <c r="BR46" s="351" t="n">
        <f aca="false">SUMPRODUCT((Personnel!$P$9:$P$100="FE")*(Personnel!$G$9:$G$100="Yes")*(66&gt;=Personnel!$E$9:$E$100)*((Personnel!$K$9:$K$100="")+(66&lt;=Personnel!$K$9:$K$100)&gt;0))</f>
        <v>0</v>
      </c>
      <c r="BS46" s="351" t="n">
        <f aca="false">SUMPRODUCT((Personnel!$P$9:$P$100="FE")*(Personnel!$G$9:$G$100="Yes")*(67&gt;=Personnel!$E$9:$E$100)*((Personnel!$K$9:$K$100="")+(67&lt;=Personnel!$K$9:$K$100)&gt;0))</f>
        <v>0</v>
      </c>
      <c r="BT46" s="351" t="n">
        <f aca="false">SUMPRODUCT((Personnel!$P$9:$P$100="FE")*(Personnel!$G$9:$G$100="Yes")*(68&gt;=Personnel!$E$9:$E$100)*((Personnel!$K$9:$K$100="")+(68&lt;=Personnel!$K$9:$K$100)&gt;0))</f>
        <v>0</v>
      </c>
      <c r="BU46" s="351" t="n">
        <f aca="false">SUMPRODUCT((Personnel!$P$9:$P$100="FE")*(Personnel!$G$9:$G$100="Yes")*(69&gt;=Personnel!$E$9:$E$100)*((Personnel!$K$9:$K$100="")+(69&lt;=Personnel!$K$9:$K$100)&gt;0))</f>
        <v>0</v>
      </c>
      <c r="BV46" s="351" t="n">
        <f aca="false">SUMPRODUCT((Personnel!$P$9:$P$100="FE")*(Personnel!$G$9:$G$100="Yes")*(70&gt;=Personnel!$E$9:$E$100)*((Personnel!$K$9:$K$100="")+(70&lt;=Personnel!$K$9:$K$100)&gt;0))</f>
        <v>0</v>
      </c>
      <c r="BW46" s="351" t="n">
        <f aca="false">SUMPRODUCT((Personnel!$P$9:$P$100="FE")*(Personnel!$G$9:$G$100="Yes")*(71&gt;=Personnel!$E$9:$E$100)*((Personnel!$K$9:$K$100="")+(71&lt;=Personnel!$K$9:$K$100)&gt;0))</f>
        <v>0</v>
      </c>
      <c r="BX46" s="351" t="n">
        <f aca="false">SUMPRODUCT((Personnel!$P$9:$P$100="FE")*(Personnel!$G$9:$G$100="Yes")*(72&gt;=Personnel!$E$9:$E$100)*((Personnel!$K$9:$K$100="")+(72&lt;=Personnel!$K$9:$K$100)&gt;0))</f>
        <v>0</v>
      </c>
      <c r="BY46" s="351" t="n">
        <f aca="false">SUMPRODUCT((Personnel!$P$9:$P$100="FE")*(Personnel!$G$9:$G$100="Yes")*(73&gt;=Personnel!$E$9:$E$100)*((Personnel!$K$9:$K$100="")+(73&lt;=Personnel!$K$9:$K$100)&gt;0))</f>
        <v>0</v>
      </c>
      <c r="BZ46" s="351" t="n">
        <f aca="false">SUMPRODUCT((Personnel!$P$9:$P$100="FE")*(Personnel!$G$9:$G$100="Yes")*(74&gt;=Personnel!$E$9:$E$100)*((Personnel!$K$9:$K$100="")+(74&lt;=Personnel!$K$9:$K$100)&gt;0))</f>
        <v>0</v>
      </c>
      <c r="CA46" s="351" t="n">
        <f aca="false">SUMPRODUCT((Personnel!$P$9:$P$100="FE")*(Personnel!$G$9:$G$100="Yes")*(75&gt;=Personnel!$E$9:$E$100)*((Personnel!$K$9:$K$100="")+(75&lt;=Personnel!$K$9:$K$100)&gt;0))</f>
        <v>0</v>
      </c>
      <c r="CB46" s="351" t="n">
        <f aca="false">SUMPRODUCT((Personnel!$P$9:$P$100="FE")*(Personnel!$G$9:$G$100="Yes")*(76&gt;=Personnel!$E$9:$E$100)*((Personnel!$K$9:$K$100="")+(76&lt;=Personnel!$K$9:$K$100)&gt;0))</f>
        <v>0</v>
      </c>
      <c r="CC46" s="351" t="n">
        <f aca="false">SUMPRODUCT((Personnel!$P$9:$P$100="FE")*(Personnel!$G$9:$G$100="Yes")*(77&gt;=Personnel!$E$9:$E$100)*((Personnel!$K$9:$K$100="")+(77&lt;=Personnel!$K$9:$K$100)&gt;0))</f>
        <v>0</v>
      </c>
      <c r="CD46" s="351" t="n">
        <f aca="false">SUMPRODUCT((Personnel!$P$9:$P$100="FE")*(Personnel!$G$9:$G$100="Yes")*(78&gt;=Personnel!$E$9:$E$100)*((Personnel!$K$9:$K$100="")+(78&lt;=Personnel!$K$9:$K$100)&gt;0))</f>
        <v>0</v>
      </c>
      <c r="CE46" s="351" t="n">
        <f aca="false">SUMPRODUCT((Personnel!$P$9:$P$100="FE")*(Personnel!$G$9:$G$100="Yes")*(79&gt;=Personnel!$E$9:$E$100)*((Personnel!$K$9:$K$100="")+(79&lt;=Personnel!$K$9:$K$100)&gt;0))</f>
        <v>0</v>
      </c>
      <c r="CF46" s="351" t="n">
        <f aca="false">SUMPRODUCT((Personnel!$P$9:$P$100="FE")*(Personnel!$G$9:$G$100="Yes")*(80&gt;=Personnel!$E$9:$E$100)*((Personnel!$K$9:$K$100="")+(80&lt;=Personnel!$K$9:$K$100)&gt;0))</f>
        <v>0</v>
      </c>
      <c r="CG46" s="351" t="n">
        <f aca="false">SUMPRODUCT((Personnel!$P$9:$P$100="FE")*(Personnel!$G$9:$G$100="Yes")*(81&gt;=Personnel!$E$9:$E$100)*((Personnel!$K$9:$K$100="")+(81&lt;=Personnel!$K$9:$K$100)&gt;0))</f>
        <v>0</v>
      </c>
      <c r="CH46" s="351" t="n">
        <f aca="false">SUMPRODUCT((Personnel!$P$9:$P$100="FE")*(Personnel!$G$9:$G$100="Yes")*(82&gt;=Personnel!$E$9:$E$100)*((Personnel!$K$9:$K$100="")+(82&lt;=Personnel!$K$9:$K$100)&gt;0))</f>
        <v>0</v>
      </c>
      <c r="CI46" s="351" t="n">
        <f aca="false">SUMPRODUCT((Personnel!$P$9:$P$100="FE")*(Personnel!$G$9:$G$100="Yes")*(83&gt;=Personnel!$E$9:$E$100)*((Personnel!$K$9:$K$100="")+(83&lt;=Personnel!$K$9:$K$100)&gt;0))</f>
        <v>0</v>
      </c>
      <c r="CJ46" s="351" t="n">
        <f aca="false">SUMPRODUCT((Personnel!$P$9:$P$100="FE")*(Personnel!$G$9:$G$100="Yes")*(84&gt;=Personnel!$E$9:$E$100)*((Personnel!$K$9:$K$100="")+(84&lt;=Personnel!$K$9:$K$100)&gt;0))</f>
        <v>0</v>
      </c>
      <c r="CK46" s="351" t="n">
        <f aca="false">SUMPRODUCT((Personnel!$P$9:$P$100="FE")*(Personnel!$G$9:$G$100="Yes")*(85&gt;=Personnel!$E$9:$E$100)*((Personnel!$K$9:$K$100="")+(85&lt;=Personnel!$K$9:$K$100)&gt;0))</f>
        <v>0</v>
      </c>
      <c r="CL46" s="351" t="n">
        <f aca="false">SUMPRODUCT((Personnel!$P$9:$P$100="FE")*(Personnel!$G$9:$G$100="Yes")*(86&gt;=Personnel!$E$9:$E$100)*((Personnel!$K$9:$K$100="")+(86&lt;=Personnel!$K$9:$K$100)&gt;0))</f>
        <v>0</v>
      </c>
      <c r="CM46" s="351" t="n">
        <f aca="false">SUMPRODUCT((Personnel!$P$9:$P$100="FE")*(Personnel!$G$9:$G$100="Yes")*(87&gt;=Personnel!$E$9:$E$100)*((Personnel!$K$9:$K$100="")+(87&lt;=Personnel!$K$9:$K$100)&gt;0))</f>
        <v>0</v>
      </c>
      <c r="CN46" s="351" t="n">
        <f aca="false">SUMPRODUCT((Personnel!$P$9:$P$100="FE")*(Personnel!$G$9:$G$100="Yes")*(88&gt;=Personnel!$E$9:$E$100)*((Personnel!$K$9:$K$100="")+(88&lt;=Personnel!$K$9:$K$100)&gt;0))</f>
        <v>0</v>
      </c>
      <c r="CO46" s="351" t="n">
        <f aca="false">SUMPRODUCT((Personnel!$P$9:$P$100="FE")*(Personnel!$G$9:$G$100="Yes")*(89&gt;=Personnel!$E$9:$E$100)*((Personnel!$K$9:$K$100="")+(89&lt;=Personnel!$K$9:$K$100)&gt;0))</f>
        <v>0</v>
      </c>
      <c r="CP46" s="351" t="n">
        <f aca="false">SUMPRODUCT((Personnel!$P$9:$P$100="FE")*(Personnel!$G$9:$G$100="Yes")*(90&gt;=Personnel!$E$9:$E$100)*((Personnel!$K$9:$K$100="")+(90&lt;=Personnel!$K$9:$K$100)&gt;0))</f>
        <v>0</v>
      </c>
      <c r="CQ46" s="351" t="n">
        <f aca="false">SUMPRODUCT((Personnel!$P$9:$P$100="FE")*(Personnel!$G$9:$G$100="Yes")*(91&gt;=Personnel!$E$9:$E$100)*((Personnel!$K$9:$K$100="")+(91&lt;=Personnel!$K$9:$K$100)&gt;0))</f>
        <v>0</v>
      </c>
      <c r="CR46" s="351" t="n">
        <f aca="false">SUMPRODUCT((Personnel!$P$9:$P$100="FE")*(Personnel!$G$9:$G$100="Yes")*(92&gt;=Personnel!$E$9:$E$100)*((Personnel!$K$9:$K$100="")+(92&lt;=Personnel!$K$9:$K$100)&gt;0))</f>
        <v>0</v>
      </c>
      <c r="CS46" s="351" t="n">
        <f aca="false">SUMPRODUCT((Personnel!$P$9:$P$100="FE")*(Personnel!$G$9:$G$100="Yes")*(93&gt;=Personnel!$E$9:$E$100)*((Personnel!$K$9:$K$100="")+(93&lt;=Personnel!$K$9:$K$100)&gt;0))</f>
        <v>0</v>
      </c>
      <c r="CT46" s="351" t="n">
        <f aca="false">SUMPRODUCT((Personnel!$P$9:$P$100="FE")*(Personnel!$G$9:$G$100="Yes")*(94&gt;=Personnel!$E$9:$E$100)*((Personnel!$K$9:$K$100="")+(94&lt;=Personnel!$K$9:$K$100)&gt;0))</f>
        <v>0</v>
      </c>
      <c r="CU46" s="351" t="n">
        <f aca="false">SUMPRODUCT((Personnel!$P$9:$P$100="FE")*(Personnel!$G$9:$G$100="Yes")*(95&gt;=Personnel!$E$9:$E$100)*((Personnel!$K$9:$K$100="")+(95&lt;=Personnel!$K$9:$K$100)&gt;0))</f>
        <v>0</v>
      </c>
      <c r="CV46" s="351" t="n">
        <f aca="false">SUMPRODUCT((Personnel!$P$9:$P$100="FE")*(Personnel!$G$9:$G$100="Yes")*(96&gt;=Personnel!$E$9:$E$100)*((Personnel!$K$9:$K$100="")+(96&lt;=Personnel!$K$9:$K$100)&gt;0))</f>
        <v>0</v>
      </c>
      <c r="CW46" s="351" t="n">
        <f aca="false">SUMPRODUCT((Personnel!$P$9:$P$100="FE")*(Personnel!$G$9:$G$100="Yes")*(97&gt;=Personnel!$E$9:$E$100)*((Personnel!$K$9:$K$100="")+(97&lt;=Personnel!$K$9:$K$100)&gt;0))</f>
        <v>0</v>
      </c>
      <c r="CX46" s="351" t="n">
        <f aca="false">SUMPRODUCT((Personnel!$P$9:$P$100="FE")*(Personnel!$G$9:$G$100="Yes")*(98&gt;=Personnel!$E$9:$E$100)*((Personnel!$K$9:$K$100="")+(98&lt;=Personnel!$K$9:$K$100)&gt;0))</f>
        <v>0</v>
      </c>
      <c r="CY46" s="351" t="n">
        <f aca="false">SUMPRODUCT((Personnel!$P$9:$P$100="FE")*(Personnel!$G$9:$G$100="Yes")*(99&gt;=Personnel!$E$9:$E$100)*((Personnel!$K$9:$K$100="")+(99&lt;=Personnel!$K$9:$K$100)&gt;0))</f>
        <v>0</v>
      </c>
      <c r="CZ46" s="351" t="n">
        <f aca="false">SUMPRODUCT((Personnel!$P$9:$P$100="FE")*(Personnel!$G$9:$G$100="Yes")*(100&gt;=Personnel!$E$9:$E$100)*((Personnel!$K$9:$K$100="")+(100&lt;=Personnel!$K$9:$K$100)&gt;0))</f>
        <v>0</v>
      </c>
      <c r="DA46" s="351" t="n">
        <f aca="false">SUMPRODUCT((Personnel!$P$9:$P$100="FE")*(Personnel!$G$9:$G$100="Yes")*(101&gt;=Personnel!$E$9:$E$100)*((Personnel!$K$9:$K$100="")+(101&lt;=Personnel!$K$9:$K$100)&gt;0))</f>
        <v>0</v>
      </c>
      <c r="DB46" s="351" t="n">
        <f aca="false">SUMPRODUCT((Personnel!$P$9:$P$100="FE")*(Personnel!$G$9:$G$100="Yes")*(102&gt;=Personnel!$E$9:$E$100)*((Personnel!$K$9:$K$100="")+(102&lt;=Personnel!$K$9:$K$100)&gt;0))</f>
        <v>0</v>
      </c>
      <c r="DC46" s="351" t="n">
        <f aca="false">SUMPRODUCT((Personnel!$P$9:$P$100="FE")*(Personnel!$G$9:$G$100="Yes")*(103&gt;=Personnel!$E$9:$E$100)*((Personnel!$K$9:$K$100="")+(103&lt;=Personnel!$K$9:$K$100)&gt;0))</f>
        <v>0</v>
      </c>
      <c r="DD46" s="351" t="n">
        <f aca="false">SUMPRODUCT((Personnel!$P$9:$P$100="FE")*(Personnel!$G$9:$G$100="Yes")*(104&gt;=Personnel!$E$9:$E$100)*((Personnel!$K$9:$K$100="")+(104&lt;=Personnel!$K$9:$K$100)&gt;0))</f>
        <v>0</v>
      </c>
      <c r="DE46" s="351" t="n">
        <f aca="false">SUMPRODUCT((Personnel!$P$9:$P$100="FE")*(Personnel!$G$9:$G$100="Yes")*(105&gt;=Personnel!$E$9:$E$100)*((Personnel!$K$9:$K$100="")+(105&lt;=Personnel!$K$9:$K$100)&gt;0))</f>
        <v>0</v>
      </c>
    </row>
    <row r="48" customFormat="false" ht="13.5" hidden="false" customHeight="true" outlineLevel="0" collapsed="false">
      <c r="A48" s="209" t="s">
        <v>1177</v>
      </c>
      <c r="B48" s="210"/>
      <c r="C48" s="210"/>
      <c r="D48" s="210"/>
      <c r="E48" s="210"/>
      <c r="F48" s="210"/>
    </row>
    <row r="49" customFormat="false" ht="13.5" hidden="false" customHeight="true" outlineLevel="0" collapsed="false">
      <c r="A49" s="109" t="s">
        <v>1178</v>
      </c>
      <c r="B49" s="211" t="n">
        <f aca="false">$B$26</f>
        <v>160000</v>
      </c>
      <c r="E49" s="352" t="n">
        <f aca="false">IF(1&lt;5,0,IF(MAX(E38)&gt;E43+0+$B$18,1,0))</f>
        <v>0</v>
      </c>
      <c r="F49" s="352" t="n">
        <f aca="false">IF(2&lt;5,0,IF(MAX(E38:F38)&gt;F43+0+$B$18,1,0))</f>
        <v>0</v>
      </c>
      <c r="G49" s="352" t="n">
        <f aca="false">IF(3&lt;5,0,IF(MAX(E38:G38)&gt;G43+0+$B$18,1,0))</f>
        <v>0</v>
      </c>
      <c r="H49" s="352" t="n">
        <f aca="false">IF(4&lt;5,0,IF(MAX(E38:H38)&gt;H43+0+$B$18,1,0))</f>
        <v>0</v>
      </c>
      <c r="I49" s="352" t="n">
        <f aca="false">IF(5&lt;5,0,IF(MAX(E38:I38)&gt;I43+0+$B$18,1,0))</f>
        <v>0</v>
      </c>
      <c r="J49" s="352" t="n">
        <f aca="false">IF(6&lt;5,0,IF(MAX(E38:J38)&gt;J43+0+$B$18,1,0))</f>
        <v>0</v>
      </c>
      <c r="K49" s="352" t="n">
        <f aca="false">IF(7&lt;5,0,IF(MAX(F38:K38)&gt;K43+0+$B$18,1,0))</f>
        <v>0</v>
      </c>
      <c r="L49" s="352" t="n">
        <f aca="false">IF(8&lt;5,0,IF(MAX(G38:L38)&gt;L43+0+$B$18,1,0))</f>
        <v>0</v>
      </c>
      <c r="M49" s="352" t="n">
        <f aca="false">IF(9&lt;5,0,IF(MAX(H38:M38)&gt;M43+0+$B$18,1,0))</f>
        <v>1</v>
      </c>
      <c r="N49" s="352" t="n">
        <f aca="false">IF(10&lt;5,0,IF(MAX(I38:N38)&gt;N43+0+$B$18,1,0))</f>
        <v>1</v>
      </c>
      <c r="O49" s="352" t="n">
        <f aca="false">IF(11&lt;5,0,IF(MAX(J38:O38)&gt;O43+0+$B$18,1,0))</f>
        <v>1</v>
      </c>
      <c r="P49" s="352" t="n">
        <f aca="false">IF(12&lt;5,0,IF(MAX(K38:P38)&gt;P43+0+$B$18,1,0))</f>
        <v>1</v>
      </c>
      <c r="Q49" s="352" t="n">
        <f aca="false">IF(13&lt;5,0,IF(MAX(L38:Q38)&gt;Q43+0+$B$18,1,0))</f>
        <v>1</v>
      </c>
      <c r="R49" s="352" t="n">
        <f aca="false">IF(14&lt;5,0,IF(MAX(M38:R38)&gt;R43+0+$B$18,1,0))</f>
        <v>1</v>
      </c>
      <c r="S49" s="352" t="n">
        <f aca="false">IF(15&lt;5,0,IF(MAX(N38:S38)&gt;S43+0+$B$18,1,0))</f>
        <v>1</v>
      </c>
      <c r="T49" s="352" t="n">
        <f aca="false">IF(16&lt;5,0,IF(MAX(O38:T38)&gt;T43+0+$B$18,1,0))</f>
        <v>1</v>
      </c>
      <c r="U49" s="352" t="n">
        <f aca="false">IF(17&lt;5,0,IF(MAX(P38:U38)&gt;U43+0+$B$18,1,0))</f>
        <v>1</v>
      </c>
      <c r="V49" s="352" t="n">
        <f aca="false">IF(18&lt;5,0,IF(MAX(Q38:V38)&gt;V43+0+$B$18,1,0))</f>
        <v>1</v>
      </c>
      <c r="W49" s="352" t="n">
        <f aca="false">IF(19&lt;5,0,IF(MAX(R38:W38)&gt;W43+0+$B$18,1,0))</f>
        <v>1</v>
      </c>
      <c r="X49" s="352" t="n">
        <f aca="false">IF(20&lt;5,0,IF(MAX(S38:X38)&gt;X43+0+$B$18,1,0))</f>
        <v>1</v>
      </c>
      <c r="Y49" s="352" t="n">
        <f aca="false">IF(21&lt;5,0,IF(MAX(T38:Y38)&gt;Y43+0+$B$18,1,0))</f>
        <v>1</v>
      </c>
      <c r="Z49" s="352" t="n">
        <f aca="false">IF(22&lt;5,0,IF(MAX(U38:Z38)&gt;Z43+0+$B$18,1,0))</f>
        <v>1</v>
      </c>
      <c r="AA49" s="352" t="n">
        <f aca="false">IF(23&lt;5,0,IF(MAX(V38:AA38)&gt;AA43+0+$B$18,1,0))</f>
        <v>1</v>
      </c>
      <c r="AB49" s="352" t="n">
        <f aca="false">IF(24&lt;5,0,IF(MAX(W38:AB38)&gt;AB43+0+$B$18,1,0))</f>
        <v>1</v>
      </c>
      <c r="AC49" s="352" t="n">
        <f aca="false">IF(25&lt;5,0,IF(MAX(X38:AC38)&gt;AC43+0+$B$18,1,0))</f>
        <v>1</v>
      </c>
      <c r="AD49" s="352" t="n">
        <f aca="false">IF(26&lt;5,0,IF(MAX(Y38:AD38)&gt;AD43+0+$B$18,1,0))</f>
        <v>1</v>
      </c>
      <c r="AE49" s="352" t="n">
        <f aca="false">IF(27&lt;5,0,IF(MAX(Z38:AE38)&gt;AE43+0+$B$18,1,0))</f>
        <v>1</v>
      </c>
      <c r="AF49" s="352" t="n">
        <f aca="false">IF(28&lt;5,0,IF(MAX(AA38:AF38)&gt;AF43+0+$B$18,1,0))</f>
        <v>1</v>
      </c>
      <c r="AG49" s="352" t="n">
        <f aca="false">IF(29&lt;5,0,IF(MAX(AB38:AG38)&gt;AG43+0+$B$18,1,0))</f>
        <v>1</v>
      </c>
      <c r="AH49" s="352" t="n">
        <f aca="false">IF(30&lt;5,0,IF(MAX(AC38:AH38)&gt;AH43+0+$B$18,1,0))</f>
        <v>1</v>
      </c>
      <c r="AI49" s="352" t="n">
        <f aca="false">IF(31&lt;5,0,IF(MAX(AD38:AI38)&gt;AI43+0+$B$18,1,0))</f>
        <v>1</v>
      </c>
      <c r="AJ49" s="352" t="n">
        <f aca="false">IF(32&lt;5,0,IF(MAX(AE38:AJ38)&gt;AJ43+0+$B$18,1,0))</f>
        <v>1</v>
      </c>
      <c r="AK49" s="352" t="n">
        <f aca="false">IF(33&lt;5,0,IF(MAX(AF38:AK38)&gt;AK43+0+$B$18,1,0))</f>
        <v>1</v>
      </c>
      <c r="AL49" s="352" t="n">
        <f aca="false">IF(34&lt;5,0,IF(MAX(AG38:AL38)&gt;AL43+0+$B$18,1,0))</f>
        <v>1</v>
      </c>
      <c r="AM49" s="352" t="n">
        <f aca="false">IF(35&lt;5,0,IF(MAX(AH38:AM38)&gt;AM43+0+$B$18,1,0))</f>
        <v>1</v>
      </c>
      <c r="AN49" s="352" t="n">
        <f aca="false">IF(36&lt;5,0,IF(MAX(AI38:AN38)&gt;AN43+0+$B$18,1,0))</f>
        <v>0</v>
      </c>
      <c r="AO49" s="352" t="n">
        <f aca="false">IF(37&lt;5,0,IF(MAX(AJ38:AO38)&gt;AO43+0+$B$18,1,0))</f>
        <v>0</v>
      </c>
      <c r="AP49" s="352" t="n">
        <f aca="false">IF(38&lt;5,0,IF(MAX(AK38:AP38)&gt;AP43+0+$B$18,1,0))</f>
        <v>0</v>
      </c>
      <c r="AQ49" s="352" t="n">
        <f aca="false">IF(39&lt;5,0,IF(MAX(AL38:AQ38)&gt;AQ43+0+$B$18,1,0))</f>
        <v>0</v>
      </c>
      <c r="AR49" s="352" t="n">
        <f aca="false">IF(40&lt;5,0,IF(MAX(AM38:AR38)&gt;AR43+0+$B$18,1,0))</f>
        <v>0</v>
      </c>
      <c r="AS49" s="352" t="n">
        <f aca="false">IF(41&lt;5,0,IF(MAX(AN38:AS38)&gt;AS43+0+$B$18,1,0))</f>
        <v>0</v>
      </c>
      <c r="AT49" s="352" t="n">
        <f aca="false">IF(42&lt;5,0,IF(MAX(AO38:AT38)&gt;AT43+0+$B$18,1,0))</f>
        <v>0</v>
      </c>
      <c r="AU49" s="352" t="n">
        <f aca="false">IF(43&lt;5,0,IF(MAX(AP38:AU38)&gt;AU43+0+$B$18,1,0))</f>
        <v>0</v>
      </c>
      <c r="AV49" s="352" t="n">
        <f aca="false">IF(44&lt;5,0,IF(MAX(AQ38:AV38)&gt;AV43+0+$B$18,1,0))</f>
        <v>0</v>
      </c>
      <c r="AW49" s="352" t="n">
        <f aca="false">IF(45&lt;5,0,IF(MAX(AR38:AW38)&gt;AW43+0+$B$18,1,0))</f>
        <v>0</v>
      </c>
      <c r="AX49" s="352" t="n">
        <f aca="false">IF(46&lt;5,0,IF(MAX(AS38:AX38)&gt;AX43+0+$B$18,1,0))</f>
        <v>0</v>
      </c>
      <c r="AY49" s="352" t="n">
        <f aca="false">IF(47&lt;5,0,IF(MAX(AT38:AY38)&gt;AY43+0+$B$18,1,0))</f>
        <v>0</v>
      </c>
      <c r="AZ49" s="352" t="n">
        <f aca="false">IF(48&lt;5,0,IF(MAX(AU38:AZ38)&gt;AZ43+0+$B$18,1,0))</f>
        <v>0</v>
      </c>
      <c r="BA49" s="352" t="n">
        <f aca="false">IF(49&lt;5,0,IF(MAX(AV38:BA38)&gt;BA43+0+$B$18,1,0))</f>
        <v>0</v>
      </c>
      <c r="BB49" s="352" t="n">
        <f aca="false">IF(50&lt;5,0,IF(MAX(AW38:BB38)&gt;BB43+0+$B$18,1,0))</f>
        <v>0</v>
      </c>
      <c r="BC49" s="352" t="n">
        <f aca="false">IF(51&lt;5,0,IF(MAX(AX38:BC38)&gt;BC43+0+$B$18,1,0))</f>
        <v>0</v>
      </c>
      <c r="BD49" s="352" t="n">
        <f aca="false">IF(52&lt;5,0,IF(MAX(AY38:BD38)&gt;BD43+0+$B$18,1,0))</f>
        <v>0</v>
      </c>
      <c r="BE49" s="352" t="n">
        <f aca="false">IF(53&lt;5,0,IF(MAX(AZ38:BE38)&gt;BE43+0+$B$18,1,0))</f>
        <v>0</v>
      </c>
      <c r="BF49" s="352" t="n">
        <f aca="false">IF(54&lt;5,0,IF(MAX(BA38:BF38)&gt;BF43+0+$B$18,1,0))</f>
        <v>0</v>
      </c>
      <c r="BG49" s="352" t="n">
        <f aca="false">IF(55&lt;5,0,IF(MAX(BB38:BG38)&gt;BG43+0+$B$18,1,0))</f>
        <v>0</v>
      </c>
      <c r="BH49" s="352" t="n">
        <f aca="false">IF(56&lt;5,0,IF(MAX(BC38:BH38)&gt;BH43+0+$B$18,1,0))</f>
        <v>0</v>
      </c>
      <c r="BI49" s="352" t="n">
        <f aca="false">IF(57&lt;5,0,IF(MAX(BD38:BI38)&gt;BI43+0+$B$18,1,0))</f>
        <v>0</v>
      </c>
      <c r="BJ49" s="352" t="n">
        <f aca="false">IF(58&lt;5,0,IF(MAX(BE38:BJ38)&gt;BJ43+0+$B$18,1,0))</f>
        <v>0</v>
      </c>
      <c r="BK49" s="352" t="n">
        <f aca="false">IF(59&lt;5,0,IF(MAX(BF38:BK38)&gt;BK43+0+$B$18,1,0))</f>
        <v>0</v>
      </c>
      <c r="BL49" s="352" t="n">
        <f aca="false">IF(60&lt;5,0,IF(MAX(BG38:BL38)&gt;BL43+0+$B$18,1,0))</f>
        <v>0</v>
      </c>
      <c r="BM49" s="352" t="n">
        <f aca="false">IF(61&lt;5,0,IF(MAX(BH38:BM38)&gt;BM43+0+$B$18,1,0))</f>
        <v>0</v>
      </c>
      <c r="BN49" s="352" t="n">
        <f aca="false">IF(62&lt;5,0,IF(MAX(BI38:BN38)&gt;BN43+0+$B$18,1,0))</f>
        <v>0</v>
      </c>
      <c r="BO49" s="352" t="n">
        <f aca="false">IF(63&lt;5,0,IF(MAX(BJ38:BO38)&gt;BO43+0+$B$18,1,0))</f>
        <v>0</v>
      </c>
      <c r="BP49" s="352" t="n">
        <f aca="false">IF(64&lt;5,0,IF(MAX(BK38:BP38)&gt;BP43+0+$B$18,1,0))</f>
        <v>0</v>
      </c>
      <c r="BQ49" s="352" t="n">
        <f aca="false">IF(65&lt;5,0,IF(MAX(BL38:BQ38)&gt;BQ43+0+$B$18,1,0))</f>
        <v>0</v>
      </c>
      <c r="BR49" s="352" t="n">
        <f aca="false">IF(66&lt;5,0,IF(MAX(BM38:BR38)&gt;BR43+0+$B$18,1,0))</f>
        <v>0</v>
      </c>
      <c r="BS49" s="352" t="n">
        <f aca="false">IF(67&lt;5,0,IF(MAX(BN38:BS38)&gt;BS43+0+$B$18,1,0))</f>
        <v>0</v>
      </c>
      <c r="BT49" s="352" t="n">
        <f aca="false">IF(68&lt;5,0,IF(MAX(BO38:BT38)&gt;BT43+0+$B$18,1,0))</f>
        <v>0</v>
      </c>
      <c r="BU49" s="352" t="n">
        <f aca="false">IF(69&lt;5,0,IF(MAX(BP38:BU38)&gt;BU43+0+$B$18,1,0))</f>
        <v>0</v>
      </c>
      <c r="BV49" s="352" t="n">
        <f aca="false">IF(70&lt;5,0,IF(MAX(BQ38:BV38)&gt;BV43+0+$B$18,1,0))</f>
        <v>0</v>
      </c>
      <c r="BW49" s="352" t="n">
        <f aca="false">IF(71&lt;5,0,IF(MAX(BR38:BW38)&gt;BW43+0+$B$18,1,0))</f>
        <v>0</v>
      </c>
      <c r="BX49" s="352" t="n">
        <f aca="false">IF(72&lt;5,0,IF(MAX(BS38:BX38)&gt;BX43+0+$B$18,1,0))</f>
        <v>0</v>
      </c>
      <c r="BY49" s="352" t="n">
        <f aca="false">IF(73&lt;5,0,IF(MAX(BT38:BY38)&gt;BY43+0+$B$18,1,0))</f>
        <v>0</v>
      </c>
      <c r="BZ49" s="352" t="n">
        <f aca="false">IF(74&lt;5,0,IF(MAX(BU38:BZ38)&gt;BZ43+0+$B$18,1,0))</f>
        <v>0</v>
      </c>
      <c r="CA49" s="352" t="n">
        <f aca="false">IF(75&lt;5,0,IF(MAX(BV38:CA38)&gt;CA43+0+$B$18,1,0))</f>
        <v>0</v>
      </c>
      <c r="CB49" s="352" t="n">
        <f aca="false">IF(76&lt;5,0,IF(MAX(BW38:CB38)&gt;CB43+0+$B$18,1,0))</f>
        <v>0</v>
      </c>
      <c r="CC49" s="352" t="n">
        <f aca="false">IF(77&lt;5,0,IF(MAX(BX38:CC38)&gt;CC43+0+$B$18,1,0))</f>
        <v>0</v>
      </c>
      <c r="CD49" s="352" t="n">
        <f aca="false">IF(78&lt;5,0,IF(MAX(BY38:CD38)&gt;CD43+0+$B$18,1,0))</f>
        <v>0</v>
      </c>
      <c r="CE49" s="352" t="n">
        <f aca="false">IF(79&lt;5,0,IF(MAX(BZ38:CE38)&gt;CE43+0+$B$18,1,0))</f>
        <v>0</v>
      </c>
      <c r="CF49" s="352" t="n">
        <f aca="false">IF(80&lt;5,0,IF(MAX(CA38:CF38)&gt;CF43+0+$B$18,1,0))</f>
        <v>0</v>
      </c>
      <c r="CG49" s="352" t="n">
        <f aca="false">IF(81&lt;5,0,IF(MAX(CB38:CG38)&gt;CG43+0+$B$18,1,0))</f>
        <v>0</v>
      </c>
      <c r="CH49" s="352" t="n">
        <f aca="false">IF(82&lt;5,0,IF(MAX(CC38:CH38)&gt;CH43+0+$B$18,1,0))</f>
        <v>0</v>
      </c>
      <c r="CI49" s="352" t="n">
        <f aca="false">IF(83&lt;5,0,IF(MAX(CD38:CI38)&gt;CI43+0+$B$18,1,0))</f>
        <v>0</v>
      </c>
      <c r="CJ49" s="352" t="n">
        <f aca="false">IF(84&lt;5,0,IF(MAX(CE38:CJ38)&gt;CJ43+0+$B$18,1,0))</f>
        <v>0</v>
      </c>
      <c r="CK49" s="352" t="n">
        <f aca="false">IF(85&lt;5,0,IF(MAX(CF38:CK38)&gt;CK43+0+$B$18,1,0))</f>
        <v>0</v>
      </c>
      <c r="CL49" s="352" t="n">
        <f aca="false">IF(86&lt;5,0,IF(MAX(CG38:CL38)&gt;CL43+0+$B$18,1,0))</f>
        <v>0</v>
      </c>
      <c r="CM49" s="352" t="n">
        <f aca="false">IF(87&lt;5,0,IF(MAX(CH38:CM38)&gt;CM43+0+$B$18,1,0))</f>
        <v>0</v>
      </c>
      <c r="CN49" s="352" t="n">
        <f aca="false">IF(88&lt;5,0,IF(MAX(CI38:CN38)&gt;CN43+0+$B$18,1,0))</f>
        <v>0</v>
      </c>
      <c r="CO49" s="352" t="n">
        <f aca="false">IF(89&lt;5,0,IF(MAX(CJ38:CO38)&gt;CO43+0+$B$18,1,0))</f>
        <v>0</v>
      </c>
      <c r="CP49" s="352" t="n">
        <f aca="false">IF(90&lt;5,0,IF(MAX(CK38:CP38)&gt;CP43+0+$B$18,1,0))</f>
        <v>0</v>
      </c>
      <c r="CQ49" s="352" t="n">
        <f aca="false">IF(91&lt;5,0,IF(MAX(CL38:CQ38)&gt;CQ43+0+$B$18,1,0))</f>
        <v>0</v>
      </c>
      <c r="CR49" s="352" t="n">
        <f aca="false">IF(92&lt;5,0,IF(MAX(CM38:CR38)&gt;CR43+0+$B$18,1,0))</f>
        <v>0</v>
      </c>
      <c r="CS49" s="352" t="n">
        <f aca="false">IF(93&lt;5,0,IF(MAX(CN38:CS38)&gt;CS43+0+$B$18,1,0))</f>
        <v>0</v>
      </c>
      <c r="CT49" s="352" t="n">
        <f aca="false">IF(94&lt;5,0,IF(MAX(CO38:CT38)&gt;CT43+0+$B$18,1,0))</f>
        <v>0</v>
      </c>
      <c r="CU49" s="352" t="n">
        <f aca="false">IF(95&lt;5,0,IF(MAX(CP38:CU38)&gt;CU43+0+$B$18,1,0))</f>
        <v>0</v>
      </c>
      <c r="CV49" s="352" t="n">
        <f aca="false">IF(96&lt;5,0,IF(MAX(CQ38:CV38)&gt;CV43+0+$B$18,1,0))</f>
        <v>0</v>
      </c>
      <c r="CW49" s="352" t="n">
        <f aca="false">IF(97&lt;5,0,IF(MAX(CR38:CW38)&gt;CW43+0+$B$18,1,0))</f>
        <v>0</v>
      </c>
      <c r="CX49" s="352" t="n">
        <f aca="false">IF(98&lt;5,0,IF(MAX(CS38:CX38)&gt;CX43+0+$B$18,1,0))</f>
        <v>0</v>
      </c>
      <c r="CY49" s="352" t="n">
        <f aca="false">IF(99&lt;5,0,IF(MAX(CT38:CY38)&gt;CY43+0+$B$18,1,0))</f>
        <v>0</v>
      </c>
      <c r="CZ49" s="352" t="n">
        <f aca="false">IF(100&lt;5,0,IF(MAX(CU38:CZ38)&gt;CZ43+0+$B$18,1,0))</f>
        <v>0</v>
      </c>
      <c r="DA49" s="352" t="n">
        <f aca="false">IF(101&lt;5,0,IF(MAX(CV38:DA38)&gt;DA43+0+$B$18,1,0))</f>
        <v>0</v>
      </c>
      <c r="DB49" s="352" t="n">
        <f aca="false">IF(102&lt;5,0,IF(MAX(CW38:DB38)&gt;DB43+0+$B$18,1,0))</f>
        <v>0</v>
      </c>
      <c r="DC49" s="352" t="n">
        <f aca="false">IF(103&lt;5,0,IF(MAX(CX38:DC38)&gt;DC43+0+$B$18,1,0))</f>
        <v>0</v>
      </c>
      <c r="DD49" s="352" t="n">
        <f aca="false">IF(104&lt;5,0,IF(MAX(CY38:DD38)&gt;DD43+0+$B$18,1,0))</f>
        <v>0</v>
      </c>
      <c r="DE49" s="352" t="n">
        <f aca="false">IF(105&lt;5,0,IF(MAX(CZ38:DE38)&gt;DE43+0+$B$18,1,0))</f>
        <v>0</v>
      </c>
    </row>
    <row r="50" customFormat="false" ht="13.5" hidden="false" customHeight="true" outlineLevel="0" collapsed="false">
      <c r="A50" s="109" t="s">
        <v>1179</v>
      </c>
      <c r="B50" s="211" t="n">
        <f aca="false">$B$26</f>
        <v>160000</v>
      </c>
      <c r="E50" s="352" t="n">
        <f aca="false">IF(1&lt;5,0,IF(MAX(E38)&gt;E43+1+$B$18,1,0))</f>
        <v>0</v>
      </c>
      <c r="F50" s="352" t="n">
        <f aca="false">IF(2&lt;5,0,IF(MAX(E38:F38)&gt;F43+1+$B$18,1,0))</f>
        <v>0</v>
      </c>
      <c r="G50" s="352" t="n">
        <f aca="false">IF(3&lt;5,0,IF(MAX(E38:G38)&gt;G43+1+$B$18,1,0))</f>
        <v>0</v>
      </c>
      <c r="H50" s="352" t="n">
        <f aca="false">IF(4&lt;5,0,IF(MAX(E38:H38)&gt;H43+1+$B$18,1,0))</f>
        <v>0</v>
      </c>
      <c r="I50" s="352" t="n">
        <f aca="false">IF(5&lt;5,0,IF(MAX(E38:I38)&gt;I43+1+$B$18,1,0))</f>
        <v>0</v>
      </c>
      <c r="J50" s="352" t="n">
        <f aca="false">IF(6&lt;5,0,IF(MAX(E38:J38)&gt;J43+1+$B$18,1,0))</f>
        <v>0</v>
      </c>
      <c r="K50" s="352" t="n">
        <f aca="false">IF(7&lt;5,0,IF(MAX(F38:K38)&gt;K43+1+$B$18,1,0))</f>
        <v>0</v>
      </c>
      <c r="L50" s="352" t="n">
        <f aca="false">IF(8&lt;5,0,IF(MAX(G38:L38)&gt;L43+1+$B$18,1,0))</f>
        <v>0</v>
      </c>
      <c r="M50" s="352" t="n">
        <f aca="false">IF(9&lt;5,0,IF(MAX(H38:M38)&gt;M43+1+$B$18,1,0))</f>
        <v>1</v>
      </c>
      <c r="N50" s="352" t="n">
        <f aca="false">IF(10&lt;5,0,IF(MAX(I38:N38)&gt;N43+1+$B$18,1,0))</f>
        <v>1</v>
      </c>
      <c r="O50" s="352" t="n">
        <f aca="false">IF(11&lt;5,0,IF(MAX(J38:O38)&gt;O43+1+$B$18,1,0))</f>
        <v>1</v>
      </c>
      <c r="P50" s="352" t="n">
        <f aca="false">IF(12&lt;5,0,IF(MAX(K38:P38)&gt;P43+1+$B$18,1,0))</f>
        <v>1</v>
      </c>
      <c r="Q50" s="352" t="n">
        <f aca="false">IF(13&lt;5,0,IF(MAX(L38:Q38)&gt;Q43+1+$B$18,1,0))</f>
        <v>1</v>
      </c>
      <c r="R50" s="352" t="n">
        <f aca="false">IF(14&lt;5,0,IF(MAX(M38:R38)&gt;R43+1+$B$18,1,0))</f>
        <v>1</v>
      </c>
      <c r="S50" s="352" t="n">
        <f aca="false">IF(15&lt;5,0,IF(MAX(N38:S38)&gt;S43+1+$B$18,1,0))</f>
        <v>1</v>
      </c>
      <c r="T50" s="352" t="n">
        <f aca="false">IF(16&lt;5,0,IF(MAX(O38:T38)&gt;T43+1+$B$18,1,0))</f>
        <v>1</v>
      </c>
      <c r="U50" s="352" t="n">
        <f aca="false">IF(17&lt;5,0,IF(MAX(P38:U38)&gt;U43+1+$B$18,1,0))</f>
        <v>1</v>
      </c>
      <c r="V50" s="352" t="n">
        <f aca="false">IF(18&lt;5,0,IF(MAX(Q38:V38)&gt;V43+1+$B$18,1,0))</f>
        <v>1</v>
      </c>
      <c r="W50" s="352" t="n">
        <f aca="false">IF(19&lt;5,0,IF(MAX(R38:W38)&gt;W43+1+$B$18,1,0))</f>
        <v>1</v>
      </c>
      <c r="X50" s="352" t="n">
        <f aca="false">IF(20&lt;5,0,IF(MAX(S38:X38)&gt;X43+1+$B$18,1,0))</f>
        <v>1</v>
      </c>
      <c r="Y50" s="352" t="n">
        <f aca="false">IF(21&lt;5,0,IF(MAX(T38:Y38)&gt;Y43+1+$B$18,1,0))</f>
        <v>1</v>
      </c>
      <c r="Z50" s="352" t="n">
        <f aca="false">IF(22&lt;5,0,IF(MAX(U38:Z38)&gt;Z43+1+$B$18,1,0))</f>
        <v>1</v>
      </c>
      <c r="AA50" s="352" t="n">
        <f aca="false">IF(23&lt;5,0,IF(MAX(V38:AA38)&gt;AA43+1+$B$18,1,0))</f>
        <v>1</v>
      </c>
      <c r="AB50" s="352" t="n">
        <f aca="false">IF(24&lt;5,0,IF(MAX(W38:AB38)&gt;AB43+1+$B$18,1,0))</f>
        <v>1</v>
      </c>
      <c r="AC50" s="352" t="n">
        <f aca="false">IF(25&lt;5,0,IF(MAX(X38:AC38)&gt;AC43+1+$B$18,1,0))</f>
        <v>1</v>
      </c>
      <c r="AD50" s="352" t="n">
        <f aca="false">IF(26&lt;5,0,IF(MAX(Y38:AD38)&gt;AD43+1+$B$18,1,0))</f>
        <v>1</v>
      </c>
      <c r="AE50" s="352" t="n">
        <f aca="false">IF(27&lt;5,0,IF(MAX(Z38:AE38)&gt;AE43+1+$B$18,1,0))</f>
        <v>1</v>
      </c>
      <c r="AF50" s="352" t="n">
        <f aca="false">IF(28&lt;5,0,IF(MAX(AA38:AF38)&gt;AF43+1+$B$18,1,0))</f>
        <v>1</v>
      </c>
      <c r="AG50" s="352" t="n">
        <f aca="false">IF(29&lt;5,0,IF(MAX(AB38:AG38)&gt;AG43+1+$B$18,1,0))</f>
        <v>1</v>
      </c>
      <c r="AH50" s="352" t="n">
        <f aca="false">IF(30&lt;5,0,IF(MAX(AC38:AH38)&gt;AH43+1+$B$18,1,0))</f>
        <v>1</v>
      </c>
      <c r="AI50" s="352" t="n">
        <f aca="false">IF(31&lt;5,0,IF(MAX(AD38:AI38)&gt;AI43+1+$B$18,1,0))</f>
        <v>1</v>
      </c>
      <c r="AJ50" s="352" t="n">
        <f aca="false">IF(32&lt;5,0,IF(MAX(AE38:AJ38)&gt;AJ43+1+$B$18,1,0))</f>
        <v>1</v>
      </c>
      <c r="AK50" s="352" t="n">
        <f aca="false">IF(33&lt;5,0,IF(MAX(AF38:AK38)&gt;AK43+1+$B$18,1,0))</f>
        <v>1</v>
      </c>
      <c r="AL50" s="352" t="n">
        <f aca="false">IF(34&lt;5,0,IF(MAX(AG38:AL38)&gt;AL43+1+$B$18,1,0))</f>
        <v>1</v>
      </c>
      <c r="AM50" s="352" t="n">
        <f aca="false">IF(35&lt;5,0,IF(MAX(AH38:AM38)&gt;AM43+1+$B$18,1,0))</f>
        <v>0</v>
      </c>
      <c r="AN50" s="352" t="n">
        <f aca="false">IF(36&lt;5,0,IF(MAX(AI38:AN38)&gt;AN43+1+$B$18,1,0))</f>
        <v>0</v>
      </c>
      <c r="AO50" s="352" t="n">
        <f aca="false">IF(37&lt;5,0,IF(MAX(AJ38:AO38)&gt;AO43+1+$B$18,1,0))</f>
        <v>0</v>
      </c>
      <c r="AP50" s="352" t="n">
        <f aca="false">IF(38&lt;5,0,IF(MAX(AK38:AP38)&gt;AP43+1+$B$18,1,0))</f>
        <v>0</v>
      </c>
      <c r="AQ50" s="352" t="n">
        <f aca="false">IF(39&lt;5,0,IF(MAX(AL38:AQ38)&gt;AQ43+1+$B$18,1,0))</f>
        <v>0</v>
      </c>
      <c r="AR50" s="352" t="n">
        <f aca="false">IF(40&lt;5,0,IF(MAX(AM38:AR38)&gt;AR43+1+$B$18,1,0))</f>
        <v>0</v>
      </c>
      <c r="AS50" s="352" t="n">
        <f aca="false">IF(41&lt;5,0,IF(MAX(AN38:AS38)&gt;AS43+1+$B$18,1,0))</f>
        <v>0</v>
      </c>
      <c r="AT50" s="352" t="n">
        <f aca="false">IF(42&lt;5,0,IF(MAX(AO38:AT38)&gt;AT43+1+$B$18,1,0))</f>
        <v>0</v>
      </c>
      <c r="AU50" s="352" t="n">
        <f aca="false">IF(43&lt;5,0,IF(MAX(AP38:AU38)&gt;AU43+1+$B$18,1,0))</f>
        <v>0</v>
      </c>
      <c r="AV50" s="352" t="n">
        <f aca="false">IF(44&lt;5,0,IF(MAX(AQ38:AV38)&gt;AV43+1+$B$18,1,0))</f>
        <v>0</v>
      </c>
      <c r="AW50" s="352" t="n">
        <f aca="false">IF(45&lt;5,0,IF(MAX(AR38:AW38)&gt;AW43+1+$B$18,1,0))</f>
        <v>0</v>
      </c>
      <c r="AX50" s="352" t="n">
        <f aca="false">IF(46&lt;5,0,IF(MAX(AS38:AX38)&gt;AX43+1+$B$18,1,0))</f>
        <v>0</v>
      </c>
      <c r="AY50" s="352" t="n">
        <f aca="false">IF(47&lt;5,0,IF(MAX(AT38:AY38)&gt;AY43+1+$B$18,1,0))</f>
        <v>0</v>
      </c>
      <c r="AZ50" s="352" t="n">
        <f aca="false">IF(48&lt;5,0,IF(MAX(AU38:AZ38)&gt;AZ43+1+$B$18,1,0))</f>
        <v>0</v>
      </c>
      <c r="BA50" s="352" t="n">
        <f aca="false">IF(49&lt;5,0,IF(MAX(AV38:BA38)&gt;BA43+1+$B$18,1,0))</f>
        <v>0</v>
      </c>
      <c r="BB50" s="352" t="n">
        <f aca="false">IF(50&lt;5,0,IF(MAX(AW38:BB38)&gt;BB43+1+$B$18,1,0))</f>
        <v>0</v>
      </c>
      <c r="BC50" s="352" t="n">
        <f aca="false">IF(51&lt;5,0,IF(MAX(AX38:BC38)&gt;BC43+1+$B$18,1,0))</f>
        <v>0</v>
      </c>
      <c r="BD50" s="352" t="n">
        <f aca="false">IF(52&lt;5,0,IF(MAX(AY38:BD38)&gt;BD43+1+$B$18,1,0))</f>
        <v>0</v>
      </c>
      <c r="BE50" s="352" t="n">
        <f aca="false">IF(53&lt;5,0,IF(MAX(AZ38:BE38)&gt;BE43+1+$B$18,1,0))</f>
        <v>0</v>
      </c>
      <c r="BF50" s="352" t="n">
        <f aca="false">IF(54&lt;5,0,IF(MAX(BA38:BF38)&gt;BF43+1+$B$18,1,0))</f>
        <v>0</v>
      </c>
      <c r="BG50" s="352" t="n">
        <f aca="false">IF(55&lt;5,0,IF(MAX(BB38:BG38)&gt;BG43+1+$B$18,1,0))</f>
        <v>0</v>
      </c>
      <c r="BH50" s="352" t="n">
        <f aca="false">IF(56&lt;5,0,IF(MAX(BC38:BH38)&gt;BH43+1+$B$18,1,0))</f>
        <v>0</v>
      </c>
      <c r="BI50" s="352" t="n">
        <f aca="false">IF(57&lt;5,0,IF(MAX(BD38:BI38)&gt;BI43+1+$B$18,1,0))</f>
        <v>0</v>
      </c>
      <c r="BJ50" s="352" t="n">
        <f aca="false">IF(58&lt;5,0,IF(MAX(BE38:BJ38)&gt;BJ43+1+$B$18,1,0))</f>
        <v>0</v>
      </c>
      <c r="BK50" s="352" t="n">
        <f aca="false">IF(59&lt;5,0,IF(MAX(BF38:BK38)&gt;BK43+1+$B$18,1,0))</f>
        <v>0</v>
      </c>
      <c r="BL50" s="352" t="n">
        <f aca="false">IF(60&lt;5,0,IF(MAX(BG38:BL38)&gt;BL43+1+$B$18,1,0))</f>
        <v>0</v>
      </c>
      <c r="BM50" s="352" t="n">
        <f aca="false">IF(61&lt;5,0,IF(MAX(BH38:BM38)&gt;BM43+1+$B$18,1,0))</f>
        <v>0</v>
      </c>
      <c r="BN50" s="352" t="n">
        <f aca="false">IF(62&lt;5,0,IF(MAX(BI38:BN38)&gt;BN43+1+$B$18,1,0))</f>
        <v>0</v>
      </c>
      <c r="BO50" s="352" t="n">
        <f aca="false">IF(63&lt;5,0,IF(MAX(BJ38:BO38)&gt;BO43+1+$B$18,1,0))</f>
        <v>0</v>
      </c>
      <c r="BP50" s="352" t="n">
        <f aca="false">IF(64&lt;5,0,IF(MAX(BK38:BP38)&gt;BP43+1+$B$18,1,0))</f>
        <v>0</v>
      </c>
      <c r="BQ50" s="352" t="n">
        <f aca="false">IF(65&lt;5,0,IF(MAX(BL38:BQ38)&gt;BQ43+1+$B$18,1,0))</f>
        <v>0</v>
      </c>
      <c r="BR50" s="352" t="n">
        <f aca="false">IF(66&lt;5,0,IF(MAX(BM38:BR38)&gt;BR43+1+$B$18,1,0))</f>
        <v>0</v>
      </c>
      <c r="BS50" s="352" t="n">
        <f aca="false">IF(67&lt;5,0,IF(MAX(BN38:BS38)&gt;BS43+1+$B$18,1,0))</f>
        <v>0</v>
      </c>
      <c r="BT50" s="352" t="n">
        <f aca="false">IF(68&lt;5,0,IF(MAX(BO38:BT38)&gt;BT43+1+$B$18,1,0))</f>
        <v>0</v>
      </c>
      <c r="BU50" s="352" t="n">
        <f aca="false">IF(69&lt;5,0,IF(MAX(BP38:BU38)&gt;BU43+1+$B$18,1,0))</f>
        <v>0</v>
      </c>
      <c r="BV50" s="352" t="n">
        <f aca="false">IF(70&lt;5,0,IF(MAX(BQ38:BV38)&gt;BV43+1+$B$18,1,0))</f>
        <v>0</v>
      </c>
      <c r="BW50" s="352" t="n">
        <f aca="false">IF(71&lt;5,0,IF(MAX(BR38:BW38)&gt;BW43+1+$B$18,1,0))</f>
        <v>0</v>
      </c>
      <c r="BX50" s="352" t="n">
        <f aca="false">IF(72&lt;5,0,IF(MAX(BS38:BX38)&gt;BX43+1+$B$18,1,0))</f>
        <v>0</v>
      </c>
      <c r="BY50" s="352" t="n">
        <f aca="false">IF(73&lt;5,0,IF(MAX(BT38:BY38)&gt;BY43+1+$B$18,1,0))</f>
        <v>0</v>
      </c>
      <c r="BZ50" s="352" t="n">
        <f aca="false">IF(74&lt;5,0,IF(MAX(BU38:BZ38)&gt;BZ43+1+$B$18,1,0))</f>
        <v>0</v>
      </c>
      <c r="CA50" s="352" t="n">
        <f aca="false">IF(75&lt;5,0,IF(MAX(BV38:CA38)&gt;CA43+1+$B$18,1,0))</f>
        <v>0</v>
      </c>
      <c r="CB50" s="352" t="n">
        <f aca="false">IF(76&lt;5,0,IF(MAX(BW38:CB38)&gt;CB43+1+$B$18,1,0))</f>
        <v>0</v>
      </c>
      <c r="CC50" s="352" t="n">
        <f aca="false">IF(77&lt;5,0,IF(MAX(BX38:CC38)&gt;CC43+1+$B$18,1,0))</f>
        <v>0</v>
      </c>
      <c r="CD50" s="352" t="n">
        <f aca="false">IF(78&lt;5,0,IF(MAX(BY38:CD38)&gt;CD43+1+$B$18,1,0))</f>
        <v>0</v>
      </c>
      <c r="CE50" s="352" t="n">
        <f aca="false">IF(79&lt;5,0,IF(MAX(BZ38:CE38)&gt;CE43+1+$B$18,1,0))</f>
        <v>0</v>
      </c>
      <c r="CF50" s="352" t="n">
        <f aca="false">IF(80&lt;5,0,IF(MAX(CA38:CF38)&gt;CF43+1+$B$18,1,0))</f>
        <v>0</v>
      </c>
      <c r="CG50" s="352" t="n">
        <f aca="false">IF(81&lt;5,0,IF(MAX(CB38:CG38)&gt;CG43+1+$B$18,1,0))</f>
        <v>0</v>
      </c>
      <c r="CH50" s="352" t="n">
        <f aca="false">IF(82&lt;5,0,IF(MAX(CC38:CH38)&gt;CH43+1+$B$18,1,0))</f>
        <v>0</v>
      </c>
      <c r="CI50" s="352" t="n">
        <f aca="false">IF(83&lt;5,0,IF(MAX(CD38:CI38)&gt;CI43+1+$B$18,1,0))</f>
        <v>0</v>
      </c>
      <c r="CJ50" s="352" t="n">
        <f aca="false">IF(84&lt;5,0,IF(MAX(CE38:CJ38)&gt;CJ43+1+$B$18,1,0))</f>
        <v>0</v>
      </c>
      <c r="CK50" s="352" t="n">
        <f aca="false">IF(85&lt;5,0,IF(MAX(CF38:CK38)&gt;CK43+1+$B$18,1,0))</f>
        <v>0</v>
      </c>
      <c r="CL50" s="352" t="n">
        <f aca="false">IF(86&lt;5,0,IF(MAX(CG38:CL38)&gt;CL43+1+$B$18,1,0))</f>
        <v>0</v>
      </c>
      <c r="CM50" s="352" t="n">
        <f aca="false">IF(87&lt;5,0,IF(MAX(CH38:CM38)&gt;CM43+1+$B$18,1,0))</f>
        <v>0</v>
      </c>
      <c r="CN50" s="352" t="n">
        <f aca="false">IF(88&lt;5,0,IF(MAX(CI38:CN38)&gt;CN43+1+$B$18,1,0))</f>
        <v>0</v>
      </c>
      <c r="CO50" s="352" t="n">
        <f aca="false">IF(89&lt;5,0,IF(MAX(CJ38:CO38)&gt;CO43+1+$B$18,1,0))</f>
        <v>0</v>
      </c>
      <c r="CP50" s="352" t="n">
        <f aca="false">IF(90&lt;5,0,IF(MAX(CK38:CP38)&gt;CP43+1+$B$18,1,0))</f>
        <v>0</v>
      </c>
      <c r="CQ50" s="352" t="n">
        <f aca="false">IF(91&lt;5,0,IF(MAX(CL38:CQ38)&gt;CQ43+1+$B$18,1,0))</f>
        <v>0</v>
      </c>
      <c r="CR50" s="352" t="n">
        <f aca="false">IF(92&lt;5,0,IF(MAX(CM38:CR38)&gt;CR43+1+$B$18,1,0))</f>
        <v>0</v>
      </c>
      <c r="CS50" s="352" t="n">
        <f aca="false">IF(93&lt;5,0,IF(MAX(CN38:CS38)&gt;CS43+1+$B$18,1,0))</f>
        <v>0</v>
      </c>
      <c r="CT50" s="352" t="n">
        <f aca="false">IF(94&lt;5,0,IF(MAX(CO38:CT38)&gt;CT43+1+$B$18,1,0))</f>
        <v>0</v>
      </c>
      <c r="CU50" s="352" t="n">
        <f aca="false">IF(95&lt;5,0,IF(MAX(CP38:CU38)&gt;CU43+1+$B$18,1,0))</f>
        <v>0</v>
      </c>
      <c r="CV50" s="352" t="n">
        <f aca="false">IF(96&lt;5,0,IF(MAX(CQ38:CV38)&gt;CV43+1+$B$18,1,0))</f>
        <v>0</v>
      </c>
      <c r="CW50" s="352" t="n">
        <f aca="false">IF(97&lt;5,0,IF(MAX(CR38:CW38)&gt;CW43+1+$B$18,1,0))</f>
        <v>0</v>
      </c>
      <c r="CX50" s="352" t="n">
        <f aca="false">IF(98&lt;5,0,IF(MAX(CS38:CX38)&gt;CX43+1+$B$18,1,0))</f>
        <v>0</v>
      </c>
      <c r="CY50" s="352" t="n">
        <f aca="false">IF(99&lt;5,0,IF(MAX(CT38:CY38)&gt;CY43+1+$B$18,1,0))</f>
        <v>0</v>
      </c>
      <c r="CZ50" s="352" t="n">
        <f aca="false">IF(100&lt;5,0,IF(MAX(CU38:CZ38)&gt;CZ43+1+$B$18,1,0))</f>
        <v>0</v>
      </c>
      <c r="DA50" s="352" t="n">
        <f aca="false">IF(101&lt;5,0,IF(MAX(CV38:DA38)&gt;DA43+1+$B$18,1,0))</f>
        <v>0</v>
      </c>
      <c r="DB50" s="352" t="n">
        <f aca="false">IF(102&lt;5,0,IF(MAX(CW38:DB38)&gt;DB43+1+$B$18,1,0))</f>
        <v>0</v>
      </c>
      <c r="DC50" s="352" t="n">
        <f aca="false">IF(103&lt;5,0,IF(MAX(CX38:DC38)&gt;DC43+1+$B$18,1,0))</f>
        <v>0</v>
      </c>
      <c r="DD50" s="352" t="n">
        <f aca="false">IF(104&lt;5,0,IF(MAX(CY38:DD38)&gt;DD43+1+$B$18,1,0))</f>
        <v>0</v>
      </c>
      <c r="DE50" s="352" t="n">
        <f aca="false">IF(105&lt;5,0,IF(MAX(CZ38:DE38)&gt;DE43+1+$B$18,1,0))</f>
        <v>0</v>
      </c>
    </row>
    <row r="51" customFormat="false" ht="13.5" hidden="false" customHeight="true" outlineLevel="0" collapsed="false">
      <c r="A51" s="109" t="s">
        <v>1180</v>
      </c>
      <c r="B51" s="211" t="n">
        <f aca="false">$B$26</f>
        <v>160000</v>
      </c>
      <c r="E51" s="352" t="n">
        <f aca="false">IF(1&lt;5,0,IF(MAX(E38)&gt;E43+2+$B$18,1,0))</f>
        <v>0</v>
      </c>
      <c r="F51" s="352" t="n">
        <f aca="false">IF(2&lt;5,0,IF(MAX(E38:F38)&gt;F43+2+$B$18,1,0))</f>
        <v>0</v>
      </c>
      <c r="G51" s="352" t="n">
        <f aca="false">IF(3&lt;5,0,IF(MAX(E38:G38)&gt;G43+2+$B$18,1,0))</f>
        <v>0</v>
      </c>
      <c r="H51" s="352" t="n">
        <f aca="false">IF(4&lt;5,0,IF(MAX(E38:H38)&gt;H43+2+$B$18,1,0))</f>
        <v>0</v>
      </c>
      <c r="I51" s="352" t="n">
        <f aca="false">IF(5&lt;5,0,IF(MAX(E38:I38)&gt;I43+2+$B$18,1,0))</f>
        <v>0</v>
      </c>
      <c r="J51" s="352" t="n">
        <f aca="false">IF(6&lt;5,0,IF(MAX(E38:J38)&gt;J43+2+$B$18,1,0))</f>
        <v>0</v>
      </c>
      <c r="K51" s="352" t="n">
        <f aca="false">IF(7&lt;5,0,IF(MAX(F38:K38)&gt;K43+2+$B$18,1,0))</f>
        <v>0</v>
      </c>
      <c r="L51" s="352" t="n">
        <f aca="false">IF(8&lt;5,0,IF(MAX(G38:L38)&gt;L43+2+$B$18,1,0))</f>
        <v>0</v>
      </c>
      <c r="M51" s="352" t="n">
        <f aca="false">IF(9&lt;5,0,IF(MAX(H38:M38)&gt;M43+2+$B$18,1,0))</f>
        <v>0</v>
      </c>
      <c r="N51" s="352" t="n">
        <f aca="false">IF(10&lt;5,0,IF(MAX(I38:N38)&gt;N43+2+$B$18,1,0))</f>
        <v>0</v>
      </c>
      <c r="O51" s="352" t="n">
        <f aca="false">IF(11&lt;5,0,IF(MAX(J38:O38)&gt;O43+2+$B$18,1,0))</f>
        <v>1</v>
      </c>
      <c r="P51" s="352" t="n">
        <f aca="false">IF(12&lt;5,0,IF(MAX(K38:P38)&gt;P43+2+$B$18,1,0))</f>
        <v>1</v>
      </c>
      <c r="Q51" s="352" t="n">
        <f aca="false">IF(13&lt;5,0,IF(MAX(L38:Q38)&gt;Q43+2+$B$18,1,0))</f>
        <v>1</v>
      </c>
      <c r="R51" s="352" t="n">
        <f aca="false">IF(14&lt;5,0,IF(MAX(M38:R38)&gt;R43+2+$B$18,1,0))</f>
        <v>1</v>
      </c>
      <c r="S51" s="352" t="n">
        <f aca="false">IF(15&lt;5,0,IF(MAX(N38:S38)&gt;S43+2+$B$18,1,0))</f>
        <v>1</v>
      </c>
      <c r="T51" s="352" t="n">
        <f aca="false">IF(16&lt;5,0,IF(MAX(O38:T38)&gt;T43+2+$B$18,1,0))</f>
        <v>1</v>
      </c>
      <c r="U51" s="352" t="n">
        <f aca="false">IF(17&lt;5,0,IF(MAX(P38:U38)&gt;U43+2+$B$18,1,0))</f>
        <v>1</v>
      </c>
      <c r="V51" s="352" t="n">
        <f aca="false">IF(18&lt;5,0,IF(MAX(Q38:V38)&gt;V43+2+$B$18,1,0))</f>
        <v>1</v>
      </c>
      <c r="W51" s="352" t="n">
        <f aca="false">IF(19&lt;5,0,IF(MAX(R38:W38)&gt;W43+2+$B$18,1,0))</f>
        <v>1</v>
      </c>
      <c r="X51" s="352" t="n">
        <f aca="false">IF(20&lt;5,0,IF(MAX(S38:X38)&gt;X43+2+$B$18,1,0))</f>
        <v>1</v>
      </c>
      <c r="Y51" s="352" t="n">
        <f aca="false">IF(21&lt;5,0,IF(MAX(T38:Y38)&gt;Y43+2+$B$18,1,0))</f>
        <v>1</v>
      </c>
      <c r="Z51" s="352" t="n">
        <f aca="false">IF(22&lt;5,0,IF(MAX(U38:Z38)&gt;Z43+2+$B$18,1,0))</f>
        <v>1</v>
      </c>
      <c r="AA51" s="352" t="n">
        <f aca="false">IF(23&lt;5,0,IF(MAX(V38:AA38)&gt;AA43+2+$B$18,1,0))</f>
        <v>1</v>
      </c>
      <c r="AB51" s="352" t="n">
        <f aca="false">IF(24&lt;5,0,IF(MAX(W38:AB38)&gt;AB43+2+$B$18,1,0))</f>
        <v>1</v>
      </c>
      <c r="AC51" s="352" t="n">
        <f aca="false">IF(25&lt;5,0,IF(MAX(X38:AC38)&gt;AC43+2+$B$18,1,0))</f>
        <v>1</v>
      </c>
      <c r="AD51" s="352" t="n">
        <f aca="false">IF(26&lt;5,0,IF(MAX(Y38:AD38)&gt;AD43+2+$B$18,1,0))</f>
        <v>1</v>
      </c>
      <c r="AE51" s="352" t="n">
        <f aca="false">IF(27&lt;5,0,IF(MAX(Z38:AE38)&gt;AE43+2+$B$18,1,0))</f>
        <v>1</v>
      </c>
      <c r="AF51" s="352" t="n">
        <f aca="false">IF(28&lt;5,0,IF(MAX(AA38:AF38)&gt;AF43+2+$B$18,1,0))</f>
        <v>1</v>
      </c>
      <c r="AG51" s="352" t="n">
        <f aca="false">IF(29&lt;5,0,IF(MAX(AB38:AG38)&gt;AG43+2+$B$18,1,0))</f>
        <v>1</v>
      </c>
      <c r="AH51" s="352" t="n">
        <f aca="false">IF(30&lt;5,0,IF(MAX(AC38:AH38)&gt;AH43+2+$B$18,1,0))</f>
        <v>1</v>
      </c>
      <c r="AI51" s="352" t="n">
        <f aca="false">IF(31&lt;5,0,IF(MAX(AD38:AI38)&gt;AI43+2+$B$18,1,0))</f>
        <v>1</v>
      </c>
      <c r="AJ51" s="352" t="n">
        <f aca="false">IF(32&lt;5,0,IF(MAX(AE38:AJ38)&gt;AJ43+2+$B$18,1,0))</f>
        <v>1</v>
      </c>
      <c r="AK51" s="352" t="n">
        <f aca="false">IF(33&lt;5,0,IF(MAX(AF38:AK38)&gt;AK43+2+$B$18,1,0))</f>
        <v>1</v>
      </c>
      <c r="AL51" s="352" t="n">
        <f aca="false">IF(34&lt;5,0,IF(MAX(AG38:AL38)&gt;AL43+2+$B$18,1,0))</f>
        <v>1</v>
      </c>
      <c r="AM51" s="352" t="n">
        <f aca="false">IF(35&lt;5,0,IF(MAX(AH38:AM38)&gt;AM43+2+$B$18,1,0))</f>
        <v>0</v>
      </c>
      <c r="AN51" s="352" t="n">
        <f aca="false">IF(36&lt;5,0,IF(MAX(AI38:AN38)&gt;AN43+2+$B$18,1,0))</f>
        <v>0</v>
      </c>
      <c r="AO51" s="352" t="n">
        <f aca="false">IF(37&lt;5,0,IF(MAX(AJ38:AO38)&gt;AO43+2+$B$18,1,0))</f>
        <v>0</v>
      </c>
      <c r="AP51" s="352" t="n">
        <f aca="false">IF(38&lt;5,0,IF(MAX(AK38:AP38)&gt;AP43+2+$B$18,1,0))</f>
        <v>0</v>
      </c>
      <c r="AQ51" s="352" t="n">
        <f aca="false">IF(39&lt;5,0,IF(MAX(AL38:AQ38)&gt;AQ43+2+$B$18,1,0))</f>
        <v>0</v>
      </c>
      <c r="AR51" s="352" t="n">
        <f aca="false">IF(40&lt;5,0,IF(MAX(AM38:AR38)&gt;AR43+2+$B$18,1,0))</f>
        <v>0</v>
      </c>
      <c r="AS51" s="352" t="n">
        <f aca="false">IF(41&lt;5,0,IF(MAX(AN38:AS38)&gt;AS43+2+$B$18,1,0))</f>
        <v>0</v>
      </c>
      <c r="AT51" s="352" t="n">
        <f aca="false">IF(42&lt;5,0,IF(MAX(AO38:AT38)&gt;AT43+2+$B$18,1,0))</f>
        <v>0</v>
      </c>
      <c r="AU51" s="352" t="n">
        <f aca="false">IF(43&lt;5,0,IF(MAX(AP38:AU38)&gt;AU43+2+$B$18,1,0))</f>
        <v>0</v>
      </c>
      <c r="AV51" s="352" t="n">
        <f aca="false">IF(44&lt;5,0,IF(MAX(AQ38:AV38)&gt;AV43+2+$B$18,1,0))</f>
        <v>0</v>
      </c>
      <c r="AW51" s="352" t="n">
        <f aca="false">IF(45&lt;5,0,IF(MAX(AR38:AW38)&gt;AW43+2+$B$18,1,0))</f>
        <v>0</v>
      </c>
      <c r="AX51" s="352" t="n">
        <f aca="false">IF(46&lt;5,0,IF(MAX(AS38:AX38)&gt;AX43+2+$B$18,1,0))</f>
        <v>0</v>
      </c>
      <c r="AY51" s="352" t="n">
        <f aca="false">IF(47&lt;5,0,IF(MAX(AT38:AY38)&gt;AY43+2+$B$18,1,0))</f>
        <v>0</v>
      </c>
      <c r="AZ51" s="352" t="n">
        <f aca="false">IF(48&lt;5,0,IF(MAX(AU38:AZ38)&gt;AZ43+2+$B$18,1,0))</f>
        <v>0</v>
      </c>
      <c r="BA51" s="352" t="n">
        <f aca="false">IF(49&lt;5,0,IF(MAX(AV38:BA38)&gt;BA43+2+$B$18,1,0))</f>
        <v>0</v>
      </c>
      <c r="BB51" s="352" t="n">
        <f aca="false">IF(50&lt;5,0,IF(MAX(AW38:BB38)&gt;BB43+2+$B$18,1,0))</f>
        <v>0</v>
      </c>
      <c r="BC51" s="352" t="n">
        <f aca="false">IF(51&lt;5,0,IF(MAX(AX38:BC38)&gt;BC43+2+$B$18,1,0))</f>
        <v>0</v>
      </c>
      <c r="BD51" s="352" t="n">
        <f aca="false">IF(52&lt;5,0,IF(MAX(AY38:BD38)&gt;BD43+2+$B$18,1,0))</f>
        <v>0</v>
      </c>
      <c r="BE51" s="352" t="n">
        <f aca="false">IF(53&lt;5,0,IF(MAX(AZ38:BE38)&gt;BE43+2+$B$18,1,0))</f>
        <v>0</v>
      </c>
      <c r="BF51" s="352" t="n">
        <f aca="false">IF(54&lt;5,0,IF(MAX(BA38:BF38)&gt;BF43+2+$B$18,1,0))</f>
        <v>0</v>
      </c>
      <c r="BG51" s="352" t="n">
        <f aca="false">IF(55&lt;5,0,IF(MAX(BB38:BG38)&gt;BG43+2+$B$18,1,0))</f>
        <v>0</v>
      </c>
      <c r="BH51" s="352" t="n">
        <f aca="false">IF(56&lt;5,0,IF(MAX(BC38:BH38)&gt;BH43+2+$B$18,1,0))</f>
        <v>0</v>
      </c>
      <c r="BI51" s="352" t="n">
        <f aca="false">IF(57&lt;5,0,IF(MAX(BD38:BI38)&gt;BI43+2+$B$18,1,0))</f>
        <v>0</v>
      </c>
      <c r="BJ51" s="352" t="n">
        <f aca="false">IF(58&lt;5,0,IF(MAX(BE38:BJ38)&gt;BJ43+2+$B$18,1,0))</f>
        <v>0</v>
      </c>
      <c r="BK51" s="352" t="n">
        <f aca="false">IF(59&lt;5,0,IF(MAX(BF38:BK38)&gt;BK43+2+$B$18,1,0))</f>
        <v>0</v>
      </c>
      <c r="BL51" s="352" t="n">
        <f aca="false">IF(60&lt;5,0,IF(MAX(BG38:BL38)&gt;BL43+2+$B$18,1,0))</f>
        <v>0</v>
      </c>
      <c r="BM51" s="352" t="n">
        <f aca="false">IF(61&lt;5,0,IF(MAX(BH38:BM38)&gt;BM43+2+$B$18,1,0))</f>
        <v>0</v>
      </c>
      <c r="BN51" s="352" t="n">
        <f aca="false">IF(62&lt;5,0,IF(MAX(BI38:BN38)&gt;BN43+2+$B$18,1,0))</f>
        <v>0</v>
      </c>
      <c r="BO51" s="352" t="n">
        <f aca="false">IF(63&lt;5,0,IF(MAX(BJ38:BO38)&gt;BO43+2+$B$18,1,0))</f>
        <v>0</v>
      </c>
      <c r="BP51" s="352" t="n">
        <f aca="false">IF(64&lt;5,0,IF(MAX(BK38:BP38)&gt;BP43+2+$B$18,1,0))</f>
        <v>0</v>
      </c>
      <c r="BQ51" s="352" t="n">
        <f aca="false">IF(65&lt;5,0,IF(MAX(BL38:BQ38)&gt;BQ43+2+$B$18,1,0))</f>
        <v>0</v>
      </c>
      <c r="BR51" s="352" t="n">
        <f aca="false">IF(66&lt;5,0,IF(MAX(BM38:BR38)&gt;BR43+2+$B$18,1,0))</f>
        <v>0</v>
      </c>
      <c r="BS51" s="352" t="n">
        <f aca="false">IF(67&lt;5,0,IF(MAX(BN38:BS38)&gt;BS43+2+$B$18,1,0))</f>
        <v>0</v>
      </c>
      <c r="BT51" s="352" t="n">
        <f aca="false">IF(68&lt;5,0,IF(MAX(BO38:BT38)&gt;BT43+2+$B$18,1,0))</f>
        <v>0</v>
      </c>
      <c r="BU51" s="352" t="n">
        <f aca="false">IF(69&lt;5,0,IF(MAX(BP38:BU38)&gt;BU43+2+$B$18,1,0))</f>
        <v>0</v>
      </c>
      <c r="BV51" s="352" t="n">
        <f aca="false">IF(70&lt;5,0,IF(MAX(BQ38:BV38)&gt;BV43+2+$B$18,1,0))</f>
        <v>0</v>
      </c>
      <c r="BW51" s="352" t="n">
        <f aca="false">IF(71&lt;5,0,IF(MAX(BR38:BW38)&gt;BW43+2+$B$18,1,0))</f>
        <v>0</v>
      </c>
      <c r="BX51" s="352" t="n">
        <f aca="false">IF(72&lt;5,0,IF(MAX(BS38:BX38)&gt;BX43+2+$B$18,1,0))</f>
        <v>0</v>
      </c>
      <c r="BY51" s="352" t="n">
        <f aca="false">IF(73&lt;5,0,IF(MAX(BT38:BY38)&gt;BY43+2+$B$18,1,0))</f>
        <v>0</v>
      </c>
      <c r="BZ51" s="352" t="n">
        <f aca="false">IF(74&lt;5,0,IF(MAX(BU38:BZ38)&gt;BZ43+2+$B$18,1,0))</f>
        <v>0</v>
      </c>
      <c r="CA51" s="352" t="n">
        <f aca="false">IF(75&lt;5,0,IF(MAX(BV38:CA38)&gt;CA43+2+$B$18,1,0))</f>
        <v>0</v>
      </c>
      <c r="CB51" s="352" t="n">
        <f aca="false">IF(76&lt;5,0,IF(MAX(BW38:CB38)&gt;CB43+2+$B$18,1,0))</f>
        <v>0</v>
      </c>
      <c r="CC51" s="352" t="n">
        <f aca="false">IF(77&lt;5,0,IF(MAX(BX38:CC38)&gt;CC43+2+$B$18,1,0))</f>
        <v>0</v>
      </c>
      <c r="CD51" s="352" t="n">
        <f aca="false">IF(78&lt;5,0,IF(MAX(BY38:CD38)&gt;CD43+2+$B$18,1,0))</f>
        <v>0</v>
      </c>
      <c r="CE51" s="352" t="n">
        <f aca="false">IF(79&lt;5,0,IF(MAX(BZ38:CE38)&gt;CE43+2+$B$18,1,0))</f>
        <v>0</v>
      </c>
      <c r="CF51" s="352" t="n">
        <f aca="false">IF(80&lt;5,0,IF(MAX(CA38:CF38)&gt;CF43+2+$B$18,1,0))</f>
        <v>0</v>
      </c>
      <c r="CG51" s="352" t="n">
        <f aca="false">IF(81&lt;5,0,IF(MAX(CB38:CG38)&gt;CG43+2+$B$18,1,0))</f>
        <v>0</v>
      </c>
      <c r="CH51" s="352" t="n">
        <f aca="false">IF(82&lt;5,0,IF(MAX(CC38:CH38)&gt;CH43+2+$B$18,1,0))</f>
        <v>0</v>
      </c>
      <c r="CI51" s="352" t="n">
        <f aca="false">IF(83&lt;5,0,IF(MAX(CD38:CI38)&gt;CI43+2+$B$18,1,0))</f>
        <v>0</v>
      </c>
      <c r="CJ51" s="352" t="n">
        <f aca="false">IF(84&lt;5,0,IF(MAX(CE38:CJ38)&gt;CJ43+2+$B$18,1,0))</f>
        <v>0</v>
      </c>
      <c r="CK51" s="352" t="n">
        <f aca="false">IF(85&lt;5,0,IF(MAX(CF38:CK38)&gt;CK43+2+$B$18,1,0))</f>
        <v>0</v>
      </c>
      <c r="CL51" s="352" t="n">
        <f aca="false">IF(86&lt;5,0,IF(MAX(CG38:CL38)&gt;CL43+2+$B$18,1,0))</f>
        <v>0</v>
      </c>
      <c r="CM51" s="352" t="n">
        <f aca="false">IF(87&lt;5,0,IF(MAX(CH38:CM38)&gt;CM43+2+$B$18,1,0))</f>
        <v>0</v>
      </c>
      <c r="CN51" s="352" t="n">
        <f aca="false">IF(88&lt;5,0,IF(MAX(CI38:CN38)&gt;CN43+2+$B$18,1,0))</f>
        <v>0</v>
      </c>
      <c r="CO51" s="352" t="n">
        <f aca="false">IF(89&lt;5,0,IF(MAX(CJ38:CO38)&gt;CO43+2+$B$18,1,0))</f>
        <v>0</v>
      </c>
      <c r="CP51" s="352" t="n">
        <f aca="false">IF(90&lt;5,0,IF(MAX(CK38:CP38)&gt;CP43+2+$B$18,1,0))</f>
        <v>0</v>
      </c>
      <c r="CQ51" s="352" t="n">
        <f aca="false">IF(91&lt;5,0,IF(MAX(CL38:CQ38)&gt;CQ43+2+$B$18,1,0))</f>
        <v>0</v>
      </c>
      <c r="CR51" s="352" t="n">
        <f aca="false">IF(92&lt;5,0,IF(MAX(CM38:CR38)&gt;CR43+2+$B$18,1,0))</f>
        <v>0</v>
      </c>
      <c r="CS51" s="352" t="n">
        <f aca="false">IF(93&lt;5,0,IF(MAX(CN38:CS38)&gt;CS43+2+$B$18,1,0))</f>
        <v>0</v>
      </c>
      <c r="CT51" s="352" t="n">
        <f aca="false">IF(94&lt;5,0,IF(MAX(CO38:CT38)&gt;CT43+2+$B$18,1,0))</f>
        <v>0</v>
      </c>
      <c r="CU51" s="352" t="n">
        <f aca="false">IF(95&lt;5,0,IF(MAX(CP38:CU38)&gt;CU43+2+$B$18,1,0))</f>
        <v>0</v>
      </c>
      <c r="CV51" s="352" t="n">
        <f aca="false">IF(96&lt;5,0,IF(MAX(CQ38:CV38)&gt;CV43+2+$B$18,1,0))</f>
        <v>0</v>
      </c>
      <c r="CW51" s="352" t="n">
        <f aca="false">IF(97&lt;5,0,IF(MAX(CR38:CW38)&gt;CW43+2+$B$18,1,0))</f>
        <v>0</v>
      </c>
      <c r="CX51" s="352" t="n">
        <f aca="false">IF(98&lt;5,0,IF(MAX(CS38:CX38)&gt;CX43+2+$B$18,1,0))</f>
        <v>0</v>
      </c>
      <c r="CY51" s="352" t="n">
        <f aca="false">IF(99&lt;5,0,IF(MAX(CT38:CY38)&gt;CY43+2+$B$18,1,0))</f>
        <v>0</v>
      </c>
      <c r="CZ51" s="352" t="n">
        <f aca="false">IF(100&lt;5,0,IF(MAX(CU38:CZ38)&gt;CZ43+2+$B$18,1,0))</f>
        <v>0</v>
      </c>
      <c r="DA51" s="352" t="n">
        <f aca="false">IF(101&lt;5,0,IF(MAX(CV38:DA38)&gt;DA43+2+$B$18,1,0))</f>
        <v>0</v>
      </c>
      <c r="DB51" s="352" t="n">
        <f aca="false">IF(102&lt;5,0,IF(MAX(CW38:DB38)&gt;DB43+2+$B$18,1,0))</f>
        <v>0</v>
      </c>
      <c r="DC51" s="352" t="n">
        <f aca="false">IF(103&lt;5,0,IF(MAX(CX38:DC38)&gt;DC43+2+$B$18,1,0))</f>
        <v>0</v>
      </c>
      <c r="DD51" s="352" t="n">
        <f aca="false">IF(104&lt;5,0,IF(MAX(CY38:DD38)&gt;DD43+2+$B$18,1,0))</f>
        <v>0</v>
      </c>
      <c r="DE51" s="352" t="n">
        <f aca="false">IF(105&lt;5,0,IF(MAX(CZ38:DE38)&gt;DE43+2+$B$18,1,0))</f>
        <v>0</v>
      </c>
    </row>
    <row r="52" customFormat="false" ht="13.5" hidden="false" customHeight="true" outlineLevel="0" collapsed="false">
      <c r="A52" s="109" t="s">
        <v>1181</v>
      </c>
      <c r="B52" s="211" t="n">
        <f aca="false">$B$26</f>
        <v>160000</v>
      </c>
      <c r="E52" s="352" t="n">
        <f aca="false">IF(1&lt;5,0,IF(MAX(E38)&gt;E43+3+$B$18,1,0))</f>
        <v>0</v>
      </c>
      <c r="F52" s="352" t="n">
        <f aca="false">IF(2&lt;5,0,IF(MAX(E38:F38)&gt;F43+3+$B$18,1,0))</f>
        <v>0</v>
      </c>
      <c r="G52" s="352" t="n">
        <f aca="false">IF(3&lt;5,0,IF(MAX(E38:G38)&gt;G43+3+$B$18,1,0))</f>
        <v>0</v>
      </c>
      <c r="H52" s="352" t="n">
        <f aca="false">IF(4&lt;5,0,IF(MAX(E38:H38)&gt;H43+3+$B$18,1,0))</f>
        <v>0</v>
      </c>
      <c r="I52" s="352" t="n">
        <f aca="false">IF(5&lt;5,0,IF(MAX(E38:I38)&gt;I43+3+$B$18,1,0))</f>
        <v>0</v>
      </c>
      <c r="J52" s="352" t="n">
        <f aca="false">IF(6&lt;5,0,IF(MAX(E38:J38)&gt;J43+3+$B$18,1,0))</f>
        <v>0</v>
      </c>
      <c r="K52" s="352" t="n">
        <f aca="false">IF(7&lt;5,0,IF(MAX(F38:K38)&gt;K43+3+$B$18,1,0))</f>
        <v>0</v>
      </c>
      <c r="L52" s="352" t="n">
        <f aca="false">IF(8&lt;5,0,IF(MAX(G38:L38)&gt;L43+3+$B$18,1,0))</f>
        <v>0</v>
      </c>
      <c r="M52" s="352" t="n">
        <f aca="false">IF(9&lt;5,0,IF(MAX(H38:M38)&gt;M43+3+$B$18,1,0))</f>
        <v>0</v>
      </c>
      <c r="N52" s="352" t="n">
        <f aca="false">IF(10&lt;5,0,IF(MAX(I38:N38)&gt;N43+3+$B$18,1,0))</f>
        <v>0</v>
      </c>
      <c r="O52" s="352" t="n">
        <f aca="false">IF(11&lt;5,0,IF(MAX(J38:O38)&gt;O43+3+$B$18,1,0))</f>
        <v>0</v>
      </c>
      <c r="P52" s="352" t="n">
        <f aca="false">IF(12&lt;5,0,IF(MAX(K38:P38)&gt;P43+3+$B$18,1,0))</f>
        <v>0</v>
      </c>
      <c r="Q52" s="352" t="n">
        <f aca="false">IF(13&lt;5,0,IF(MAX(L38:Q38)&gt;Q43+3+$B$18,1,0))</f>
        <v>1</v>
      </c>
      <c r="R52" s="352" t="n">
        <f aca="false">IF(14&lt;5,0,IF(MAX(M38:R38)&gt;R43+3+$B$18,1,0))</f>
        <v>1</v>
      </c>
      <c r="S52" s="352" t="n">
        <f aca="false">IF(15&lt;5,0,IF(MAX(N38:S38)&gt;S43+3+$B$18,1,0))</f>
        <v>1</v>
      </c>
      <c r="T52" s="352" t="n">
        <f aca="false">IF(16&lt;5,0,IF(MAX(O38:T38)&gt;T43+3+$B$18,1,0))</f>
        <v>1</v>
      </c>
      <c r="U52" s="352" t="n">
        <f aca="false">IF(17&lt;5,0,IF(MAX(P38:U38)&gt;U43+3+$B$18,1,0))</f>
        <v>1</v>
      </c>
      <c r="V52" s="352" t="n">
        <f aca="false">IF(18&lt;5,0,IF(MAX(Q38:V38)&gt;V43+3+$B$18,1,0))</f>
        <v>1</v>
      </c>
      <c r="W52" s="352" t="n">
        <f aca="false">IF(19&lt;5,0,IF(MAX(R38:W38)&gt;W43+3+$B$18,1,0))</f>
        <v>1</v>
      </c>
      <c r="X52" s="352" t="n">
        <f aca="false">IF(20&lt;5,0,IF(MAX(S38:X38)&gt;X43+3+$B$18,1,0))</f>
        <v>1</v>
      </c>
      <c r="Y52" s="352" t="n">
        <f aca="false">IF(21&lt;5,0,IF(MAX(T38:Y38)&gt;Y43+3+$B$18,1,0))</f>
        <v>1</v>
      </c>
      <c r="Z52" s="352" t="n">
        <f aca="false">IF(22&lt;5,0,IF(MAX(U38:Z38)&gt;Z43+3+$B$18,1,0))</f>
        <v>1</v>
      </c>
      <c r="AA52" s="352" t="n">
        <f aca="false">IF(23&lt;5,0,IF(MAX(V38:AA38)&gt;AA43+3+$B$18,1,0))</f>
        <v>1</v>
      </c>
      <c r="AB52" s="352" t="n">
        <f aca="false">IF(24&lt;5,0,IF(MAX(W38:AB38)&gt;AB43+3+$B$18,1,0))</f>
        <v>1</v>
      </c>
      <c r="AC52" s="352" t="n">
        <f aca="false">IF(25&lt;5,0,IF(MAX(X38:AC38)&gt;AC43+3+$B$18,1,0))</f>
        <v>1</v>
      </c>
      <c r="AD52" s="352" t="n">
        <f aca="false">IF(26&lt;5,0,IF(MAX(Y38:AD38)&gt;AD43+3+$B$18,1,0))</f>
        <v>1</v>
      </c>
      <c r="AE52" s="352" t="n">
        <f aca="false">IF(27&lt;5,0,IF(MAX(Z38:AE38)&gt;AE43+3+$B$18,1,0))</f>
        <v>1</v>
      </c>
      <c r="AF52" s="352" t="n">
        <f aca="false">IF(28&lt;5,0,IF(MAX(AA38:AF38)&gt;AF43+3+$B$18,1,0))</f>
        <v>1</v>
      </c>
      <c r="AG52" s="352" t="n">
        <f aca="false">IF(29&lt;5,0,IF(MAX(AB38:AG38)&gt;AG43+3+$B$18,1,0))</f>
        <v>1</v>
      </c>
      <c r="AH52" s="352" t="n">
        <f aca="false">IF(30&lt;5,0,IF(MAX(AC38:AH38)&gt;AH43+3+$B$18,1,0))</f>
        <v>0</v>
      </c>
      <c r="AI52" s="352" t="n">
        <f aca="false">IF(31&lt;5,0,IF(MAX(AD38:AI38)&gt;AI43+3+$B$18,1,0))</f>
        <v>0</v>
      </c>
      <c r="AJ52" s="352" t="n">
        <f aca="false">IF(32&lt;5,0,IF(MAX(AE38:AJ38)&gt;AJ43+3+$B$18,1,0))</f>
        <v>0</v>
      </c>
      <c r="AK52" s="352" t="n">
        <f aca="false">IF(33&lt;5,0,IF(MAX(AF38:AK38)&gt;AK43+3+$B$18,1,0))</f>
        <v>0</v>
      </c>
      <c r="AL52" s="352" t="n">
        <f aca="false">IF(34&lt;5,0,IF(MAX(AG38:AL38)&gt;AL43+3+$B$18,1,0))</f>
        <v>0</v>
      </c>
      <c r="AM52" s="352" t="n">
        <f aca="false">IF(35&lt;5,0,IF(MAX(AH38:AM38)&gt;AM43+3+$B$18,1,0))</f>
        <v>0</v>
      </c>
      <c r="AN52" s="352" t="n">
        <f aca="false">IF(36&lt;5,0,IF(MAX(AI38:AN38)&gt;AN43+3+$B$18,1,0))</f>
        <v>0</v>
      </c>
      <c r="AO52" s="352" t="n">
        <f aca="false">IF(37&lt;5,0,IF(MAX(AJ38:AO38)&gt;AO43+3+$B$18,1,0))</f>
        <v>0</v>
      </c>
      <c r="AP52" s="352" t="n">
        <f aca="false">IF(38&lt;5,0,IF(MAX(AK38:AP38)&gt;AP43+3+$B$18,1,0))</f>
        <v>0</v>
      </c>
      <c r="AQ52" s="352" t="n">
        <f aca="false">IF(39&lt;5,0,IF(MAX(AL38:AQ38)&gt;AQ43+3+$B$18,1,0))</f>
        <v>0</v>
      </c>
      <c r="AR52" s="352" t="n">
        <f aca="false">IF(40&lt;5,0,IF(MAX(AM38:AR38)&gt;AR43+3+$B$18,1,0))</f>
        <v>0</v>
      </c>
      <c r="AS52" s="352" t="n">
        <f aca="false">IF(41&lt;5,0,IF(MAX(AN38:AS38)&gt;AS43+3+$B$18,1,0))</f>
        <v>0</v>
      </c>
      <c r="AT52" s="352" t="n">
        <f aca="false">IF(42&lt;5,0,IF(MAX(AO38:AT38)&gt;AT43+3+$B$18,1,0))</f>
        <v>0</v>
      </c>
      <c r="AU52" s="352" t="n">
        <f aca="false">IF(43&lt;5,0,IF(MAX(AP38:AU38)&gt;AU43+3+$B$18,1,0))</f>
        <v>0</v>
      </c>
      <c r="AV52" s="352" t="n">
        <f aca="false">IF(44&lt;5,0,IF(MAX(AQ38:AV38)&gt;AV43+3+$B$18,1,0))</f>
        <v>0</v>
      </c>
      <c r="AW52" s="352" t="n">
        <f aca="false">IF(45&lt;5,0,IF(MAX(AR38:AW38)&gt;AW43+3+$B$18,1,0))</f>
        <v>0</v>
      </c>
      <c r="AX52" s="352" t="n">
        <f aca="false">IF(46&lt;5,0,IF(MAX(AS38:AX38)&gt;AX43+3+$B$18,1,0))</f>
        <v>0</v>
      </c>
      <c r="AY52" s="352" t="n">
        <f aca="false">IF(47&lt;5,0,IF(MAX(AT38:AY38)&gt;AY43+3+$B$18,1,0))</f>
        <v>0</v>
      </c>
      <c r="AZ52" s="352" t="n">
        <f aca="false">IF(48&lt;5,0,IF(MAX(AU38:AZ38)&gt;AZ43+3+$B$18,1,0))</f>
        <v>0</v>
      </c>
      <c r="BA52" s="352" t="n">
        <f aca="false">IF(49&lt;5,0,IF(MAX(AV38:BA38)&gt;BA43+3+$B$18,1,0))</f>
        <v>0</v>
      </c>
      <c r="BB52" s="352" t="n">
        <f aca="false">IF(50&lt;5,0,IF(MAX(AW38:BB38)&gt;BB43+3+$B$18,1,0))</f>
        <v>0</v>
      </c>
      <c r="BC52" s="352" t="n">
        <f aca="false">IF(51&lt;5,0,IF(MAX(AX38:BC38)&gt;BC43+3+$B$18,1,0))</f>
        <v>0</v>
      </c>
      <c r="BD52" s="352" t="n">
        <f aca="false">IF(52&lt;5,0,IF(MAX(AY38:BD38)&gt;BD43+3+$B$18,1,0))</f>
        <v>0</v>
      </c>
      <c r="BE52" s="352" t="n">
        <f aca="false">IF(53&lt;5,0,IF(MAX(AZ38:BE38)&gt;BE43+3+$B$18,1,0))</f>
        <v>0</v>
      </c>
      <c r="BF52" s="352" t="n">
        <f aca="false">IF(54&lt;5,0,IF(MAX(BA38:BF38)&gt;BF43+3+$B$18,1,0))</f>
        <v>0</v>
      </c>
      <c r="BG52" s="352" t="n">
        <f aca="false">IF(55&lt;5,0,IF(MAX(BB38:BG38)&gt;BG43+3+$B$18,1,0))</f>
        <v>0</v>
      </c>
      <c r="BH52" s="352" t="n">
        <f aca="false">IF(56&lt;5,0,IF(MAX(BC38:BH38)&gt;BH43+3+$B$18,1,0))</f>
        <v>0</v>
      </c>
      <c r="BI52" s="352" t="n">
        <f aca="false">IF(57&lt;5,0,IF(MAX(BD38:BI38)&gt;BI43+3+$B$18,1,0))</f>
        <v>0</v>
      </c>
      <c r="BJ52" s="352" t="n">
        <f aca="false">IF(58&lt;5,0,IF(MAX(BE38:BJ38)&gt;BJ43+3+$B$18,1,0))</f>
        <v>0</v>
      </c>
      <c r="BK52" s="352" t="n">
        <f aca="false">IF(59&lt;5,0,IF(MAX(BF38:BK38)&gt;BK43+3+$B$18,1,0))</f>
        <v>0</v>
      </c>
      <c r="BL52" s="352" t="n">
        <f aca="false">IF(60&lt;5,0,IF(MAX(BG38:BL38)&gt;BL43+3+$B$18,1,0))</f>
        <v>0</v>
      </c>
      <c r="BM52" s="352" t="n">
        <f aca="false">IF(61&lt;5,0,IF(MAX(BH38:BM38)&gt;BM43+3+$B$18,1,0))</f>
        <v>0</v>
      </c>
      <c r="BN52" s="352" t="n">
        <f aca="false">IF(62&lt;5,0,IF(MAX(BI38:BN38)&gt;BN43+3+$B$18,1,0))</f>
        <v>0</v>
      </c>
      <c r="BO52" s="352" t="n">
        <f aca="false">IF(63&lt;5,0,IF(MAX(BJ38:BO38)&gt;BO43+3+$B$18,1,0))</f>
        <v>0</v>
      </c>
      <c r="BP52" s="352" t="n">
        <f aca="false">IF(64&lt;5,0,IF(MAX(BK38:BP38)&gt;BP43+3+$B$18,1,0))</f>
        <v>0</v>
      </c>
      <c r="BQ52" s="352" t="n">
        <f aca="false">IF(65&lt;5,0,IF(MAX(BL38:BQ38)&gt;BQ43+3+$B$18,1,0))</f>
        <v>0</v>
      </c>
      <c r="BR52" s="352" t="n">
        <f aca="false">IF(66&lt;5,0,IF(MAX(BM38:BR38)&gt;BR43+3+$B$18,1,0))</f>
        <v>0</v>
      </c>
      <c r="BS52" s="352" t="n">
        <f aca="false">IF(67&lt;5,0,IF(MAX(BN38:BS38)&gt;BS43+3+$B$18,1,0))</f>
        <v>0</v>
      </c>
      <c r="BT52" s="352" t="n">
        <f aca="false">IF(68&lt;5,0,IF(MAX(BO38:BT38)&gt;BT43+3+$B$18,1,0))</f>
        <v>0</v>
      </c>
      <c r="BU52" s="352" t="n">
        <f aca="false">IF(69&lt;5,0,IF(MAX(BP38:BU38)&gt;BU43+3+$B$18,1,0))</f>
        <v>0</v>
      </c>
      <c r="BV52" s="352" t="n">
        <f aca="false">IF(70&lt;5,0,IF(MAX(BQ38:BV38)&gt;BV43+3+$B$18,1,0))</f>
        <v>0</v>
      </c>
      <c r="BW52" s="352" t="n">
        <f aca="false">IF(71&lt;5,0,IF(MAX(BR38:BW38)&gt;BW43+3+$B$18,1,0))</f>
        <v>0</v>
      </c>
      <c r="BX52" s="352" t="n">
        <f aca="false">IF(72&lt;5,0,IF(MAX(BS38:BX38)&gt;BX43+3+$B$18,1,0))</f>
        <v>0</v>
      </c>
      <c r="BY52" s="352" t="n">
        <f aca="false">IF(73&lt;5,0,IF(MAX(BT38:BY38)&gt;BY43+3+$B$18,1,0))</f>
        <v>0</v>
      </c>
      <c r="BZ52" s="352" t="n">
        <f aca="false">IF(74&lt;5,0,IF(MAX(BU38:BZ38)&gt;BZ43+3+$B$18,1,0))</f>
        <v>0</v>
      </c>
      <c r="CA52" s="352" t="n">
        <f aca="false">IF(75&lt;5,0,IF(MAX(BV38:CA38)&gt;CA43+3+$B$18,1,0))</f>
        <v>0</v>
      </c>
      <c r="CB52" s="352" t="n">
        <f aca="false">IF(76&lt;5,0,IF(MAX(BW38:CB38)&gt;CB43+3+$B$18,1,0))</f>
        <v>0</v>
      </c>
      <c r="CC52" s="352" t="n">
        <f aca="false">IF(77&lt;5,0,IF(MAX(BX38:CC38)&gt;CC43+3+$B$18,1,0))</f>
        <v>0</v>
      </c>
      <c r="CD52" s="352" t="n">
        <f aca="false">IF(78&lt;5,0,IF(MAX(BY38:CD38)&gt;CD43+3+$B$18,1,0))</f>
        <v>0</v>
      </c>
      <c r="CE52" s="352" t="n">
        <f aca="false">IF(79&lt;5,0,IF(MAX(BZ38:CE38)&gt;CE43+3+$B$18,1,0))</f>
        <v>0</v>
      </c>
      <c r="CF52" s="352" t="n">
        <f aca="false">IF(80&lt;5,0,IF(MAX(CA38:CF38)&gt;CF43+3+$B$18,1,0))</f>
        <v>0</v>
      </c>
      <c r="CG52" s="352" t="n">
        <f aca="false">IF(81&lt;5,0,IF(MAX(CB38:CG38)&gt;CG43+3+$B$18,1,0))</f>
        <v>0</v>
      </c>
      <c r="CH52" s="352" t="n">
        <f aca="false">IF(82&lt;5,0,IF(MAX(CC38:CH38)&gt;CH43+3+$B$18,1,0))</f>
        <v>0</v>
      </c>
      <c r="CI52" s="352" t="n">
        <f aca="false">IF(83&lt;5,0,IF(MAX(CD38:CI38)&gt;CI43+3+$B$18,1,0))</f>
        <v>0</v>
      </c>
      <c r="CJ52" s="352" t="n">
        <f aca="false">IF(84&lt;5,0,IF(MAX(CE38:CJ38)&gt;CJ43+3+$B$18,1,0))</f>
        <v>0</v>
      </c>
      <c r="CK52" s="352" t="n">
        <f aca="false">IF(85&lt;5,0,IF(MAX(CF38:CK38)&gt;CK43+3+$B$18,1,0))</f>
        <v>0</v>
      </c>
      <c r="CL52" s="352" t="n">
        <f aca="false">IF(86&lt;5,0,IF(MAX(CG38:CL38)&gt;CL43+3+$B$18,1,0))</f>
        <v>0</v>
      </c>
      <c r="CM52" s="352" t="n">
        <f aca="false">IF(87&lt;5,0,IF(MAX(CH38:CM38)&gt;CM43+3+$B$18,1,0))</f>
        <v>0</v>
      </c>
      <c r="CN52" s="352" t="n">
        <f aca="false">IF(88&lt;5,0,IF(MAX(CI38:CN38)&gt;CN43+3+$B$18,1,0))</f>
        <v>0</v>
      </c>
      <c r="CO52" s="352" t="n">
        <f aca="false">IF(89&lt;5,0,IF(MAX(CJ38:CO38)&gt;CO43+3+$B$18,1,0))</f>
        <v>0</v>
      </c>
      <c r="CP52" s="352" t="n">
        <f aca="false">IF(90&lt;5,0,IF(MAX(CK38:CP38)&gt;CP43+3+$B$18,1,0))</f>
        <v>0</v>
      </c>
      <c r="CQ52" s="352" t="n">
        <f aca="false">IF(91&lt;5,0,IF(MAX(CL38:CQ38)&gt;CQ43+3+$B$18,1,0))</f>
        <v>0</v>
      </c>
      <c r="CR52" s="352" t="n">
        <f aca="false">IF(92&lt;5,0,IF(MAX(CM38:CR38)&gt;CR43+3+$B$18,1,0))</f>
        <v>0</v>
      </c>
      <c r="CS52" s="352" t="n">
        <f aca="false">IF(93&lt;5,0,IF(MAX(CN38:CS38)&gt;CS43+3+$B$18,1,0))</f>
        <v>0</v>
      </c>
      <c r="CT52" s="352" t="n">
        <f aca="false">IF(94&lt;5,0,IF(MAX(CO38:CT38)&gt;CT43+3+$B$18,1,0))</f>
        <v>0</v>
      </c>
      <c r="CU52" s="352" t="n">
        <f aca="false">IF(95&lt;5,0,IF(MAX(CP38:CU38)&gt;CU43+3+$B$18,1,0))</f>
        <v>0</v>
      </c>
      <c r="CV52" s="352" t="n">
        <f aca="false">IF(96&lt;5,0,IF(MAX(CQ38:CV38)&gt;CV43+3+$B$18,1,0))</f>
        <v>0</v>
      </c>
      <c r="CW52" s="352" t="n">
        <f aca="false">IF(97&lt;5,0,IF(MAX(CR38:CW38)&gt;CW43+3+$B$18,1,0))</f>
        <v>0</v>
      </c>
      <c r="CX52" s="352" t="n">
        <f aca="false">IF(98&lt;5,0,IF(MAX(CS38:CX38)&gt;CX43+3+$B$18,1,0))</f>
        <v>0</v>
      </c>
      <c r="CY52" s="352" t="n">
        <f aca="false">IF(99&lt;5,0,IF(MAX(CT38:CY38)&gt;CY43+3+$B$18,1,0))</f>
        <v>0</v>
      </c>
      <c r="CZ52" s="352" t="n">
        <f aca="false">IF(100&lt;5,0,IF(MAX(CU38:CZ38)&gt;CZ43+3+$B$18,1,0))</f>
        <v>0</v>
      </c>
      <c r="DA52" s="352" t="n">
        <f aca="false">IF(101&lt;5,0,IF(MAX(CV38:DA38)&gt;DA43+3+$B$18,1,0))</f>
        <v>0</v>
      </c>
      <c r="DB52" s="352" t="n">
        <f aca="false">IF(102&lt;5,0,IF(MAX(CW38:DB38)&gt;DB43+3+$B$18,1,0))</f>
        <v>0</v>
      </c>
      <c r="DC52" s="352" t="n">
        <f aca="false">IF(103&lt;5,0,IF(MAX(CX38:DC38)&gt;DC43+3+$B$18,1,0))</f>
        <v>0</v>
      </c>
      <c r="DD52" s="352" t="n">
        <f aca="false">IF(104&lt;5,0,IF(MAX(CY38:DD38)&gt;DD43+3+$B$18,1,0))</f>
        <v>0</v>
      </c>
      <c r="DE52" s="352" t="n">
        <f aca="false">IF(105&lt;5,0,IF(MAX(CZ38:DE38)&gt;DE43+3+$B$18,1,0))</f>
        <v>0</v>
      </c>
    </row>
    <row r="53" customFormat="false" ht="13.5" hidden="false" customHeight="true" outlineLevel="0" collapsed="false">
      <c r="A53" s="109" t="s">
        <v>1182</v>
      </c>
      <c r="B53" s="211" t="n">
        <f aca="false">$B$26</f>
        <v>160000</v>
      </c>
      <c r="E53" s="352" t="n">
        <f aca="false">IF(1&lt;5,0,IF(MAX(E38)&gt;E43+4+$B$18,1,0))</f>
        <v>0</v>
      </c>
      <c r="F53" s="352" t="n">
        <f aca="false">IF(2&lt;5,0,IF(MAX(E38:F38)&gt;F43+4+$B$18,1,0))</f>
        <v>0</v>
      </c>
      <c r="G53" s="352" t="n">
        <f aca="false">IF(3&lt;5,0,IF(MAX(E38:G38)&gt;G43+4+$B$18,1,0))</f>
        <v>0</v>
      </c>
      <c r="H53" s="352" t="n">
        <f aca="false">IF(4&lt;5,0,IF(MAX(E38:H38)&gt;H43+4+$B$18,1,0))</f>
        <v>0</v>
      </c>
      <c r="I53" s="352" t="n">
        <f aca="false">IF(5&lt;5,0,IF(MAX(E38:I38)&gt;I43+4+$B$18,1,0))</f>
        <v>0</v>
      </c>
      <c r="J53" s="352" t="n">
        <f aca="false">IF(6&lt;5,0,IF(MAX(E38:J38)&gt;J43+4+$B$18,1,0))</f>
        <v>0</v>
      </c>
      <c r="K53" s="352" t="n">
        <f aca="false">IF(7&lt;5,0,IF(MAX(F38:K38)&gt;K43+4+$B$18,1,0))</f>
        <v>0</v>
      </c>
      <c r="L53" s="352" t="n">
        <f aca="false">IF(8&lt;5,0,IF(MAX(G38:L38)&gt;L43+4+$B$18,1,0))</f>
        <v>0</v>
      </c>
      <c r="M53" s="352" t="n">
        <f aca="false">IF(9&lt;5,0,IF(MAX(H38:M38)&gt;M43+4+$B$18,1,0))</f>
        <v>0</v>
      </c>
      <c r="N53" s="352" t="n">
        <f aca="false">IF(10&lt;5,0,IF(MAX(I38:N38)&gt;N43+4+$B$18,1,0))</f>
        <v>0</v>
      </c>
      <c r="O53" s="352" t="n">
        <f aca="false">IF(11&lt;5,0,IF(MAX(J38:O38)&gt;O43+4+$B$18,1,0))</f>
        <v>0</v>
      </c>
      <c r="P53" s="352" t="n">
        <f aca="false">IF(12&lt;5,0,IF(MAX(K38:P38)&gt;P43+4+$B$18,1,0))</f>
        <v>0</v>
      </c>
      <c r="Q53" s="352" t="n">
        <f aca="false">IF(13&lt;5,0,IF(MAX(L38:Q38)&gt;Q43+4+$B$18,1,0))</f>
        <v>0</v>
      </c>
      <c r="R53" s="352" t="n">
        <f aca="false">IF(14&lt;5,0,IF(MAX(M38:R38)&gt;R43+4+$B$18,1,0))</f>
        <v>1</v>
      </c>
      <c r="S53" s="352" t="n">
        <f aca="false">IF(15&lt;5,0,IF(MAX(N38:S38)&gt;S43+4+$B$18,1,0))</f>
        <v>1</v>
      </c>
      <c r="T53" s="352" t="n">
        <f aca="false">IF(16&lt;5,0,IF(MAX(O38:T38)&gt;T43+4+$B$18,1,0))</f>
        <v>1</v>
      </c>
      <c r="U53" s="352" t="n">
        <f aca="false">IF(17&lt;5,0,IF(MAX(P38:U38)&gt;U43+4+$B$18,1,0))</f>
        <v>1</v>
      </c>
      <c r="V53" s="352" t="n">
        <f aca="false">IF(18&lt;5,0,IF(MAX(Q38:V38)&gt;V43+4+$B$18,1,0))</f>
        <v>1</v>
      </c>
      <c r="W53" s="352" t="n">
        <f aca="false">IF(19&lt;5,0,IF(MAX(R38:W38)&gt;W43+4+$B$18,1,0))</f>
        <v>1</v>
      </c>
      <c r="X53" s="352" t="n">
        <f aca="false">IF(20&lt;5,0,IF(MAX(S38:X38)&gt;X43+4+$B$18,1,0))</f>
        <v>1</v>
      </c>
      <c r="Y53" s="352" t="n">
        <f aca="false">IF(21&lt;5,0,IF(MAX(T38:Y38)&gt;Y43+4+$B$18,1,0))</f>
        <v>1</v>
      </c>
      <c r="Z53" s="352" t="n">
        <f aca="false">IF(22&lt;5,0,IF(MAX(U38:Z38)&gt;Z43+4+$B$18,1,0))</f>
        <v>1</v>
      </c>
      <c r="AA53" s="352" t="n">
        <f aca="false">IF(23&lt;5,0,IF(MAX(V38:AA38)&gt;AA43+4+$B$18,1,0))</f>
        <v>1</v>
      </c>
      <c r="AB53" s="352" t="n">
        <f aca="false">IF(24&lt;5,0,IF(MAX(W38:AB38)&gt;AB43+4+$B$18,1,0))</f>
        <v>1</v>
      </c>
      <c r="AC53" s="352" t="n">
        <f aca="false">IF(25&lt;5,0,IF(MAX(X38:AC38)&gt;AC43+4+$B$18,1,0))</f>
        <v>1</v>
      </c>
      <c r="AD53" s="352" t="n">
        <f aca="false">IF(26&lt;5,0,IF(MAX(Y38:AD38)&gt;AD43+4+$B$18,1,0))</f>
        <v>0</v>
      </c>
      <c r="AE53" s="352" t="n">
        <f aca="false">IF(27&lt;5,0,IF(MAX(Z38:AE38)&gt;AE43+4+$B$18,1,0))</f>
        <v>0</v>
      </c>
      <c r="AF53" s="352" t="n">
        <f aca="false">IF(28&lt;5,0,IF(MAX(AA38:AF38)&gt;AF43+4+$B$18,1,0))</f>
        <v>0</v>
      </c>
      <c r="AG53" s="352" t="n">
        <f aca="false">IF(29&lt;5,0,IF(MAX(AB38:AG38)&gt;AG43+4+$B$18,1,0))</f>
        <v>0</v>
      </c>
      <c r="AH53" s="352" t="n">
        <f aca="false">IF(30&lt;5,0,IF(MAX(AC38:AH38)&gt;AH43+4+$B$18,1,0))</f>
        <v>0</v>
      </c>
      <c r="AI53" s="352" t="n">
        <f aca="false">IF(31&lt;5,0,IF(MAX(AD38:AI38)&gt;AI43+4+$B$18,1,0))</f>
        <v>0</v>
      </c>
      <c r="AJ53" s="352" t="n">
        <f aca="false">IF(32&lt;5,0,IF(MAX(AE38:AJ38)&gt;AJ43+4+$B$18,1,0))</f>
        <v>0</v>
      </c>
      <c r="AK53" s="352" t="n">
        <f aca="false">IF(33&lt;5,0,IF(MAX(AF38:AK38)&gt;AK43+4+$B$18,1,0))</f>
        <v>0</v>
      </c>
      <c r="AL53" s="352" t="n">
        <f aca="false">IF(34&lt;5,0,IF(MAX(AG38:AL38)&gt;AL43+4+$B$18,1,0))</f>
        <v>0</v>
      </c>
      <c r="AM53" s="352" t="n">
        <f aca="false">IF(35&lt;5,0,IF(MAX(AH38:AM38)&gt;AM43+4+$B$18,1,0))</f>
        <v>0</v>
      </c>
      <c r="AN53" s="352" t="n">
        <f aca="false">IF(36&lt;5,0,IF(MAX(AI38:AN38)&gt;AN43+4+$B$18,1,0))</f>
        <v>0</v>
      </c>
      <c r="AO53" s="352" t="n">
        <f aca="false">IF(37&lt;5,0,IF(MAX(AJ38:AO38)&gt;AO43+4+$B$18,1,0))</f>
        <v>0</v>
      </c>
      <c r="AP53" s="352" t="n">
        <f aca="false">IF(38&lt;5,0,IF(MAX(AK38:AP38)&gt;AP43+4+$B$18,1,0))</f>
        <v>0</v>
      </c>
      <c r="AQ53" s="352" t="n">
        <f aca="false">IF(39&lt;5,0,IF(MAX(AL38:AQ38)&gt;AQ43+4+$B$18,1,0))</f>
        <v>0</v>
      </c>
      <c r="AR53" s="352" t="n">
        <f aca="false">IF(40&lt;5,0,IF(MAX(AM38:AR38)&gt;AR43+4+$B$18,1,0))</f>
        <v>0</v>
      </c>
      <c r="AS53" s="352" t="n">
        <f aca="false">IF(41&lt;5,0,IF(MAX(AN38:AS38)&gt;AS43+4+$B$18,1,0))</f>
        <v>0</v>
      </c>
      <c r="AT53" s="352" t="n">
        <f aca="false">IF(42&lt;5,0,IF(MAX(AO38:AT38)&gt;AT43+4+$B$18,1,0))</f>
        <v>0</v>
      </c>
      <c r="AU53" s="352" t="n">
        <f aca="false">IF(43&lt;5,0,IF(MAX(AP38:AU38)&gt;AU43+4+$B$18,1,0))</f>
        <v>0</v>
      </c>
      <c r="AV53" s="352" t="n">
        <f aca="false">IF(44&lt;5,0,IF(MAX(AQ38:AV38)&gt;AV43+4+$B$18,1,0))</f>
        <v>0</v>
      </c>
      <c r="AW53" s="352" t="n">
        <f aca="false">IF(45&lt;5,0,IF(MAX(AR38:AW38)&gt;AW43+4+$B$18,1,0))</f>
        <v>0</v>
      </c>
      <c r="AX53" s="352" t="n">
        <f aca="false">IF(46&lt;5,0,IF(MAX(AS38:AX38)&gt;AX43+4+$B$18,1,0))</f>
        <v>0</v>
      </c>
      <c r="AY53" s="352" t="n">
        <f aca="false">IF(47&lt;5,0,IF(MAX(AT38:AY38)&gt;AY43+4+$B$18,1,0))</f>
        <v>0</v>
      </c>
      <c r="AZ53" s="352" t="n">
        <f aca="false">IF(48&lt;5,0,IF(MAX(AU38:AZ38)&gt;AZ43+4+$B$18,1,0))</f>
        <v>0</v>
      </c>
      <c r="BA53" s="352" t="n">
        <f aca="false">IF(49&lt;5,0,IF(MAX(AV38:BA38)&gt;BA43+4+$B$18,1,0))</f>
        <v>0</v>
      </c>
      <c r="BB53" s="352" t="n">
        <f aca="false">IF(50&lt;5,0,IF(MAX(AW38:BB38)&gt;BB43+4+$B$18,1,0))</f>
        <v>0</v>
      </c>
      <c r="BC53" s="352" t="n">
        <f aca="false">IF(51&lt;5,0,IF(MAX(AX38:BC38)&gt;BC43+4+$B$18,1,0))</f>
        <v>0</v>
      </c>
      <c r="BD53" s="352" t="n">
        <f aca="false">IF(52&lt;5,0,IF(MAX(AY38:BD38)&gt;BD43+4+$B$18,1,0))</f>
        <v>0</v>
      </c>
      <c r="BE53" s="352" t="n">
        <f aca="false">IF(53&lt;5,0,IF(MAX(AZ38:BE38)&gt;BE43+4+$B$18,1,0))</f>
        <v>0</v>
      </c>
      <c r="BF53" s="352" t="n">
        <f aca="false">IF(54&lt;5,0,IF(MAX(BA38:BF38)&gt;BF43+4+$B$18,1,0))</f>
        <v>0</v>
      </c>
      <c r="BG53" s="352" t="n">
        <f aca="false">IF(55&lt;5,0,IF(MAX(BB38:BG38)&gt;BG43+4+$B$18,1,0))</f>
        <v>0</v>
      </c>
      <c r="BH53" s="352" t="n">
        <f aca="false">IF(56&lt;5,0,IF(MAX(BC38:BH38)&gt;BH43+4+$B$18,1,0))</f>
        <v>0</v>
      </c>
      <c r="BI53" s="352" t="n">
        <f aca="false">IF(57&lt;5,0,IF(MAX(BD38:BI38)&gt;BI43+4+$B$18,1,0))</f>
        <v>0</v>
      </c>
      <c r="BJ53" s="352" t="n">
        <f aca="false">IF(58&lt;5,0,IF(MAX(BE38:BJ38)&gt;BJ43+4+$B$18,1,0))</f>
        <v>0</v>
      </c>
      <c r="BK53" s="352" t="n">
        <f aca="false">IF(59&lt;5,0,IF(MAX(BF38:BK38)&gt;BK43+4+$B$18,1,0))</f>
        <v>0</v>
      </c>
      <c r="BL53" s="352" t="n">
        <f aca="false">IF(60&lt;5,0,IF(MAX(BG38:BL38)&gt;BL43+4+$B$18,1,0))</f>
        <v>0</v>
      </c>
      <c r="BM53" s="352" t="n">
        <f aca="false">IF(61&lt;5,0,IF(MAX(BH38:BM38)&gt;BM43+4+$B$18,1,0))</f>
        <v>0</v>
      </c>
      <c r="BN53" s="352" t="n">
        <f aca="false">IF(62&lt;5,0,IF(MAX(BI38:BN38)&gt;BN43+4+$B$18,1,0))</f>
        <v>0</v>
      </c>
      <c r="BO53" s="352" t="n">
        <f aca="false">IF(63&lt;5,0,IF(MAX(BJ38:BO38)&gt;BO43+4+$B$18,1,0))</f>
        <v>0</v>
      </c>
      <c r="BP53" s="352" t="n">
        <f aca="false">IF(64&lt;5,0,IF(MAX(BK38:BP38)&gt;BP43+4+$B$18,1,0))</f>
        <v>0</v>
      </c>
      <c r="BQ53" s="352" t="n">
        <f aca="false">IF(65&lt;5,0,IF(MAX(BL38:BQ38)&gt;BQ43+4+$B$18,1,0))</f>
        <v>0</v>
      </c>
      <c r="BR53" s="352" t="n">
        <f aca="false">IF(66&lt;5,0,IF(MAX(BM38:BR38)&gt;BR43+4+$B$18,1,0))</f>
        <v>0</v>
      </c>
      <c r="BS53" s="352" t="n">
        <f aca="false">IF(67&lt;5,0,IF(MAX(BN38:BS38)&gt;BS43+4+$B$18,1,0))</f>
        <v>0</v>
      </c>
      <c r="BT53" s="352" t="n">
        <f aca="false">IF(68&lt;5,0,IF(MAX(BO38:BT38)&gt;BT43+4+$B$18,1,0))</f>
        <v>0</v>
      </c>
      <c r="BU53" s="352" t="n">
        <f aca="false">IF(69&lt;5,0,IF(MAX(BP38:BU38)&gt;BU43+4+$B$18,1,0))</f>
        <v>0</v>
      </c>
      <c r="BV53" s="352" t="n">
        <f aca="false">IF(70&lt;5,0,IF(MAX(BQ38:BV38)&gt;BV43+4+$B$18,1,0))</f>
        <v>0</v>
      </c>
      <c r="BW53" s="352" t="n">
        <f aca="false">IF(71&lt;5,0,IF(MAX(BR38:BW38)&gt;BW43+4+$B$18,1,0))</f>
        <v>0</v>
      </c>
      <c r="BX53" s="352" t="n">
        <f aca="false">IF(72&lt;5,0,IF(MAX(BS38:BX38)&gt;BX43+4+$B$18,1,0))</f>
        <v>0</v>
      </c>
      <c r="BY53" s="352" t="n">
        <f aca="false">IF(73&lt;5,0,IF(MAX(BT38:BY38)&gt;BY43+4+$B$18,1,0))</f>
        <v>0</v>
      </c>
      <c r="BZ53" s="352" t="n">
        <f aca="false">IF(74&lt;5,0,IF(MAX(BU38:BZ38)&gt;BZ43+4+$B$18,1,0))</f>
        <v>0</v>
      </c>
      <c r="CA53" s="352" t="n">
        <f aca="false">IF(75&lt;5,0,IF(MAX(BV38:CA38)&gt;CA43+4+$B$18,1,0))</f>
        <v>0</v>
      </c>
      <c r="CB53" s="352" t="n">
        <f aca="false">IF(76&lt;5,0,IF(MAX(BW38:CB38)&gt;CB43+4+$B$18,1,0))</f>
        <v>0</v>
      </c>
      <c r="CC53" s="352" t="n">
        <f aca="false">IF(77&lt;5,0,IF(MAX(BX38:CC38)&gt;CC43+4+$B$18,1,0))</f>
        <v>0</v>
      </c>
      <c r="CD53" s="352" t="n">
        <f aca="false">IF(78&lt;5,0,IF(MAX(BY38:CD38)&gt;CD43+4+$B$18,1,0))</f>
        <v>0</v>
      </c>
      <c r="CE53" s="352" t="n">
        <f aca="false">IF(79&lt;5,0,IF(MAX(BZ38:CE38)&gt;CE43+4+$B$18,1,0))</f>
        <v>0</v>
      </c>
      <c r="CF53" s="352" t="n">
        <f aca="false">IF(80&lt;5,0,IF(MAX(CA38:CF38)&gt;CF43+4+$B$18,1,0))</f>
        <v>0</v>
      </c>
      <c r="CG53" s="352" t="n">
        <f aca="false">IF(81&lt;5,0,IF(MAX(CB38:CG38)&gt;CG43+4+$B$18,1,0))</f>
        <v>0</v>
      </c>
      <c r="CH53" s="352" t="n">
        <f aca="false">IF(82&lt;5,0,IF(MAX(CC38:CH38)&gt;CH43+4+$B$18,1,0))</f>
        <v>0</v>
      </c>
      <c r="CI53" s="352" t="n">
        <f aca="false">IF(83&lt;5,0,IF(MAX(CD38:CI38)&gt;CI43+4+$B$18,1,0))</f>
        <v>0</v>
      </c>
      <c r="CJ53" s="352" t="n">
        <f aca="false">IF(84&lt;5,0,IF(MAX(CE38:CJ38)&gt;CJ43+4+$B$18,1,0))</f>
        <v>0</v>
      </c>
      <c r="CK53" s="352" t="n">
        <f aca="false">IF(85&lt;5,0,IF(MAX(CF38:CK38)&gt;CK43+4+$B$18,1,0))</f>
        <v>0</v>
      </c>
      <c r="CL53" s="352" t="n">
        <f aca="false">IF(86&lt;5,0,IF(MAX(CG38:CL38)&gt;CL43+4+$B$18,1,0))</f>
        <v>0</v>
      </c>
      <c r="CM53" s="352" t="n">
        <f aca="false">IF(87&lt;5,0,IF(MAX(CH38:CM38)&gt;CM43+4+$B$18,1,0))</f>
        <v>0</v>
      </c>
      <c r="CN53" s="352" t="n">
        <f aca="false">IF(88&lt;5,0,IF(MAX(CI38:CN38)&gt;CN43+4+$B$18,1,0))</f>
        <v>0</v>
      </c>
      <c r="CO53" s="352" t="n">
        <f aca="false">IF(89&lt;5,0,IF(MAX(CJ38:CO38)&gt;CO43+4+$B$18,1,0))</f>
        <v>0</v>
      </c>
      <c r="CP53" s="352" t="n">
        <f aca="false">IF(90&lt;5,0,IF(MAX(CK38:CP38)&gt;CP43+4+$B$18,1,0))</f>
        <v>0</v>
      </c>
      <c r="CQ53" s="352" t="n">
        <f aca="false">IF(91&lt;5,0,IF(MAX(CL38:CQ38)&gt;CQ43+4+$B$18,1,0))</f>
        <v>0</v>
      </c>
      <c r="CR53" s="352" t="n">
        <f aca="false">IF(92&lt;5,0,IF(MAX(CM38:CR38)&gt;CR43+4+$B$18,1,0))</f>
        <v>0</v>
      </c>
      <c r="CS53" s="352" t="n">
        <f aca="false">IF(93&lt;5,0,IF(MAX(CN38:CS38)&gt;CS43+4+$B$18,1,0))</f>
        <v>0</v>
      </c>
      <c r="CT53" s="352" t="n">
        <f aca="false">IF(94&lt;5,0,IF(MAX(CO38:CT38)&gt;CT43+4+$B$18,1,0))</f>
        <v>0</v>
      </c>
      <c r="CU53" s="352" t="n">
        <f aca="false">IF(95&lt;5,0,IF(MAX(CP38:CU38)&gt;CU43+4+$B$18,1,0))</f>
        <v>0</v>
      </c>
      <c r="CV53" s="352" t="n">
        <f aca="false">IF(96&lt;5,0,IF(MAX(CQ38:CV38)&gt;CV43+4+$B$18,1,0))</f>
        <v>0</v>
      </c>
      <c r="CW53" s="352" t="n">
        <f aca="false">IF(97&lt;5,0,IF(MAX(CR38:CW38)&gt;CW43+4+$B$18,1,0))</f>
        <v>0</v>
      </c>
      <c r="CX53" s="352" t="n">
        <f aca="false">IF(98&lt;5,0,IF(MAX(CS38:CX38)&gt;CX43+4+$B$18,1,0))</f>
        <v>0</v>
      </c>
      <c r="CY53" s="352" t="n">
        <f aca="false">IF(99&lt;5,0,IF(MAX(CT38:CY38)&gt;CY43+4+$B$18,1,0))</f>
        <v>0</v>
      </c>
      <c r="CZ53" s="352" t="n">
        <f aca="false">IF(100&lt;5,0,IF(MAX(CU38:CZ38)&gt;CZ43+4+$B$18,1,0))</f>
        <v>0</v>
      </c>
      <c r="DA53" s="352" t="n">
        <f aca="false">IF(101&lt;5,0,IF(MAX(CV38:DA38)&gt;DA43+4+$B$18,1,0))</f>
        <v>0</v>
      </c>
      <c r="DB53" s="352" t="n">
        <f aca="false">IF(102&lt;5,0,IF(MAX(CW38:DB38)&gt;DB43+4+$B$18,1,0))</f>
        <v>0</v>
      </c>
      <c r="DC53" s="352" t="n">
        <f aca="false">IF(103&lt;5,0,IF(MAX(CX38:DC38)&gt;DC43+4+$B$18,1,0))</f>
        <v>0</v>
      </c>
      <c r="DD53" s="352" t="n">
        <f aca="false">IF(104&lt;5,0,IF(MAX(CY38:DD38)&gt;DD43+4+$B$18,1,0))</f>
        <v>0</v>
      </c>
      <c r="DE53" s="352" t="n">
        <f aca="false">IF(105&lt;5,0,IF(MAX(CZ38:DE38)&gt;DE43+4+$B$18,1,0))</f>
        <v>0</v>
      </c>
    </row>
    <row r="54" customFormat="false" ht="13.5" hidden="false" customHeight="true" outlineLevel="0" collapsed="false">
      <c r="A54" s="109" t="s">
        <v>1183</v>
      </c>
      <c r="B54" s="211" t="n">
        <f aca="false">$B$27</f>
        <v>125000</v>
      </c>
      <c r="E54" s="352" t="n">
        <f aca="false">IF(1&lt;5,0,IF(MAX(E38)&gt;E43+5+$B$18,1,0))</f>
        <v>0</v>
      </c>
      <c r="F54" s="352" t="n">
        <f aca="false">IF(2&lt;5,0,IF(MAX(E38:F38)&gt;F43+5+$B$18,1,0))</f>
        <v>0</v>
      </c>
      <c r="G54" s="352" t="n">
        <f aca="false">IF(3&lt;5,0,IF(MAX(E38:G38)&gt;G43+5+$B$18,1,0))</f>
        <v>0</v>
      </c>
      <c r="H54" s="352" t="n">
        <f aca="false">IF(4&lt;5,0,IF(MAX(E38:H38)&gt;H43+5+$B$18,1,0))</f>
        <v>0</v>
      </c>
      <c r="I54" s="352" t="n">
        <f aca="false">IF(5&lt;5,0,IF(MAX(E38:I38)&gt;I43+5+$B$18,1,0))</f>
        <v>0</v>
      </c>
      <c r="J54" s="352" t="n">
        <f aca="false">IF(6&lt;5,0,IF(MAX(E38:J38)&gt;J43+5+$B$18,1,0))</f>
        <v>0</v>
      </c>
      <c r="K54" s="352" t="n">
        <f aca="false">IF(7&lt;5,0,IF(MAX(F38:K38)&gt;K43+5+$B$18,1,0))</f>
        <v>0</v>
      </c>
      <c r="L54" s="352" t="n">
        <f aca="false">IF(8&lt;5,0,IF(MAX(G38:L38)&gt;L43+5+$B$18,1,0))</f>
        <v>0</v>
      </c>
      <c r="M54" s="352" t="n">
        <f aca="false">IF(9&lt;5,0,IF(MAX(H38:M38)&gt;M43+5+$B$18,1,0))</f>
        <v>0</v>
      </c>
      <c r="N54" s="352" t="n">
        <f aca="false">IF(10&lt;5,0,IF(MAX(I38:N38)&gt;N43+5+$B$18,1,0))</f>
        <v>0</v>
      </c>
      <c r="O54" s="352" t="n">
        <f aca="false">IF(11&lt;5,0,IF(MAX(J38:O38)&gt;O43+5+$B$18,1,0))</f>
        <v>0</v>
      </c>
      <c r="P54" s="352" t="n">
        <f aca="false">IF(12&lt;5,0,IF(MAX(K38:P38)&gt;P43+5+$B$18,1,0))</f>
        <v>0</v>
      </c>
      <c r="Q54" s="352" t="n">
        <f aca="false">IF(13&lt;5,0,IF(MAX(L38:Q38)&gt;Q43+5+$B$18,1,0))</f>
        <v>0</v>
      </c>
      <c r="R54" s="352" t="n">
        <f aca="false">IF(14&lt;5,0,IF(MAX(M38:R38)&gt;R43+5+$B$18,1,0))</f>
        <v>0</v>
      </c>
      <c r="S54" s="352" t="n">
        <f aca="false">IF(15&lt;5,0,IF(MAX(N38:S38)&gt;S43+5+$B$18,1,0))</f>
        <v>0</v>
      </c>
      <c r="T54" s="352" t="n">
        <f aca="false">IF(16&lt;5,0,IF(MAX(O38:T38)&gt;T43+5+$B$18,1,0))</f>
        <v>0</v>
      </c>
      <c r="U54" s="352" t="n">
        <f aca="false">IF(17&lt;5,0,IF(MAX(P38:U38)&gt;U43+5+$B$18,1,0))</f>
        <v>0</v>
      </c>
      <c r="V54" s="352" t="n">
        <f aca="false">IF(18&lt;5,0,IF(MAX(Q38:V38)&gt;V43+5+$B$18,1,0))</f>
        <v>0</v>
      </c>
      <c r="W54" s="352" t="n">
        <f aca="false">IF(19&lt;5,0,IF(MAX(R38:W38)&gt;W43+5+$B$18,1,0))</f>
        <v>0</v>
      </c>
      <c r="X54" s="352" t="n">
        <f aca="false">IF(20&lt;5,0,IF(MAX(S38:X38)&gt;X43+5+$B$18,1,0))</f>
        <v>0</v>
      </c>
      <c r="Y54" s="352" t="n">
        <f aca="false">IF(21&lt;5,0,IF(MAX(T38:Y38)&gt;Y43+5+$B$18,1,0))</f>
        <v>0</v>
      </c>
      <c r="Z54" s="352" t="n">
        <f aca="false">IF(22&lt;5,0,IF(MAX(U38:Z38)&gt;Z43+5+$B$18,1,0))</f>
        <v>0</v>
      </c>
      <c r="AA54" s="352" t="n">
        <f aca="false">IF(23&lt;5,0,IF(MAX(V38:AA38)&gt;AA43+5+$B$18,1,0))</f>
        <v>0</v>
      </c>
      <c r="AB54" s="352" t="n">
        <f aca="false">IF(24&lt;5,0,IF(MAX(W38:AB38)&gt;AB43+5+$B$18,1,0))</f>
        <v>0</v>
      </c>
      <c r="AC54" s="352" t="n">
        <f aca="false">IF(25&lt;5,0,IF(MAX(X38:AC38)&gt;AC43+5+$B$18,1,0))</f>
        <v>0</v>
      </c>
      <c r="AD54" s="352" t="n">
        <f aca="false">IF(26&lt;5,0,IF(MAX(Y38:AD38)&gt;AD43+5+$B$18,1,0))</f>
        <v>0</v>
      </c>
      <c r="AE54" s="352" t="n">
        <f aca="false">IF(27&lt;5,0,IF(MAX(Z38:AE38)&gt;AE43+5+$B$18,1,0))</f>
        <v>0</v>
      </c>
      <c r="AF54" s="352" t="n">
        <f aca="false">IF(28&lt;5,0,IF(MAX(AA38:AF38)&gt;AF43+5+$B$18,1,0))</f>
        <v>0</v>
      </c>
      <c r="AG54" s="352" t="n">
        <f aca="false">IF(29&lt;5,0,IF(MAX(AB38:AG38)&gt;AG43+5+$B$18,1,0))</f>
        <v>0</v>
      </c>
      <c r="AH54" s="352" t="n">
        <f aca="false">IF(30&lt;5,0,IF(MAX(AC38:AH38)&gt;AH43+5+$B$18,1,0))</f>
        <v>0</v>
      </c>
      <c r="AI54" s="352" t="n">
        <f aca="false">IF(31&lt;5,0,IF(MAX(AD38:AI38)&gt;AI43+5+$B$18,1,0))</f>
        <v>0</v>
      </c>
      <c r="AJ54" s="352" t="n">
        <f aca="false">IF(32&lt;5,0,IF(MAX(AE38:AJ38)&gt;AJ43+5+$B$18,1,0))</f>
        <v>0</v>
      </c>
      <c r="AK54" s="352" t="n">
        <f aca="false">IF(33&lt;5,0,IF(MAX(AF38:AK38)&gt;AK43+5+$B$18,1,0))</f>
        <v>0</v>
      </c>
      <c r="AL54" s="352" t="n">
        <f aca="false">IF(34&lt;5,0,IF(MAX(AG38:AL38)&gt;AL43+5+$B$18,1,0))</f>
        <v>0</v>
      </c>
      <c r="AM54" s="352" t="n">
        <f aca="false">IF(35&lt;5,0,IF(MAX(AH38:AM38)&gt;AM43+5+$B$18,1,0))</f>
        <v>0</v>
      </c>
      <c r="AN54" s="352" t="n">
        <f aca="false">IF(36&lt;5,0,IF(MAX(AI38:AN38)&gt;AN43+5+$B$18,1,0))</f>
        <v>0</v>
      </c>
      <c r="AO54" s="352" t="n">
        <f aca="false">IF(37&lt;5,0,IF(MAX(AJ38:AO38)&gt;AO43+5+$B$18,1,0))</f>
        <v>0</v>
      </c>
      <c r="AP54" s="352" t="n">
        <f aca="false">IF(38&lt;5,0,IF(MAX(AK38:AP38)&gt;AP43+5+$B$18,1,0))</f>
        <v>0</v>
      </c>
      <c r="AQ54" s="352" t="n">
        <f aca="false">IF(39&lt;5,0,IF(MAX(AL38:AQ38)&gt;AQ43+5+$B$18,1,0))</f>
        <v>0</v>
      </c>
      <c r="AR54" s="352" t="n">
        <f aca="false">IF(40&lt;5,0,IF(MAX(AM38:AR38)&gt;AR43+5+$B$18,1,0))</f>
        <v>0</v>
      </c>
      <c r="AS54" s="352" t="n">
        <f aca="false">IF(41&lt;5,0,IF(MAX(AN38:AS38)&gt;AS43+5+$B$18,1,0))</f>
        <v>0</v>
      </c>
      <c r="AT54" s="352" t="n">
        <f aca="false">IF(42&lt;5,0,IF(MAX(AO38:AT38)&gt;AT43+5+$B$18,1,0))</f>
        <v>0</v>
      </c>
      <c r="AU54" s="352" t="n">
        <f aca="false">IF(43&lt;5,0,IF(MAX(AP38:AU38)&gt;AU43+5+$B$18,1,0))</f>
        <v>0</v>
      </c>
      <c r="AV54" s="352" t="n">
        <f aca="false">IF(44&lt;5,0,IF(MAX(AQ38:AV38)&gt;AV43+5+$B$18,1,0))</f>
        <v>0</v>
      </c>
      <c r="AW54" s="352" t="n">
        <f aca="false">IF(45&lt;5,0,IF(MAX(AR38:AW38)&gt;AW43+5+$B$18,1,0))</f>
        <v>0</v>
      </c>
      <c r="AX54" s="352" t="n">
        <f aca="false">IF(46&lt;5,0,IF(MAX(AS38:AX38)&gt;AX43+5+$B$18,1,0))</f>
        <v>0</v>
      </c>
      <c r="AY54" s="352" t="n">
        <f aca="false">IF(47&lt;5,0,IF(MAX(AT38:AY38)&gt;AY43+5+$B$18,1,0))</f>
        <v>0</v>
      </c>
      <c r="AZ54" s="352" t="n">
        <f aca="false">IF(48&lt;5,0,IF(MAX(AU38:AZ38)&gt;AZ43+5+$B$18,1,0))</f>
        <v>0</v>
      </c>
      <c r="BA54" s="352" t="n">
        <f aca="false">IF(49&lt;5,0,IF(MAX(AV38:BA38)&gt;BA43+5+$B$18,1,0))</f>
        <v>0</v>
      </c>
      <c r="BB54" s="352" t="n">
        <f aca="false">IF(50&lt;5,0,IF(MAX(AW38:BB38)&gt;BB43+5+$B$18,1,0))</f>
        <v>0</v>
      </c>
      <c r="BC54" s="352" t="n">
        <f aca="false">IF(51&lt;5,0,IF(MAX(AX38:BC38)&gt;BC43+5+$B$18,1,0))</f>
        <v>0</v>
      </c>
      <c r="BD54" s="352" t="n">
        <f aca="false">IF(52&lt;5,0,IF(MAX(AY38:BD38)&gt;BD43+5+$B$18,1,0))</f>
        <v>0</v>
      </c>
      <c r="BE54" s="352" t="n">
        <f aca="false">IF(53&lt;5,0,IF(MAX(AZ38:BE38)&gt;BE43+5+$B$18,1,0))</f>
        <v>0</v>
      </c>
      <c r="BF54" s="352" t="n">
        <f aca="false">IF(54&lt;5,0,IF(MAX(BA38:BF38)&gt;BF43+5+$B$18,1,0))</f>
        <v>0</v>
      </c>
      <c r="BG54" s="352" t="n">
        <f aca="false">IF(55&lt;5,0,IF(MAX(BB38:BG38)&gt;BG43+5+$B$18,1,0))</f>
        <v>0</v>
      </c>
      <c r="BH54" s="352" t="n">
        <f aca="false">IF(56&lt;5,0,IF(MAX(BC38:BH38)&gt;BH43+5+$B$18,1,0))</f>
        <v>0</v>
      </c>
      <c r="BI54" s="352" t="n">
        <f aca="false">IF(57&lt;5,0,IF(MAX(BD38:BI38)&gt;BI43+5+$B$18,1,0))</f>
        <v>0</v>
      </c>
      <c r="BJ54" s="352" t="n">
        <f aca="false">IF(58&lt;5,0,IF(MAX(BE38:BJ38)&gt;BJ43+5+$B$18,1,0))</f>
        <v>0</v>
      </c>
      <c r="BK54" s="352" t="n">
        <f aca="false">IF(59&lt;5,0,IF(MAX(BF38:BK38)&gt;BK43+5+$B$18,1,0))</f>
        <v>0</v>
      </c>
      <c r="BL54" s="352" t="n">
        <f aca="false">IF(60&lt;5,0,IF(MAX(BG38:BL38)&gt;BL43+5+$B$18,1,0))</f>
        <v>0</v>
      </c>
      <c r="BM54" s="352" t="n">
        <f aca="false">IF(61&lt;5,0,IF(MAX(BH38:BM38)&gt;BM43+5+$B$18,1,0))</f>
        <v>0</v>
      </c>
      <c r="BN54" s="352" t="n">
        <f aca="false">IF(62&lt;5,0,IF(MAX(BI38:BN38)&gt;BN43+5+$B$18,1,0))</f>
        <v>0</v>
      </c>
      <c r="BO54" s="352" t="n">
        <f aca="false">IF(63&lt;5,0,IF(MAX(BJ38:BO38)&gt;BO43+5+$B$18,1,0))</f>
        <v>0</v>
      </c>
      <c r="BP54" s="352" t="n">
        <f aca="false">IF(64&lt;5,0,IF(MAX(BK38:BP38)&gt;BP43+5+$B$18,1,0))</f>
        <v>0</v>
      </c>
      <c r="BQ54" s="352" t="n">
        <f aca="false">IF(65&lt;5,0,IF(MAX(BL38:BQ38)&gt;BQ43+5+$B$18,1,0))</f>
        <v>0</v>
      </c>
      <c r="BR54" s="352" t="n">
        <f aca="false">IF(66&lt;5,0,IF(MAX(BM38:BR38)&gt;BR43+5+$B$18,1,0))</f>
        <v>0</v>
      </c>
      <c r="BS54" s="352" t="n">
        <f aca="false">IF(67&lt;5,0,IF(MAX(BN38:BS38)&gt;BS43+5+$B$18,1,0))</f>
        <v>0</v>
      </c>
      <c r="BT54" s="352" t="n">
        <f aca="false">IF(68&lt;5,0,IF(MAX(BO38:BT38)&gt;BT43+5+$B$18,1,0))</f>
        <v>0</v>
      </c>
      <c r="BU54" s="352" t="n">
        <f aca="false">IF(69&lt;5,0,IF(MAX(BP38:BU38)&gt;BU43+5+$B$18,1,0))</f>
        <v>0</v>
      </c>
      <c r="BV54" s="352" t="n">
        <f aca="false">IF(70&lt;5,0,IF(MAX(BQ38:BV38)&gt;BV43+5+$B$18,1,0))</f>
        <v>0</v>
      </c>
      <c r="BW54" s="352" t="n">
        <f aca="false">IF(71&lt;5,0,IF(MAX(BR38:BW38)&gt;BW43+5+$B$18,1,0))</f>
        <v>0</v>
      </c>
      <c r="BX54" s="352" t="n">
        <f aca="false">IF(72&lt;5,0,IF(MAX(BS38:BX38)&gt;BX43+5+$B$18,1,0))</f>
        <v>0</v>
      </c>
      <c r="BY54" s="352" t="n">
        <f aca="false">IF(73&lt;5,0,IF(MAX(BT38:BY38)&gt;BY43+5+$B$18,1,0))</f>
        <v>0</v>
      </c>
      <c r="BZ54" s="352" t="n">
        <f aca="false">IF(74&lt;5,0,IF(MAX(BU38:BZ38)&gt;BZ43+5+$B$18,1,0))</f>
        <v>0</v>
      </c>
      <c r="CA54" s="352" t="n">
        <f aca="false">IF(75&lt;5,0,IF(MAX(BV38:CA38)&gt;CA43+5+$B$18,1,0))</f>
        <v>0</v>
      </c>
      <c r="CB54" s="352" t="n">
        <f aca="false">IF(76&lt;5,0,IF(MAX(BW38:CB38)&gt;CB43+5+$B$18,1,0))</f>
        <v>0</v>
      </c>
      <c r="CC54" s="352" t="n">
        <f aca="false">IF(77&lt;5,0,IF(MAX(BX38:CC38)&gt;CC43+5+$B$18,1,0))</f>
        <v>0</v>
      </c>
      <c r="CD54" s="352" t="n">
        <f aca="false">IF(78&lt;5,0,IF(MAX(BY38:CD38)&gt;CD43+5+$B$18,1,0))</f>
        <v>0</v>
      </c>
      <c r="CE54" s="352" t="n">
        <f aca="false">IF(79&lt;5,0,IF(MAX(BZ38:CE38)&gt;CE43+5+$B$18,1,0))</f>
        <v>0</v>
      </c>
      <c r="CF54" s="352" t="n">
        <f aca="false">IF(80&lt;5,0,IF(MAX(CA38:CF38)&gt;CF43+5+$B$18,1,0))</f>
        <v>0</v>
      </c>
      <c r="CG54" s="352" t="n">
        <f aca="false">IF(81&lt;5,0,IF(MAX(CB38:CG38)&gt;CG43+5+$B$18,1,0))</f>
        <v>0</v>
      </c>
      <c r="CH54" s="352" t="n">
        <f aca="false">IF(82&lt;5,0,IF(MAX(CC38:CH38)&gt;CH43+5+$B$18,1,0))</f>
        <v>0</v>
      </c>
      <c r="CI54" s="352" t="n">
        <f aca="false">IF(83&lt;5,0,IF(MAX(CD38:CI38)&gt;CI43+5+$B$18,1,0))</f>
        <v>0</v>
      </c>
      <c r="CJ54" s="352" t="n">
        <f aca="false">IF(84&lt;5,0,IF(MAX(CE38:CJ38)&gt;CJ43+5+$B$18,1,0))</f>
        <v>0</v>
      </c>
      <c r="CK54" s="352" t="n">
        <f aca="false">IF(85&lt;5,0,IF(MAX(CF38:CK38)&gt;CK43+5+$B$18,1,0))</f>
        <v>0</v>
      </c>
      <c r="CL54" s="352" t="n">
        <f aca="false">IF(86&lt;5,0,IF(MAX(CG38:CL38)&gt;CL43+5+$B$18,1,0))</f>
        <v>0</v>
      </c>
      <c r="CM54" s="352" t="n">
        <f aca="false">IF(87&lt;5,0,IF(MAX(CH38:CM38)&gt;CM43+5+$B$18,1,0))</f>
        <v>0</v>
      </c>
      <c r="CN54" s="352" t="n">
        <f aca="false">IF(88&lt;5,0,IF(MAX(CI38:CN38)&gt;CN43+5+$B$18,1,0))</f>
        <v>0</v>
      </c>
      <c r="CO54" s="352" t="n">
        <f aca="false">IF(89&lt;5,0,IF(MAX(CJ38:CO38)&gt;CO43+5+$B$18,1,0))</f>
        <v>0</v>
      </c>
      <c r="CP54" s="352" t="n">
        <f aca="false">IF(90&lt;5,0,IF(MAX(CK38:CP38)&gt;CP43+5+$B$18,1,0))</f>
        <v>0</v>
      </c>
      <c r="CQ54" s="352" t="n">
        <f aca="false">IF(91&lt;5,0,IF(MAX(CL38:CQ38)&gt;CQ43+5+$B$18,1,0))</f>
        <v>0</v>
      </c>
      <c r="CR54" s="352" t="n">
        <f aca="false">IF(92&lt;5,0,IF(MAX(CM38:CR38)&gt;CR43+5+$B$18,1,0))</f>
        <v>0</v>
      </c>
      <c r="CS54" s="352" t="n">
        <f aca="false">IF(93&lt;5,0,IF(MAX(CN38:CS38)&gt;CS43+5+$B$18,1,0))</f>
        <v>0</v>
      </c>
      <c r="CT54" s="352" t="n">
        <f aca="false">IF(94&lt;5,0,IF(MAX(CO38:CT38)&gt;CT43+5+$B$18,1,0))</f>
        <v>0</v>
      </c>
      <c r="CU54" s="352" t="n">
        <f aca="false">IF(95&lt;5,0,IF(MAX(CP38:CU38)&gt;CU43+5+$B$18,1,0))</f>
        <v>0</v>
      </c>
      <c r="CV54" s="352" t="n">
        <f aca="false">IF(96&lt;5,0,IF(MAX(CQ38:CV38)&gt;CV43+5+$B$18,1,0))</f>
        <v>0</v>
      </c>
      <c r="CW54" s="352" t="n">
        <f aca="false">IF(97&lt;5,0,IF(MAX(CR38:CW38)&gt;CW43+5+$B$18,1,0))</f>
        <v>0</v>
      </c>
      <c r="CX54" s="352" t="n">
        <f aca="false">IF(98&lt;5,0,IF(MAX(CS38:CX38)&gt;CX43+5+$B$18,1,0))</f>
        <v>0</v>
      </c>
      <c r="CY54" s="352" t="n">
        <f aca="false">IF(99&lt;5,0,IF(MAX(CT38:CY38)&gt;CY43+5+$B$18,1,0))</f>
        <v>0</v>
      </c>
      <c r="CZ54" s="352" t="n">
        <f aca="false">IF(100&lt;5,0,IF(MAX(CU38:CZ38)&gt;CZ43+5+$B$18,1,0))</f>
        <v>0</v>
      </c>
      <c r="DA54" s="352" t="n">
        <f aca="false">IF(101&lt;5,0,IF(MAX(CV38:DA38)&gt;DA43+5+$B$18,1,0))</f>
        <v>0</v>
      </c>
      <c r="DB54" s="352" t="n">
        <f aca="false">IF(102&lt;5,0,IF(MAX(CW38:DB38)&gt;DB43+5+$B$18,1,0))</f>
        <v>0</v>
      </c>
      <c r="DC54" s="352" t="n">
        <f aca="false">IF(103&lt;5,0,IF(MAX(CX38:DC38)&gt;DC43+5+$B$18,1,0))</f>
        <v>0</v>
      </c>
      <c r="DD54" s="352" t="n">
        <f aca="false">IF(104&lt;5,0,IF(MAX(CY38:DD38)&gt;DD43+5+$B$18,1,0))</f>
        <v>0</v>
      </c>
      <c r="DE54" s="352" t="n">
        <f aca="false">IF(105&lt;5,0,IF(MAX(CZ38:DE38)&gt;DE43+5+$B$18,1,0))</f>
        <v>0</v>
      </c>
    </row>
    <row r="55" customFormat="false" ht="13.5" hidden="false" customHeight="true" outlineLevel="0" collapsed="false">
      <c r="A55" s="109" t="s">
        <v>1184</v>
      </c>
      <c r="B55" s="211" t="n">
        <f aca="false">$B$27</f>
        <v>125000</v>
      </c>
      <c r="E55" s="352" t="n">
        <f aca="false">IF(1&lt;5,0,IF(MAX(E38)&gt;E43+6+$B$18,1,0))</f>
        <v>0</v>
      </c>
      <c r="F55" s="352" t="n">
        <f aca="false">IF(2&lt;5,0,IF(MAX(E38:F38)&gt;F43+6+$B$18,1,0))</f>
        <v>0</v>
      </c>
      <c r="G55" s="352" t="n">
        <f aca="false">IF(3&lt;5,0,IF(MAX(E38:G38)&gt;G43+6+$B$18,1,0))</f>
        <v>0</v>
      </c>
      <c r="H55" s="352" t="n">
        <f aca="false">IF(4&lt;5,0,IF(MAX(E38:H38)&gt;H43+6+$B$18,1,0))</f>
        <v>0</v>
      </c>
      <c r="I55" s="352" t="n">
        <f aca="false">IF(5&lt;5,0,IF(MAX(E38:I38)&gt;I43+6+$B$18,1,0))</f>
        <v>0</v>
      </c>
      <c r="J55" s="352" t="n">
        <f aca="false">IF(6&lt;5,0,IF(MAX(E38:J38)&gt;J43+6+$B$18,1,0))</f>
        <v>0</v>
      </c>
      <c r="K55" s="352" t="n">
        <f aca="false">IF(7&lt;5,0,IF(MAX(F38:K38)&gt;K43+6+$B$18,1,0))</f>
        <v>0</v>
      </c>
      <c r="L55" s="352" t="n">
        <f aca="false">IF(8&lt;5,0,IF(MAX(G38:L38)&gt;L43+6+$B$18,1,0))</f>
        <v>0</v>
      </c>
      <c r="M55" s="352" t="n">
        <f aca="false">IF(9&lt;5,0,IF(MAX(H38:M38)&gt;M43+6+$B$18,1,0))</f>
        <v>0</v>
      </c>
      <c r="N55" s="352" t="n">
        <f aca="false">IF(10&lt;5,0,IF(MAX(I38:N38)&gt;N43+6+$B$18,1,0))</f>
        <v>0</v>
      </c>
      <c r="O55" s="352" t="n">
        <f aca="false">IF(11&lt;5,0,IF(MAX(J38:O38)&gt;O43+6+$B$18,1,0))</f>
        <v>0</v>
      </c>
      <c r="P55" s="352" t="n">
        <f aca="false">IF(12&lt;5,0,IF(MAX(K38:P38)&gt;P43+6+$B$18,1,0))</f>
        <v>0</v>
      </c>
      <c r="Q55" s="352" t="n">
        <f aca="false">IF(13&lt;5,0,IF(MAX(L38:Q38)&gt;Q43+6+$B$18,1,0))</f>
        <v>0</v>
      </c>
      <c r="R55" s="352" t="n">
        <f aca="false">IF(14&lt;5,0,IF(MAX(M38:R38)&gt;R43+6+$B$18,1,0))</f>
        <v>0</v>
      </c>
      <c r="S55" s="352" t="n">
        <f aca="false">IF(15&lt;5,0,IF(MAX(N38:S38)&gt;S43+6+$B$18,1,0))</f>
        <v>0</v>
      </c>
      <c r="T55" s="352" t="n">
        <f aca="false">IF(16&lt;5,0,IF(MAX(O38:T38)&gt;T43+6+$B$18,1,0))</f>
        <v>0</v>
      </c>
      <c r="U55" s="352" t="n">
        <f aca="false">IF(17&lt;5,0,IF(MAX(P38:U38)&gt;U43+6+$B$18,1,0))</f>
        <v>0</v>
      </c>
      <c r="V55" s="352" t="n">
        <f aca="false">IF(18&lt;5,0,IF(MAX(Q38:V38)&gt;V43+6+$B$18,1,0))</f>
        <v>0</v>
      </c>
      <c r="W55" s="352" t="n">
        <f aca="false">IF(19&lt;5,0,IF(MAX(R38:W38)&gt;W43+6+$B$18,1,0))</f>
        <v>0</v>
      </c>
      <c r="X55" s="352" t="n">
        <f aca="false">IF(20&lt;5,0,IF(MAX(S38:X38)&gt;X43+6+$B$18,1,0))</f>
        <v>0</v>
      </c>
      <c r="Y55" s="352" t="n">
        <f aca="false">IF(21&lt;5,0,IF(MAX(T38:Y38)&gt;Y43+6+$B$18,1,0))</f>
        <v>0</v>
      </c>
      <c r="Z55" s="352" t="n">
        <f aca="false">IF(22&lt;5,0,IF(MAX(U38:Z38)&gt;Z43+6+$B$18,1,0))</f>
        <v>0</v>
      </c>
      <c r="AA55" s="352" t="n">
        <f aca="false">IF(23&lt;5,0,IF(MAX(V38:AA38)&gt;AA43+6+$B$18,1,0))</f>
        <v>0</v>
      </c>
      <c r="AB55" s="352" t="n">
        <f aca="false">IF(24&lt;5,0,IF(MAX(W38:AB38)&gt;AB43+6+$B$18,1,0))</f>
        <v>0</v>
      </c>
      <c r="AC55" s="352" t="n">
        <f aca="false">IF(25&lt;5,0,IF(MAX(X38:AC38)&gt;AC43+6+$B$18,1,0))</f>
        <v>0</v>
      </c>
      <c r="AD55" s="352" t="n">
        <f aca="false">IF(26&lt;5,0,IF(MAX(Y38:AD38)&gt;AD43+6+$B$18,1,0))</f>
        <v>0</v>
      </c>
      <c r="AE55" s="352" t="n">
        <f aca="false">IF(27&lt;5,0,IF(MAX(Z38:AE38)&gt;AE43+6+$B$18,1,0))</f>
        <v>0</v>
      </c>
      <c r="AF55" s="352" t="n">
        <f aca="false">IF(28&lt;5,0,IF(MAX(AA38:AF38)&gt;AF43+6+$B$18,1,0))</f>
        <v>0</v>
      </c>
      <c r="AG55" s="352" t="n">
        <f aca="false">IF(29&lt;5,0,IF(MAX(AB38:AG38)&gt;AG43+6+$B$18,1,0))</f>
        <v>0</v>
      </c>
      <c r="AH55" s="352" t="n">
        <f aca="false">IF(30&lt;5,0,IF(MAX(AC38:AH38)&gt;AH43+6+$B$18,1,0))</f>
        <v>0</v>
      </c>
      <c r="AI55" s="352" t="n">
        <f aca="false">IF(31&lt;5,0,IF(MAX(AD38:AI38)&gt;AI43+6+$B$18,1,0))</f>
        <v>0</v>
      </c>
      <c r="AJ55" s="352" t="n">
        <f aca="false">IF(32&lt;5,0,IF(MAX(AE38:AJ38)&gt;AJ43+6+$B$18,1,0))</f>
        <v>0</v>
      </c>
      <c r="AK55" s="352" t="n">
        <f aca="false">IF(33&lt;5,0,IF(MAX(AF38:AK38)&gt;AK43+6+$B$18,1,0))</f>
        <v>0</v>
      </c>
      <c r="AL55" s="352" t="n">
        <f aca="false">IF(34&lt;5,0,IF(MAX(AG38:AL38)&gt;AL43+6+$B$18,1,0))</f>
        <v>0</v>
      </c>
      <c r="AM55" s="352" t="n">
        <f aca="false">IF(35&lt;5,0,IF(MAX(AH38:AM38)&gt;AM43+6+$B$18,1,0))</f>
        <v>0</v>
      </c>
      <c r="AN55" s="352" t="n">
        <f aca="false">IF(36&lt;5,0,IF(MAX(AI38:AN38)&gt;AN43+6+$B$18,1,0))</f>
        <v>0</v>
      </c>
      <c r="AO55" s="352" t="n">
        <f aca="false">IF(37&lt;5,0,IF(MAX(AJ38:AO38)&gt;AO43+6+$B$18,1,0))</f>
        <v>0</v>
      </c>
      <c r="AP55" s="352" t="n">
        <f aca="false">IF(38&lt;5,0,IF(MAX(AK38:AP38)&gt;AP43+6+$B$18,1,0))</f>
        <v>0</v>
      </c>
      <c r="AQ55" s="352" t="n">
        <f aca="false">IF(39&lt;5,0,IF(MAX(AL38:AQ38)&gt;AQ43+6+$B$18,1,0))</f>
        <v>0</v>
      </c>
      <c r="AR55" s="352" t="n">
        <f aca="false">IF(40&lt;5,0,IF(MAX(AM38:AR38)&gt;AR43+6+$B$18,1,0))</f>
        <v>0</v>
      </c>
      <c r="AS55" s="352" t="n">
        <f aca="false">IF(41&lt;5,0,IF(MAX(AN38:AS38)&gt;AS43+6+$B$18,1,0))</f>
        <v>0</v>
      </c>
      <c r="AT55" s="352" t="n">
        <f aca="false">IF(42&lt;5,0,IF(MAX(AO38:AT38)&gt;AT43+6+$B$18,1,0))</f>
        <v>0</v>
      </c>
      <c r="AU55" s="352" t="n">
        <f aca="false">IF(43&lt;5,0,IF(MAX(AP38:AU38)&gt;AU43+6+$B$18,1,0))</f>
        <v>0</v>
      </c>
      <c r="AV55" s="352" t="n">
        <f aca="false">IF(44&lt;5,0,IF(MAX(AQ38:AV38)&gt;AV43+6+$B$18,1,0))</f>
        <v>0</v>
      </c>
      <c r="AW55" s="352" t="n">
        <f aca="false">IF(45&lt;5,0,IF(MAX(AR38:AW38)&gt;AW43+6+$B$18,1,0))</f>
        <v>0</v>
      </c>
      <c r="AX55" s="352" t="n">
        <f aca="false">IF(46&lt;5,0,IF(MAX(AS38:AX38)&gt;AX43+6+$B$18,1,0))</f>
        <v>0</v>
      </c>
      <c r="AY55" s="352" t="n">
        <f aca="false">IF(47&lt;5,0,IF(MAX(AT38:AY38)&gt;AY43+6+$B$18,1,0))</f>
        <v>0</v>
      </c>
      <c r="AZ55" s="352" t="n">
        <f aca="false">IF(48&lt;5,0,IF(MAX(AU38:AZ38)&gt;AZ43+6+$B$18,1,0))</f>
        <v>0</v>
      </c>
      <c r="BA55" s="352" t="n">
        <f aca="false">IF(49&lt;5,0,IF(MAX(AV38:BA38)&gt;BA43+6+$B$18,1,0))</f>
        <v>0</v>
      </c>
      <c r="BB55" s="352" t="n">
        <f aca="false">IF(50&lt;5,0,IF(MAX(AW38:BB38)&gt;BB43+6+$B$18,1,0))</f>
        <v>0</v>
      </c>
      <c r="BC55" s="352" t="n">
        <f aca="false">IF(51&lt;5,0,IF(MAX(AX38:BC38)&gt;BC43+6+$B$18,1,0))</f>
        <v>0</v>
      </c>
      <c r="BD55" s="352" t="n">
        <f aca="false">IF(52&lt;5,0,IF(MAX(AY38:BD38)&gt;BD43+6+$B$18,1,0))</f>
        <v>0</v>
      </c>
      <c r="BE55" s="352" t="n">
        <f aca="false">IF(53&lt;5,0,IF(MAX(AZ38:BE38)&gt;BE43+6+$B$18,1,0))</f>
        <v>0</v>
      </c>
      <c r="BF55" s="352" t="n">
        <f aca="false">IF(54&lt;5,0,IF(MAX(BA38:BF38)&gt;BF43+6+$B$18,1,0))</f>
        <v>0</v>
      </c>
      <c r="BG55" s="352" t="n">
        <f aca="false">IF(55&lt;5,0,IF(MAX(BB38:BG38)&gt;BG43+6+$B$18,1,0))</f>
        <v>0</v>
      </c>
      <c r="BH55" s="352" t="n">
        <f aca="false">IF(56&lt;5,0,IF(MAX(BC38:BH38)&gt;BH43+6+$B$18,1,0))</f>
        <v>0</v>
      </c>
      <c r="BI55" s="352" t="n">
        <f aca="false">IF(57&lt;5,0,IF(MAX(BD38:BI38)&gt;BI43+6+$B$18,1,0))</f>
        <v>0</v>
      </c>
      <c r="BJ55" s="352" t="n">
        <f aca="false">IF(58&lt;5,0,IF(MAX(BE38:BJ38)&gt;BJ43+6+$B$18,1,0))</f>
        <v>0</v>
      </c>
      <c r="BK55" s="352" t="n">
        <f aca="false">IF(59&lt;5,0,IF(MAX(BF38:BK38)&gt;BK43+6+$B$18,1,0))</f>
        <v>0</v>
      </c>
      <c r="BL55" s="352" t="n">
        <f aca="false">IF(60&lt;5,0,IF(MAX(BG38:BL38)&gt;BL43+6+$B$18,1,0))</f>
        <v>0</v>
      </c>
      <c r="BM55" s="352" t="n">
        <f aca="false">IF(61&lt;5,0,IF(MAX(BH38:BM38)&gt;BM43+6+$B$18,1,0))</f>
        <v>0</v>
      </c>
      <c r="BN55" s="352" t="n">
        <f aca="false">IF(62&lt;5,0,IF(MAX(BI38:BN38)&gt;BN43+6+$B$18,1,0))</f>
        <v>0</v>
      </c>
      <c r="BO55" s="352" t="n">
        <f aca="false">IF(63&lt;5,0,IF(MAX(BJ38:BO38)&gt;BO43+6+$B$18,1,0))</f>
        <v>0</v>
      </c>
      <c r="BP55" s="352" t="n">
        <f aca="false">IF(64&lt;5,0,IF(MAX(BK38:BP38)&gt;BP43+6+$B$18,1,0))</f>
        <v>0</v>
      </c>
      <c r="BQ55" s="352" t="n">
        <f aca="false">IF(65&lt;5,0,IF(MAX(BL38:BQ38)&gt;BQ43+6+$B$18,1,0))</f>
        <v>0</v>
      </c>
      <c r="BR55" s="352" t="n">
        <f aca="false">IF(66&lt;5,0,IF(MAX(BM38:BR38)&gt;BR43+6+$B$18,1,0))</f>
        <v>0</v>
      </c>
      <c r="BS55" s="352" t="n">
        <f aca="false">IF(67&lt;5,0,IF(MAX(BN38:BS38)&gt;BS43+6+$B$18,1,0))</f>
        <v>0</v>
      </c>
      <c r="BT55" s="352" t="n">
        <f aca="false">IF(68&lt;5,0,IF(MAX(BO38:BT38)&gt;BT43+6+$B$18,1,0))</f>
        <v>0</v>
      </c>
      <c r="BU55" s="352" t="n">
        <f aca="false">IF(69&lt;5,0,IF(MAX(BP38:BU38)&gt;BU43+6+$B$18,1,0))</f>
        <v>0</v>
      </c>
      <c r="BV55" s="352" t="n">
        <f aca="false">IF(70&lt;5,0,IF(MAX(BQ38:BV38)&gt;BV43+6+$B$18,1,0))</f>
        <v>0</v>
      </c>
      <c r="BW55" s="352" t="n">
        <f aca="false">IF(71&lt;5,0,IF(MAX(BR38:BW38)&gt;BW43+6+$B$18,1,0))</f>
        <v>0</v>
      </c>
      <c r="BX55" s="352" t="n">
        <f aca="false">IF(72&lt;5,0,IF(MAX(BS38:BX38)&gt;BX43+6+$B$18,1,0))</f>
        <v>0</v>
      </c>
      <c r="BY55" s="352" t="n">
        <f aca="false">IF(73&lt;5,0,IF(MAX(BT38:BY38)&gt;BY43+6+$B$18,1,0))</f>
        <v>0</v>
      </c>
      <c r="BZ55" s="352" t="n">
        <f aca="false">IF(74&lt;5,0,IF(MAX(BU38:BZ38)&gt;BZ43+6+$B$18,1,0))</f>
        <v>0</v>
      </c>
      <c r="CA55" s="352" t="n">
        <f aca="false">IF(75&lt;5,0,IF(MAX(BV38:CA38)&gt;CA43+6+$B$18,1,0))</f>
        <v>0</v>
      </c>
      <c r="CB55" s="352" t="n">
        <f aca="false">IF(76&lt;5,0,IF(MAX(BW38:CB38)&gt;CB43+6+$B$18,1,0))</f>
        <v>0</v>
      </c>
      <c r="CC55" s="352" t="n">
        <f aca="false">IF(77&lt;5,0,IF(MAX(BX38:CC38)&gt;CC43+6+$B$18,1,0))</f>
        <v>0</v>
      </c>
      <c r="CD55" s="352" t="n">
        <f aca="false">IF(78&lt;5,0,IF(MAX(BY38:CD38)&gt;CD43+6+$B$18,1,0))</f>
        <v>0</v>
      </c>
      <c r="CE55" s="352" t="n">
        <f aca="false">IF(79&lt;5,0,IF(MAX(BZ38:CE38)&gt;CE43+6+$B$18,1,0))</f>
        <v>0</v>
      </c>
      <c r="CF55" s="352" t="n">
        <f aca="false">IF(80&lt;5,0,IF(MAX(CA38:CF38)&gt;CF43+6+$B$18,1,0))</f>
        <v>0</v>
      </c>
      <c r="CG55" s="352" t="n">
        <f aca="false">IF(81&lt;5,0,IF(MAX(CB38:CG38)&gt;CG43+6+$B$18,1,0))</f>
        <v>0</v>
      </c>
      <c r="CH55" s="352" t="n">
        <f aca="false">IF(82&lt;5,0,IF(MAX(CC38:CH38)&gt;CH43+6+$B$18,1,0))</f>
        <v>0</v>
      </c>
      <c r="CI55" s="352" t="n">
        <f aca="false">IF(83&lt;5,0,IF(MAX(CD38:CI38)&gt;CI43+6+$B$18,1,0))</f>
        <v>0</v>
      </c>
      <c r="CJ55" s="352" t="n">
        <f aca="false">IF(84&lt;5,0,IF(MAX(CE38:CJ38)&gt;CJ43+6+$B$18,1,0))</f>
        <v>0</v>
      </c>
      <c r="CK55" s="352" t="n">
        <f aca="false">IF(85&lt;5,0,IF(MAX(CF38:CK38)&gt;CK43+6+$B$18,1,0))</f>
        <v>0</v>
      </c>
      <c r="CL55" s="352" t="n">
        <f aca="false">IF(86&lt;5,0,IF(MAX(CG38:CL38)&gt;CL43+6+$B$18,1,0))</f>
        <v>0</v>
      </c>
      <c r="CM55" s="352" t="n">
        <f aca="false">IF(87&lt;5,0,IF(MAX(CH38:CM38)&gt;CM43+6+$B$18,1,0))</f>
        <v>0</v>
      </c>
      <c r="CN55" s="352" t="n">
        <f aca="false">IF(88&lt;5,0,IF(MAX(CI38:CN38)&gt;CN43+6+$B$18,1,0))</f>
        <v>0</v>
      </c>
      <c r="CO55" s="352" t="n">
        <f aca="false">IF(89&lt;5,0,IF(MAX(CJ38:CO38)&gt;CO43+6+$B$18,1,0))</f>
        <v>0</v>
      </c>
      <c r="CP55" s="352" t="n">
        <f aca="false">IF(90&lt;5,0,IF(MAX(CK38:CP38)&gt;CP43+6+$B$18,1,0))</f>
        <v>0</v>
      </c>
      <c r="CQ55" s="352" t="n">
        <f aca="false">IF(91&lt;5,0,IF(MAX(CL38:CQ38)&gt;CQ43+6+$B$18,1,0))</f>
        <v>0</v>
      </c>
      <c r="CR55" s="352" t="n">
        <f aca="false">IF(92&lt;5,0,IF(MAX(CM38:CR38)&gt;CR43+6+$B$18,1,0))</f>
        <v>0</v>
      </c>
      <c r="CS55" s="352" t="n">
        <f aca="false">IF(93&lt;5,0,IF(MAX(CN38:CS38)&gt;CS43+6+$B$18,1,0))</f>
        <v>0</v>
      </c>
      <c r="CT55" s="352" t="n">
        <f aca="false">IF(94&lt;5,0,IF(MAX(CO38:CT38)&gt;CT43+6+$B$18,1,0))</f>
        <v>0</v>
      </c>
      <c r="CU55" s="352" t="n">
        <f aca="false">IF(95&lt;5,0,IF(MAX(CP38:CU38)&gt;CU43+6+$B$18,1,0))</f>
        <v>0</v>
      </c>
      <c r="CV55" s="352" t="n">
        <f aca="false">IF(96&lt;5,0,IF(MAX(CQ38:CV38)&gt;CV43+6+$B$18,1,0))</f>
        <v>0</v>
      </c>
      <c r="CW55" s="352" t="n">
        <f aca="false">IF(97&lt;5,0,IF(MAX(CR38:CW38)&gt;CW43+6+$B$18,1,0))</f>
        <v>0</v>
      </c>
      <c r="CX55" s="352" t="n">
        <f aca="false">IF(98&lt;5,0,IF(MAX(CS38:CX38)&gt;CX43+6+$B$18,1,0))</f>
        <v>0</v>
      </c>
      <c r="CY55" s="352" t="n">
        <f aca="false">IF(99&lt;5,0,IF(MAX(CT38:CY38)&gt;CY43+6+$B$18,1,0))</f>
        <v>0</v>
      </c>
      <c r="CZ55" s="352" t="n">
        <f aca="false">IF(100&lt;5,0,IF(MAX(CU38:CZ38)&gt;CZ43+6+$B$18,1,0))</f>
        <v>0</v>
      </c>
      <c r="DA55" s="352" t="n">
        <f aca="false">IF(101&lt;5,0,IF(MAX(CV38:DA38)&gt;DA43+6+$B$18,1,0))</f>
        <v>0</v>
      </c>
      <c r="DB55" s="352" t="n">
        <f aca="false">IF(102&lt;5,0,IF(MAX(CW38:DB38)&gt;DB43+6+$B$18,1,0))</f>
        <v>0</v>
      </c>
      <c r="DC55" s="352" t="n">
        <f aca="false">IF(103&lt;5,0,IF(MAX(CX38:DC38)&gt;DC43+6+$B$18,1,0))</f>
        <v>0</v>
      </c>
      <c r="DD55" s="352" t="n">
        <f aca="false">IF(104&lt;5,0,IF(MAX(CY38:DD38)&gt;DD43+6+$B$18,1,0))</f>
        <v>0</v>
      </c>
      <c r="DE55" s="352" t="n">
        <f aca="false">IF(105&lt;5,0,IF(MAX(CZ38:DE38)&gt;DE43+6+$B$18,1,0))</f>
        <v>0</v>
      </c>
    </row>
    <row r="56" customFormat="false" ht="13.5" hidden="false" customHeight="true" outlineLevel="0" collapsed="false">
      <c r="A56" s="109" t="s">
        <v>1185</v>
      </c>
      <c r="B56" s="211" t="n">
        <f aca="false">$B$27</f>
        <v>125000</v>
      </c>
      <c r="E56" s="352" t="n">
        <f aca="false">IF(1&lt;5,0,IF(MAX(E38)&gt;E43+7+$B$18,1,0))</f>
        <v>0</v>
      </c>
      <c r="F56" s="352" t="n">
        <f aca="false">IF(2&lt;5,0,IF(MAX(E38:F38)&gt;F43+7+$B$18,1,0))</f>
        <v>0</v>
      </c>
      <c r="G56" s="352" t="n">
        <f aca="false">IF(3&lt;5,0,IF(MAX(E38:G38)&gt;G43+7+$B$18,1,0))</f>
        <v>0</v>
      </c>
      <c r="H56" s="352" t="n">
        <f aca="false">IF(4&lt;5,0,IF(MAX(E38:H38)&gt;H43+7+$B$18,1,0))</f>
        <v>0</v>
      </c>
      <c r="I56" s="352" t="n">
        <f aca="false">IF(5&lt;5,0,IF(MAX(E38:I38)&gt;I43+7+$B$18,1,0))</f>
        <v>0</v>
      </c>
      <c r="J56" s="352" t="n">
        <f aca="false">IF(6&lt;5,0,IF(MAX(E38:J38)&gt;J43+7+$B$18,1,0))</f>
        <v>0</v>
      </c>
      <c r="K56" s="352" t="n">
        <f aca="false">IF(7&lt;5,0,IF(MAX(F38:K38)&gt;K43+7+$B$18,1,0))</f>
        <v>0</v>
      </c>
      <c r="L56" s="352" t="n">
        <f aca="false">IF(8&lt;5,0,IF(MAX(G38:L38)&gt;L43+7+$B$18,1,0))</f>
        <v>0</v>
      </c>
      <c r="M56" s="352" t="n">
        <f aca="false">IF(9&lt;5,0,IF(MAX(H38:M38)&gt;M43+7+$B$18,1,0))</f>
        <v>0</v>
      </c>
      <c r="N56" s="352" t="n">
        <f aca="false">IF(10&lt;5,0,IF(MAX(I38:N38)&gt;N43+7+$B$18,1,0))</f>
        <v>0</v>
      </c>
      <c r="O56" s="352" t="n">
        <f aca="false">IF(11&lt;5,0,IF(MAX(J38:O38)&gt;O43+7+$B$18,1,0))</f>
        <v>0</v>
      </c>
      <c r="P56" s="352" t="n">
        <f aca="false">IF(12&lt;5,0,IF(MAX(K38:P38)&gt;P43+7+$B$18,1,0))</f>
        <v>0</v>
      </c>
      <c r="Q56" s="352" t="n">
        <f aca="false">IF(13&lt;5,0,IF(MAX(L38:Q38)&gt;Q43+7+$B$18,1,0))</f>
        <v>0</v>
      </c>
      <c r="R56" s="352" t="n">
        <f aca="false">IF(14&lt;5,0,IF(MAX(M38:R38)&gt;R43+7+$B$18,1,0))</f>
        <v>0</v>
      </c>
      <c r="S56" s="352" t="n">
        <f aca="false">IF(15&lt;5,0,IF(MAX(N38:S38)&gt;S43+7+$B$18,1,0))</f>
        <v>0</v>
      </c>
      <c r="T56" s="352" t="n">
        <f aca="false">IF(16&lt;5,0,IF(MAX(O38:T38)&gt;T43+7+$B$18,1,0))</f>
        <v>0</v>
      </c>
      <c r="U56" s="352" t="n">
        <f aca="false">IF(17&lt;5,0,IF(MAX(P38:U38)&gt;U43+7+$B$18,1,0))</f>
        <v>0</v>
      </c>
      <c r="V56" s="352" t="n">
        <f aca="false">IF(18&lt;5,0,IF(MAX(Q38:V38)&gt;V43+7+$B$18,1,0))</f>
        <v>0</v>
      </c>
      <c r="W56" s="352" t="n">
        <f aca="false">IF(19&lt;5,0,IF(MAX(R38:W38)&gt;W43+7+$B$18,1,0))</f>
        <v>0</v>
      </c>
      <c r="X56" s="352" t="n">
        <f aca="false">IF(20&lt;5,0,IF(MAX(S38:X38)&gt;X43+7+$B$18,1,0))</f>
        <v>0</v>
      </c>
      <c r="Y56" s="352" t="n">
        <f aca="false">IF(21&lt;5,0,IF(MAX(T38:Y38)&gt;Y43+7+$B$18,1,0))</f>
        <v>0</v>
      </c>
      <c r="Z56" s="352" t="n">
        <f aca="false">IF(22&lt;5,0,IF(MAX(U38:Z38)&gt;Z43+7+$B$18,1,0))</f>
        <v>0</v>
      </c>
      <c r="AA56" s="352" t="n">
        <f aca="false">IF(23&lt;5,0,IF(MAX(V38:AA38)&gt;AA43+7+$B$18,1,0))</f>
        <v>0</v>
      </c>
      <c r="AB56" s="352" t="n">
        <f aca="false">IF(24&lt;5,0,IF(MAX(W38:AB38)&gt;AB43+7+$B$18,1,0))</f>
        <v>0</v>
      </c>
      <c r="AC56" s="352" t="n">
        <f aca="false">IF(25&lt;5,0,IF(MAX(X38:AC38)&gt;AC43+7+$B$18,1,0))</f>
        <v>0</v>
      </c>
      <c r="AD56" s="352" t="n">
        <f aca="false">IF(26&lt;5,0,IF(MAX(Y38:AD38)&gt;AD43+7+$B$18,1,0))</f>
        <v>0</v>
      </c>
      <c r="AE56" s="352" t="n">
        <f aca="false">IF(27&lt;5,0,IF(MAX(Z38:AE38)&gt;AE43+7+$B$18,1,0))</f>
        <v>0</v>
      </c>
      <c r="AF56" s="352" t="n">
        <f aca="false">IF(28&lt;5,0,IF(MAX(AA38:AF38)&gt;AF43+7+$B$18,1,0))</f>
        <v>0</v>
      </c>
      <c r="AG56" s="352" t="n">
        <f aca="false">IF(29&lt;5,0,IF(MAX(AB38:AG38)&gt;AG43+7+$B$18,1,0))</f>
        <v>0</v>
      </c>
      <c r="AH56" s="352" t="n">
        <f aca="false">IF(30&lt;5,0,IF(MAX(AC38:AH38)&gt;AH43+7+$B$18,1,0))</f>
        <v>0</v>
      </c>
      <c r="AI56" s="352" t="n">
        <f aca="false">IF(31&lt;5,0,IF(MAX(AD38:AI38)&gt;AI43+7+$B$18,1,0))</f>
        <v>0</v>
      </c>
      <c r="AJ56" s="352" t="n">
        <f aca="false">IF(32&lt;5,0,IF(MAX(AE38:AJ38)&gt;AJ43+7+$B$18,1,0))</f>
        <v>0</v>
      </c>
      <c r="AK56" s="352" t="n">
        <f aca="false">IF(33&lt;5,0,IF(MAX(AF38:AK38)&gt;AK43+7+$B$18,1,0))</f>
        <v>0</v>
      </c>
      <c r="AL56" s="352" t="n">
        <f aca="false">IF(34&lt;5,0,IF(MAX(AG38:AL38)&gt;AL43+7+$B$18,1,0))</f>
        <v>0</v>
      </c>
      <c r="AM56" s="352" t="n">
        <f aca="false">IF(35&lt;5,0,IF(MAX(AH38:AM38)&gt;AM43+7+$B$18,1,0))</f>
        <v>0</v>
      </c>
      <c r="AN56" s="352" t="n">
        <f aca="false">IF(36&lt;5,0,IF(MAX(AI38:AN38)&gt;AN43+7+$B$18,1,0))</f>
        <v>0</v>
      </c>
      <c r="AO56" s="352" t="n">
        <f aca="false">IF(37&lt;5,0,IF(MAX(AJ38:AO38)&gt;AO43+7+$B$18,1,0))</f>
        <v>0</v>
      </c>
      <c r="AP56" s="352" t="n">
        <f aca="false">IF(38&lt;5,0,IF(MAX(AK38:AP38)&gt;AP43+7+$B$18,1,0))</f>
        <v>0</v>
      </c>
      <c r="AQ56" s="352" t="n">
        <f aca="false">IF(39&lt;5,0,IF(MAX(AL38:AQ38)&gt;AQ43+7+$B$18,1,0))</f>
        <v>0</v>
      </c>
      <c r="AR56" s="352" t="n">
        <f aca="false">IF(40&lt;5,0,IF(MAX(AM38:AR38)&gt;AR43+7+$B$18,1,0))</f>
        <v>0</v>
      </c>
      <c r="AS56" s="352" t="n">
        <f aca="false">IF(41&lt;5,0,IF(MAX(AN38:AS38)&gt;AS43+7+$B$18,1,0))</f>
        <v>0</v>
      </c>
      <c r="AT56" s="352" t="n">
        <f aca="false">IF(42&lt;5,0,IF(MAX(AO38:AT38)&gt;AT43+7+$B$18,1,0))</f>
        <v>0</v>
      </c>
      <c r="AU56" s="352" t="n">
        <f aca="false">IF(43&lt;5,0,IF(MAX(AP38:AU38)&gt;AU43+7+$B$18,1,0))</f>
        <v>0</v>
      </c>
      <c r="AV56" s="352" t="n">
        <f aca="false">IF(44&lt;5,0,IF(MAX(AQ38:AV38)&gt;AV43+7+$B$18,1,0))</f>
        <v>0</v>
      </c>
      <c r="AW56" s="352" t="n">
        <f aca="false">IF(45&lt;5,0,IF(MAX(AR38:AW38)&gt;AW43+7+$B$18,1,0))</f>
        <v>0</v>
      </c>
      <c r="AX56" s="352" t="n">
        <f aca="false">IF(46&lt;5,0,IF(MAX(AS38:AX38)&gt;AX43+7+$B$18,1,0))</f>
        <v>0</v>
      </c>
      <c r="AY56" s="352" t="n">
        <f aca="false">IF(47&lt;5,0,IF(MAX(AT38:AY38)&gt;AY43+7+$B$18,1,0))</f>
        <v>0</v>
      </c>
      <c r="AZ56" s="352" t="n">
        <f aca="false">IF(48&lt;5,0,IF(MAX(AU38:AZ38)&gt;AZ43+7+$B$18,1,0))</f>
        <v>0</v>
      </c>
      <c r="BA56" s="352" t="n">
        <f aca="false">IF(49&lt;5,0,IF(MAX(AV38:BA38)&gt;BA43+7+$B$18,1,0))</f>
        <v>0</v>
      </c>
      <c r="BB56" s="352" t="n">
        <f aca="false">IF(50&lt;5,0,IF(MAX(AW38:BB38)&gt;BB43+7+$B$18,1,0))</f>
        <v>0</v>
      </c>
      <c r="BC56" s="352" t="n">
        <f aca="false">IF(51&lt;5,0,IF(MAX(AX38:BC38)&gt;BC43+7+$B$18,1,0))</f>
        <v>0</v>
      </c>
      <c r="BD56" s="352" t="n">
        <f aca="false">IF(52&lt;5,0,IF(MAX(AY38:BD38)&gt;BD43+7+$B$18,1,0))</f>
        <v>0</v>
      </c>
      <c r="BE56" s="352" t="n">
        <f aca="false">IF(53&lt;5,0,IF(MAX(AZ38:BE38)&gt;BE43+7+$B$18,1,0))</f>
        <v>0</v>
      </c>
      <c r="BF56" s="352" t="n">
        <f aca="false">IF(54&lt;5,0,IF(MAX(BA38:BF38)&gt;BF43+7+$B$18,1,0))</f>
        <v>0</v>
      </c>
      <c r="BG56" s="352" t="n">
        <f aca="false">IF(55&lt;5,0,IF(MAX(BB38:BG38)&gt;BG43+7+$B$18,1,0))</f>
        <v>0</v>
      </c>
      <c r="BH56" s="352" t="n">
        <f aca="false">IF(56&lt;5,0,IF(MAX(BC38:BH38)&gt;BH43+7+$B$18,1,0))</f>
        <v>0</v>
      </c>
      <c r="BI56" s="352" t="n">
        <f aca="false">IF(57&lt;5,0,IF(MAX(BD38:BI38)&gt;BI43+7+$B$18,1,0))</f>
        <v>0</v>
      </c>
      <c r="BJ56" s="352" t="n">
        <f aca="false">IF(58&lt;5,0,IF(MAX(BE38:BJ38)&gt;BJ43+7+$B$18,1,0))</f>
        <v>0</v>
      </c>
      <c r="BK56" s="352" t="n">
        <f aca="false">IF(59&lt;5,0,IF(MAX(BF38:BK38)&gt;BK43+7+$B$18,1,0))</f>
        <v>0</v>
      </c>
      <c r="BL56" s="352" t="n">
        <f aca="false">IF(60&lt;5,0,IF(MAX(BG38:BL38)&gt;BL43+7+$B$18,1,0))</f>
        <v>0</v>
      </c>
      <c r="BM56" s="352" t="n">
        <f aca="false">IF(61&lt;5,0,IF(MAX(BH38:BM38)&gt;BM43+7+$B$18,1,0))</f>
        <v>0</v>
      </c>
      <c r="BN56" s="352" t="n">
        <f aca="false">IF(62&lt;5,0,IF(MAX(BI38:BN38)&gt;BN43+7+$B$18,1,0))</f>
        <v>0</v>
      </c>
      <c r="BO56" s="352" t="n">
        <f aca="false">IF(63&lt;5,0,IF(MAX(BJ38:BO38)&gt;BO43+7+$B$18,1,0))</f>
        <v>0</v>
      </c>
      <c r="BP56" s="352" t="n">
        <f aca="false">IF(64&lt;5,0,IF(MAX(BK38:BP38)&gt;BP43+7+$B$18,1,0))</f>
        <v>0</v>
      </c>
      <c r="BQ56" s="352" t="n">
        <f aca="false">IF(65&lt;5,0,IF(MAX(BL38:BQ38)&gt;BQ43+7+$B$18,1,0))</f>
        <v>0</v>
      </c>
      <c r="BR56" s="352" t="n">
        <f aca="false">IF(66&lt;5,0,IF(MAX(BM38:BR38)&gt;BR43+7+$B$18,1,0))</f>
        <v>0</v>
      </c>
      <c r="BS56" s="352" t="n">
        <f aca="false">IF(67&lt;5,0,IF(MAX(BN38:BS38)&gt;BS43+7+$B$18,1,0))</f>
        <v>0</v>
      </c>
      <c r="BT56" s="352" t="n">
        <f aca="false">IF(68&lt;5,0,IF(MAX(BO38:BT38)&gt;BT43+7+$B$18,1,0))</f>
        <v>0</v>
      </c>
      <c r="BU56" s="352" t="n">
        <f aca="false">IF(69&lt;5,0,IF(MAX(BP38:BU38)&gt;BU43+7+$B$18,1,0))</f>
        <v>0</v>
      </c>
      <c r="BV56" s="352" t="n">
        <f aca="false">IF(70&lt;5,0,IF(MAX(BQ38:BV38)&gt;BV43+7+$B$18,1,0))</f>
        <v>0</v>
      </c>
      <c r="BW56" s="352" t="n">
        <f aca="false">IF(71&lt;5,0,IF(MAX(BR38:BW38)&gt;BW43+7+$B$18,1,0))</f>
        <v>0</v>
      </c>
      <c r="BX56" s="352" t="n">
        <f aca="false">IF(72&lt;5,0,IF(MAX(BS38:BX38)&gt;BX43+7+$B$18,1,0))</f>
        <v>0</v>
      </c>
      <c r="BY56" s="352" t="n">
        <f aca="false">IF(73&lt;5,0,IF(MAX(BT38:BY38)&gt;BY43+7+$B$18,1,0))</f>
        <v>0</v>
      </c>
      <c r="BZ56" s="352" t="n">
        <f aca="false">IF(74&lt;5,0,IF(MAX(BU38:BZ38)&gt;BZ43+7+$B$18,1,0))</f>
        <v>0</v>
      </c>
      <c r="CA56" s="352" t="n">
        <f aca="false">IF(75&lt;5,0,IF(MAX(BV38:CA38)&gt;CA43+7+$B$18,1,0))</f>
        <v>0</v>
      </c>
      <c r="CB56" s="352" t="n">
        <f aca="false">IF(76&lt;5,0,IF(MAX(BW38:CB38)&gt;CB43+7+$B$18,1,0))</f>
        <v>0</v>
      </c>
      <c r="CC56" s="352" t="n">
        <f aca="false">IF(77&lt;5,0,IF(MAX(BX38:CC38)&gt;CC43+7+$B$18,1,0))</f>
        <v>0</v>
      </c>
      <c r="CD56" s="352" t="n">
        <f aca="false">IF(78&lt;5,0,IF(MAX(BY38:CD38)&gt;CD43+7+$B$18,1,0))</f>
        <v>0</v>
      </c>
      <c r="CE56" s="352" t="n">
        <f aca="false">IF(79&lt;5,0,IF(MAX(BZ38:CE38)&gt;CE43+7+$B$18,1,0))</f>
        <v>0</v>
      </c>
      <c r="CF56" s="352" t="n">
        <f aca="false">IF(80&lt;5,0,IF(MAX(CA38:CF38)&gt;CF43+7+$B$18,1,0))</f>
        <v>0</v>
      </c>
      <c r="CG56" s="352" t="n">
        <f aca="false">IF(81&lt;5,0,IF(MAX(CB38:CG38)&gt;CG43+7+$B$18,1,0))</f>
        <v>0</v>
      </c>
      <c r="CH56" s="352" t="n">
        <f aca="false">IF(82&lt;5,0,IF(MAX(CC38:CH38)&gt;CH43+7+$B$18,1,0))</f>
        <v>0</v>
      </c>
      <c r="CI56" s="352" t="n">
        <f aca="false">IF(83&lt;5,0,IF(MAX(CD38:CI38)&gt;CI43+7+$B$18,1,0))</f>
        <v>0</v>
      </c>
      <c r="CJ56" s="352" t="n">
        <f aca="false">IF(84&lt;5,0,IF(MAX(CE38:CJ38)&gt;CJ43+7+$B$18,1,0))</f>
        <v>0</v>
      </c>
      <c r="CK56" s="352" t="n">
        <f aca="false">IF(85&lt;5,0,IF(MAX(CF38:CK38)&gt;CK43+7+$B$18,1,0))</f>
        <v>0</v>
      </c>
      <c r="CL56" s="352" t="n">
        <f aca="false">IF(86&lt;5,0,IF(MAX(CG38:CL38)&gt;CL43+7+$B$18,1,0))</f>
        <v>0</v>
      </c>
      <c r="CM56" s="352" t="n">
        <f aca="false">IF(87&lt;5,0,IF(MAX(CH38:CM38)&gt;CM43+7+$B$18,1,0))</f>
        <v>0</v>
      </c>
      <c r="CN56" s="352" t="n">
        <f aca="false">IF(88&lt;5,0,IF(MAX(CI38:CN38)&gt;CN43+7+$B$18,1,0))</f>
        <v>0</v>
      </c>
      <c r="CO56" s="352" t="n">
        <f aca="false">IF(89&lt;5,0,IF(MAX(CJ38:CO38)&gt;CO43+7+$B$18,1,0))</f>
        <v>0</v>
      </c>
      <c r="CP56" s="352" t="n">
        <f aca="false">IF(90&lt;5,0,IF(MAX(CK38:CP38)&gt;CP43+7+$B$18,1,0))</f>
        <v>0</v>
      </c>
      <c r="CQ56" s="352" t="n">
        <f aca="false">IF(91&lt;5,0,IF(MAX(CL38:CQ38)&gt;CQ43+7+$B$18,1,0))</f>
        <v>0</v>
      </c>
      <c r="CR56" s="352" t="n">
        <f aca="false">IF(92&lt;5,0,IF(MAX(CM38:CR38)&gt;CR43+7+$B$18,1,0))</f>
        <v>0</v>
      </c>
      <c r="CS56" s="352" t="n">
        <f aca="false">IF(93&lt;5,0,IF(MAX(CN38:CS38)&gt;CS43+7+$B$18,1,0))</f>
        <v>0</v>
      </c>
      <c r="CT56" s="352" t="n">
        <f aca="false">IF(94&lt;5,0,IF(MAX(CO38:CT38)&gt;CT43+7+$B$18,1,0))</f>
        <v>0</v>
      </c>
      <c r="CU56" s="352" t="n">
        <f aca="false">IF(95&lt;5,0,IF(MAX(CP38:CU38)&gt;CU43+7+$B$18,1,0))</f>
        <v>0</v>
      </c>
      <c r="CV56" s="352" t="n">
        <f aca="false">IF(96&lt;5,0,IF(MAX(CQ38:CV38)&gt;CV43+7+$B$18,1,0))</f>
        <v>0</v>
      </c>
      <c r="CW56" s="352" t="n">
        <f aca="false">IF(97&lt;5,0,IF(MAX(CR38:CW38)&gt;CW43+7+$B$18,1,0))</f>
        <v>0</v>
      </c>
      <c r="CX56" s="352" t="n">
        <f aca="false">IF(98&lt;5,0,IF(MAX(CS38:CX38)&gt;CX43+7+$B$18,1,0))</f>
        <v>0</v>
      </c>
      <c r="CY56" s="352" t="n">
        <f aca="false">IF(99&lt;5,0,IF(MAX(CT38:CY38)&gt;CY43+7+$B$18,1,0))</f>
        <v>0</v>
      </c>
      <c r="CZ56" s="352" t="n">
        <f aca="false">IF(100&lt;5,0,IF(MAX(CU38:CZ38)&gt;CZ43+7+$B$18,1,0))</f>
        <v>0</v>
      </c>
      <c r="DA56" s="352" t="n">
        <f aca="false">IF(101&lt;5,0,IF(MAX(CV38:DA38)&gt;DA43+7+$B$18,1,0))</f>
        <v>0</v>
      </c>
      <c r="DB56" s="352" t="n">
        <f aca="false">IF(102&lt;5,0,IF(MAX(CW38:DB38)&gt;DB43+7+$B$18,1,0))</f>
        <v>0</v>
      </c>
      <c r="DC56" s="352" t="n">
        <f aca="false">IF(103&lt;5,0,IF(MAX(CX38:DC38)&gt;DC43+7+$B$18,1,0))</f>
        <v>0</v>
      </c>
      <c r="DD56" s="352" t="n">
        <f aca="false">IF(104&lt;5,0,IF(MAX(CY38:DD38)&gt;DD43+7+$B$18,1,0))</f>
        <v>0</v>
      </c>
      <c r="DE56" s="352" t="n">
        <f aca="false">IF(105&lt;5,0,IF(MAX(CZ38:DE38)&gt;DE43+7+$B$18,1,0))</f>
        <v>0</v>
      </c>
    </row>
    <row r="57" customFormat="false" ht="13.5" hidden="false" customHeight="true" outlineLevel="0" collapsed="false">
      <c r="A57" s="109" t="s">
        <v>1186</v>
      </c>
      <c r="B57" s="211" t="n">
        <f aca="false">$B$27</f>
        <v>125000</v>
      </c>
      <c r="E57" s="352" t="n">
        <f aca="false">IF(1&lt;5,0,IF(MAX(E38)&gt;E43+8+$B$18,1,0))</f>
        <v>0</v>
      </c>
      <c r="F57" s="352" t="n">
        <f aca="false">IF(2&lt;5,0,IF(MAX(E38:F38)&gt;F43+8+$B$18,1,0))</f>
        <v>0</v>
      </c>
      <c r="G57" s="352" t="n">
        <f aca="false">IF(3&lt;5,0,IF(MAX(E38:G38)&gt;G43+8+$B$18,1,0))</f>
        <v>0</v>
      </c>
      <c r="H57" s="352" t="n">
        <f aca="false">IF(4&lt;5,0,IF(MAX(E38:H38)&gt;H43+8+$B$18,1,0))</f>
        <v>0</v>
      </c>
      <c r="I57" s="352" t="n">
        <f aca="false">IF(5&lt;5,0,IF(MAX(E38:I38)&gt;I43+8+$B$18,1,0))</f>
        <v>0</v>
      </c>
      <c r="J57" s="352" t="n">
        <f aca="false">IF(6&lt;5,0,IF(MAX(E38:J38)&gt;J43+8+$B$18,1,0))</f>
        <v>0</v>
      </c>
      <c r="K57" s="352" t="n">
        <f aca="false">IF(7&lt;5,0,IF(MAX(F38:K38)&gt;K43+8+$B$18,1,0))</f>
        <v>0</v>
      </c>
      <c r="L57" s="352" t="n">
        <f aca="false">IF(8&lt;5,0,IF(MAX(G38:L38)&gt;L43+8+$B$18,1,0))</f>
        <v>0</v>
      </c>
      <c r="M57" s="352" t="n">
        <f aca="false">IF(9&lt;5,0,IF(MAX(H38:M38)&gt;M43+8+$B$18,1,0))</f>
        <v>0</v>
      </c>
      <c r="N57" s="352" t="n">
        <f aca="false">IF(10&lt;5,0,IF(MAX(I38:N38)&gt;N43+8+$B$18,1,0))</f>
        <v>0</v>
      </c>
      <c r="O57" s="352" t="n">
        <f aca="false">IF(11&lt;5,0,IF(MAX(J38:O38)&gt;O43+8+$B$18,1,0))</f>
        <v>0</v>
      </c>
      <c r="P57" s="352" t="n">
        <f aca="false">IF(12&lt;5,0,IF(MAX(K38:P38)&gt;P43+8+$B$18,1,0))</f>
        <v>0</v>
      </c>
      <c r="Q57" s="352" t="n">
        <f aca="false">IF(13&lt;5,0,IF(MAX(L38:Q38)&gt;Q43+8+$B$18,1,0))</f>
        <v>0</v>
      </c>
      <c r="R57" s="352" t="n">
        <f aca="false">IF(14&lt;5,0,IF(MAX(M38:R38)&gt;R43+8+$B$18,1,0))</f>
        <v>0</v>
      </c>
      <c r="S57" s="352" t="n">
        <f aca="false">IF(15&lt;5,0,IF(MAX(N38:S38)&gt;S43+8+$B$18,1,0))</f>
        <v>0</v>
      </c>
      <c r="T57" s="352" t="n">
        <f aca="false">IF(16&lt;5,0,IF(MAX(O38:T38)&gt;T43+8+$B$18,1,0))</f>
        <v>0</v>
      </c>
      <c r="U57" s="352" t="n">
        <f aca="false">IF(17&lt;5,0,IF(MAX(P38:U38)&gt;U43+8+$B$18,1,0))</f>
        <v>0</v>
      </c>
      <c r="V57" s="352" t="n">
        <f aca="false">IF(18&lt;5,0,IF(MAX(Q38:V38)&gt;V43+8+$B$18,1,0))</f>
        <v>0</v>
      </c>
      <c r="W57" s="352" t="n">
        <f aca="false">IF(19&lt;5,0,IF(MAX(R38:W38)&gt;W43+8+$B$18,1,0))</f>
        <v>0</v>
      </c>
      <c r="X57" s="352" t="n">
        <f aca="false">IF(20&lt;5,0,IF(MAX(S38:X38)&gt;X43+8+$B$18,1,0))</f>
        <v>0</v>
      </c>
      <c r="Y57" s="352" t="n">
        <f aca="false">IF(21&lt;5,0,IF(MAX(T38:Y38)&gt;Y43+8+$B$18,1,0))</f>
        <v>0</v>
      </c>
      <c r="Z57" s="352" t="n">
        <f aca="false">IF(22&lt;5,0,IF(MAX(U38:Z38)&gt;Z43+8+$B$18,1,0))</f>
        <v>0</v>
      </c>
      <c r="AA57" s="352" t="n">
        <f aca="false">IF(23&lt;5,0,IF(MAX(V38:AA38)&gt;AA43+8+$B$18,1,0))</f>
        <v>0</v>
      </c>
      <c r="AB57" s="352" t="n">
        <f aca="false">IF(24&lt;5,0,IF(MAX(W38:AB38)&gt;AB43+8+$B$18,1,0))</f>
        <v>0</v>
      </c>
      <c r="AC57" s="352" t="n">
        <f aca="false">IF(25&lt;5,0,IF(MAX(X38:AC38)&gt;AC43+8+$B$18,1,0))</f>
        <v>0</v>
      </c>
      <c r="AD57" s="352" t="n">
        <f aca="false">IF(26&lt;5,0,IF(MAX(Y38:AD38)&gt;AD43+8+$B$18,1,0))</f>
        <v>0</v>
      </c>
      <c r="AE57" s="352" t="n">
        <f aca="false">IF(27&lt;5,0,IF(MAX(Z38:AE38)&gt;AE43+8+$B$18,1,0))</f>
        <v>0</v>
      </c>
      <c r="AF57" s="352" t="n">
        <f aca="false">IF(28&lt;5,0,IF(MAX(AA38:AF38)&gt;AF43+8+$B$18,1,0))</f>
        <v>0</v>
      </c>
      <c r="AG57" s="352" t="n">
        <f aca="false">IF(29&lt;5,0,IF(MAX(AB38:AG38)&gt;AG43+8+$B$18,1,0))</f>
        <v>0</v>
      </c>
      <c r="AH57" s="352" t="n">
        <f aca="false">IF(30&lt;5,0,IF(MAX(AC38:AH38)&gt;AH43+8+$B$18,1,0))</f>
        <v>0</v>
      </c>
      <c r="AI57" s="352" t="n">
        <f aca="false">IF(31&lt;5,0,IF(MAX(AD38:AI38)&gt;AI43+8+$B$18,1,0))</f>
        <v>0</v>
      </c>
      <c r="AJ57" s="352" t="n">
        <f aca="false">IF(32&lt;5,0,IF(MAX(AE38:AJ38)&gt;AJ43+8+$B$18,1,0))</f>
        <v>0</v>
      </c>
      <c r="AK57" s="352" t="n">
        <f aca="false">IF(33&lt;5,0,IF(MAX(AF38:AK38)&gt;AK43+8+$B$18,1,0))</f>
        <v>0</v>
      </c>
      <c r="AL57" s="352" t="n">
        <f aca="false">IF(34&lt;5,0,IF(MAX(AG38:AL38)&gt;AL43+8+$B$18,1,0))</f>
        <v>0</v>
      </c>
      <c r="AM57" s="352" t="n">
        <f aca="false">IF(35&lt;5,0,IF(MAX(AH38:AM38)&gt;AM43+8+$B$18,1,0))</f>
        <v>0</v>
      </c>
      <c r="AN57" s="352" t="n">
        <f aca="false">IF(36&lt;5,0,IF(MAX(AI38:AN38)&gt;AN43+8+$B$18,1,0))</f>
        <v>0</v>
      </c>
      <c r="AO57" s="352" t="n">
        <f aca="false">IF(37&lt;5,0,IF(MAX(AJ38:AO38)&gt;AO43+8+$B$18,1,0))</f>
        <v>0</v>
      </c>
      <c r="AP57" s="352" t="n">
        <f aca="false">IF(38&lt;5,0,IF(MAX(AK38:AP38)&gt;AP43+8+$B$18,1,0))</f>
        <v>0</v>
      </c>
      <c r="AQ57" s="352" t="n">
        <f aca="false">IF(39&lt;5,0,IF(MAX(AL38:AQ38)&gt;AQ43+8+$B$18,1,0))</f>
        <v>0</v>
      </c>
      <c r="AR57" s="352" t="n">
        <f aca="false">IF(40&lt;5,0,IF(MAX(AM38:AR38)&gt;AR43+8+$B$18,1,0))</f>
        <v>0</v>
      </c>
      <c r="AS57" s="352" t="n">
        <f aca="false">IF(41&lt;5,0,IF(MAX(AN38:AS38)&gt;AS43+8+$B$18,1,0))</f>
        <v>0</v>
      </c>
      <c r="AT57" s="352" t="n">
        <f aca="false">IF(42&lt;5,0,IF(MAX(AO38:AT38)&gt;AT43+8+$B$18,1,0))</f>
        <v>0</v>
      </c>
      <c r="AU57" s="352" t="n">
        <f aca="false">IF(43&lt;5,0,IF(MAX(AP38:AU38)&gt;AU43+8+$B$18,1,0))</f>
        <v>0</v>
      </c>
      <c r="AV57" s="352" t="n">
        <f aca="false">IF(44&lt;5,0,IF(MAX(AQ38:AV38)&gt;AV43+8+$B$18,1,0))</f>
        <v>0</v>
      </c>
      <c r="AW57" s="352" t="n">
        <f aca="false">IF(45&lt;5,0,IF(MAX(AR38:AW38)&gt;AW43+8+$B$18,1,0))</f>
        <v>0</v>
      </c>
      <c r="AX57" s="352" t="n">
        <f aca="false">IF(46&lt;5,0,IF(MAX(AS38:AX38)&gt;AX43+8+$B$18,1,0))</f>
        <v>0</v>
      </c>
      <c r="AY57" s="352" t="n">
        <f aca="false">IF(47&lt;5,0,IF(MAX(AT38:AY38)&gt;AY43+8+$B$18,1,0))</f>
        <v>0</v>
      </c>
      <c r="AZ57" s="352" t="n">
        <f aca="false">IF(48&lt;5,0,IF(MAX(AU38:AZ38)&gt;AZ43+8+$B$18,1,0))</f>
        <v>0</v>
      </c>
      <c r="BA57" s="352" t="n">
        <f aca="false">IF(49&lt;5,0,IF(MAX(AV38:BA38)&gt;BA43+8+$B$18,1,0))</f>
        <v>0</v>
      </c>
      <c r="BB57" s="352" t="n">
        <f aca="false">IF(50&lt;5,0,IF(MAX(AW38:BB38)&gt;BB43+8+$B$18,1,0))</f>
        <v>0</v>
      </c>
      <c r="BC57" s="352" t="n">
        <f aca="false">IF(51&lt;5,0,IF(MAX(AX38:BC38)&gt;BC43+8+$B$18,1,0))</f>
        <v>0</v>
      </c>
      <c r="BD57" s="352" t="n">
        <f aca="false">IF(52&lt;5,0,IF(MAX(AY38:BD38)&gt;BD43+8+$B$18,1,0))</f>
        <v>0</v>
      </c>
      <c r="BE57" s="352" t="n">
        <f aca="false">IF(53&lt;5,0,IF(MAX(AZ38:BE38)&gt;BE43+8+$B$18,1,0))</f>
        <v>0</v>
      </c>
      <c r="BF57" s="352" t="n">
        <f aca="false">IF(54&lt;5,0,IF(MAX(BA38:BF38)&gt;BF43+8+$B$18,1,0))</f>
        <v>0</v>
      </c>
      <c r="BG57" s="352" t="n">
        <f aca="false">IF(55&lt;5,0,IF(MAX(BB38:BG38)&gt;BG43+8+$B$18,1,0))</f>
        <v>0</v>
      </c>
      <c r="BH57" s="352" t="n">
        <f aca="false">IF(56&lt;5,0,IF(MAX(BC38:BH38)&gt;BH43+8+$B$18,1,0))</f>
        <v>0</v>
      </c>
      <c r="BI57" s="352" t="n">
        <f aca="false">IF(57&lt;5,0,IF(MAX(BD38:BI38)&gt;BI43+8+$B$18,1,0))</f>
        <v>0</v>
      </c>
      <c r="BJ57" s="352" t="n">
        <f aca="false">IF(58&lt;5,0,IF(MAX(BE38:BJ38)&gt;BJ43+8+$B$18,1,0))</f>
        <v>0</v>
      </c>
      <c r="BK57" s="352" t="n">
        <f aca="false">IF(59&lt;5,0,IF(MAX(BF38:BK38)&gt;BK43+8+$B$18,1,0))</f>
        <v>0</v>
      </c>
      <c r="BL57" s="352" t="n">
        <f aca="false">IF(60&lt;5,0,IF(MAX(BG38:BL38)&gt;BL43+8+$B$18,1,0))</f>
        <v>0</v>
      </c>
      <c r="BM57" s="352" t="n">
        <f aca="false">IF(61&lt;5,0,IF(MAX(BH38:BM38)&gt;BM43+8+$B$18,1,0))</f>
        <v>0</v>
      </c>
      <c r="BN57" s="352" t="n">
        <f aca="false">IF(62&lt;5,0,IF(MAX(BI38:BN38)&gt;BN43+8+$B$18,1,0))</f>
        <v>0</v>
      </c>
      <c r="BO57" s="352" t="n">
        <f aca="false">IF(63&lt;5,0,IF(MAX(BJ38:BO38)&gt;BO43+8+$B$18,1,0))</f>
        <v>0</v>
      </c>
      <c r="BP57" s="352" t="n">
        <f aca="false">IF(64&lt;5,0,IF(MAX(BK38:BP38)&gt;BP43+8+$B$18,1,0))</f>
        <v>0</v>
      </c>
      <c r="BQ57" s="352" t="n">
        <f aca="false">IF(65&lt;5,0,IF(MAX(BL38:BQ38)&gt;BQ43+8+$B$18,1,0))</f>
        <v>0</v>
      </c>
      <c r="BR57" s="352" t="n">
        <f aca="false">IF(66&lt;5,0,IF(MAX(BM38:BR38)&gt;BR43+8+$B$18,1,0))</f>
        <v>0</v>
      </c>
      <c r="BS57" s="352" t="n">
        <f aca="false">IF(67&lt;5,0,IF(MAX(BN38:BS38)&gt;BS43+8+$B$18,1,0))</f>
        <v>0</v>
      </c>
      <c r="BT57" s="352" t="n">
        <f aca="false">IF(68&lt;5,0,IF(MAX(BO38:BT38)&gt;BT43+8+$B$18,1,0))</f>
        <v>0</v>
      </c>
      <c r="BU57" s="352" t="n">
        <f aca="false">IF(69&lt;5,0,IF(MAX(BP38:BU38)&gt;BU43+8+$B$18,1,0))</f>
        <v>0</v>
      </c>
      <c r="BV57" s="352" t="n">
        <f aca="false">IF(70&lt;5,0,IF(MAX(BQ38:BV38)&gt;BV43+8+$B$18,1,0))</f>
        <v>0</v>
      </c>
      <c r="BW57" s="352" t="n">
        <f aca="false">IF(71&lt;5,0,IF(MAX(BR38:BW38)&gt;BW43+8+$B$18,1,0))</f>
        <v>0</v>
      </c>
      <c r="BX57" s="352" t="n">
        <f aca="false">IF(72&lt;5,0,IF(MAX(BS38:BX38)&gt;BX43+8+$B$18,1,0))</f>
        <v>0</v>
      </c>
      <c r="BY57" s="352" t="n">
        <f aca="false">IF(73&lt;5,0,IF(MAX(BT38:BY38)&gt;BY43+8+$B$18,1,0))</f>
        <v>0</v>
      </c>
      <c r="BZ57" s="352" t="n">
        <f aca="false">IF(74&lt;5,0,IF(MAX(BU38:BZ38)&gt;BZ43+8+$B$18,1,0))</f>
        <v>0</v>
      </c>
      <c r="CA57" s="352" t="n">
        <f aca="false">IF(75&lt;5,0,IF(MAX(BV38:CA38)&gt;CA43+8+$B$18,1,0))</f>
        <v>0</v>
      </c>
      <c r="CB57" s="352" t="n">
        <f aca="false">IF(76&lt;5,0,IF(MAX(BW38:CB38)&gt;CB43+8+$B$18,1,0))</f>
        <v>0</v>
      </c>
      <c r="CC57" s="352" t="n">
        <f aca="false">IF(77&lt;5,0,IF(MAX(BX38:CC38)&gt;CC43+8+$B$18,1,0))</f>
        <v>0</v>
      </c>
      <c r="CD57" s="352" t="n">
        <f aca="false">IF(78&lt;5,0,IF(MAX(BY38:CD38)&gt;CD43+8+$B$18,1,0))</f>
        <v>0</v>
      </c>
      <c r="CE57" s="352" t="n">
        <f aca="false">IF(79&lt;5,0,IF(MAX(BZ38:CE38)&gt;CE43+8+$B$18,1,0))</f>
        <v>0</v>
      </c>
      <c r="CF57" s="352" t="n">
        <f aca="false">IF(80&lt;5,0,IF(MAX(CA38:CF38)&gt;CF43+8+$B$18,1,0))</f>
        <v>0</v>
      </c>
      <c r="CG57" s="352" t="n">
        <f aca="false">IF(81&lt;5,0,IF(MAX(CB38:CG38)&gt;CG43+8+$B$18,1,0))</f>
        <v>0</v>
      </c>
      <c r="CH57" s="352" t="n">
        <f aca="false">IF(82&lt;5,0,IF(MAX(CC38:CH38)&gt;CH43+8+$B$18,1,0))</f>
        <v>0</v>
      </c>
      <c r="CI57" s="352" t="n">
        <f aca="false">IF(83&lt;5,0,IF(MAX(CD38:CI38)&gt;CI43+8+$B$18,1,0))</f>
        <v>0</v>
      </c>
      <c r="CJ57" s="352" t="n">
        <f aca="false">IF(84&lt;5,0,IF(MAX(CE38:CJ38)&gt;CJ43+8+$B$18,1,0))</f>
        <v>0</v>
      </c>
      <c r="CK57" s="352" t="n">
        <f aca="false">IF(85&lt;5,0,IF(MAX(CF38:CK38)&gt;CK43+8+$B$18,1,0))</f>
        <v>0</v>
      </c>
      <c r="CL57" s="352" t="n">
        <f aca="false">IF(86&lt;5,0,IF(MAX(CG38:CL38)&gt;CL43+8+$B$18,1,0))</f>
        <v>0</v>
      </c>
      <c r="CM57" s="352" t="n">
        <f aca="false">IF(87&lt;5,0,IF(MAX(CH38:CM38)&gt;CM43+8+$B$18,1,0))</f>
        <v>0</v>
      </c>
      <c r="CN57" s="352" t="n">
        <f aca="false">IF(88&lt;5,0,IF(MAX(CI38:CN38)&gt;CN43+8+$B$18,1,0))</f>
        <v>0</v>
      </c>
      <c r="CO57" s="352" t="n">
        <f aca="false">IF(89&lt;5,0,IF(MAX(CJ38:CO38)&gt;CO43+8+$B$18,1,0))</f>
        <v>0</v>
      </c>
      <c r="CP57" s="352" t="n">
        <f aca="false">IF(90&lt;5,0,IF(MAX(CK38:CP38)&gt;CP43+8+$B$18,1,0))</f>
        <v>0</v>
      </c>
      <c r="CQ57" s="352" t="n">
        <f aca="false">IF(91&lt;5,0,IF(MAX(CL38:CQ38)&gt;CQ43+8+$B$18,1,0))</f>
        <v>0</v>
      </c>
      <c r="CR57" s="352" t="n">
        <f aca="false">IF(92&lt;5,0,IF(MAX(CM38:CR38)&gt;CR43+8+$B$18,1,0))</f>
        <v>0</v>
      </c>
      <c r="CS57" s="352" t="n">
        <f aca="false">IF(93&lt;5,0,IF(MAX(CN38:CS38)&gt;CS43+8+$B$18,1,0))</f>
        <v>0</v>
      </c>
      <c r="CT57" s="352" t="n">
        <f aca="false">IF(94&lt;5,0,IF(MAX(CO38:CT38)&gt;CT43+8+$B$18,1,0))</f>
        <v>0</v>
      </c>
      <c r="CU57" s="352" t="n">
        <f aca="false">IF(95&lt;5,0,IF(MAX(CP38:CU38)&gt;CU43+8+$B$18,1,0))</f>
        <v>0</v>
      </c>
      <c r="CV57" s="352" t="n">
        <f aca="false">IF(96&lt;5,0,IF(MAX(CQ38:CV38)&gt;CV43+8+$B$18,1,0))</f>
        <v>0</v>
      </c>
      <c r="CW57" s="352" t="n">
        <f aca="false">IF(97&lt;5,0,IF(MAX(CR38:CW38)&gt;CW43+8+$B$18,1,0))</f>
        <v>0</v>
      </c>
      <c r="CX57" s="352" t="n">
        <f aca="false">IF(98&lt;5,0,IF(MAX(CS38:CX38)&gt;CX43+8+$B$18,1,0))</f>
        <v>0</v>
      </c>
      <c r="CY57" s="352" t="n">
        <f aca="false">IF(99&lt;5,0,IF(MAX(CT38:CY38)&gt;CY43+8+$B$18,1,0))</f>
        <v>0</v>
      </c>
      <c r="CZ57" s="352" t="n">
        <f aca="false">IF(100&lt;5,0,IF(MAX(CU38:CZ38)&gt;CZ43+8+$B$18,1,0))</f>
        <v>0</v>
      </c>
      <c r="DA57" s="352" t="n">
        <f aca="false">IF(101&lt;5,0,IF(MAX(CV38:DA38)&gt;DA43+8+$B$18,1,0))</f>
        <v>0</v>
      </c>
      <c r="DB57" s="352" t="n">
        <f aca="false">IF(102&lt;5,0,IF(MAX(CW38:DB38)&gt;DB43+8+$B$18,1,0))</f>
        <v>0</v>
      </c>
      <c r="DC57" s="352" t="n">
        <f aca="false">IF(103&lt;5,0,IF(MAX(CX38:DC38)&gt;DC43+8+$B$18,1,0))</f>
        <v>0</v>
      </c>
      <c r="DD57" s="352" t="n">
        <f aca="false">IF(104&lt;5,0,IF(MAX(CY38:DD38)&gt;DD43+8+$B$18,1,0))</f>
        <v>0</v>
      </c>
      <c r="DE57" s="352" t="n">
        <f aca="false">IF(105&lt;5,0,IF(MAX(CZ38:DE38)&gt;DE43+8+$B$18,1,0))</f>
        <v>0</v>
      </c>
    </row>
    <row r="58" customFormat="false" ht="13.5" hidden="false" customHeight="true" outlineLevel="0" collapsed="false">
      <c r="A58" s="109" t="s">
        <v>1187</v>
      </c>
      <c r="B58" s="211" t="n">
        <f aca="false">$B$27</f>
        <v>125000</v>
      </c>
      <c r="E58" s="352" t="n">
        <f aca="false">IF(1&lt;5,0,IF(MAX(E38)&gt;E43+9+$B$18,1,0))</f>
        <v>0</v>
      </c>
      <c r="F58" s="352" t="n">
        <f aca="false">IF(2&lt;5,0,IF(MAX(E38:F38)&gt;F43+9+$B$18,1,0))</f>
        <v>0</v>
      </c>
      <c r="G58" s="352" t="n">
        <f aca="false">IF(3&lt;5,0,IF(MAX(E38:G38)&gt;G43+9+$B$18,1,0))</f>
        <v>0</v>
      </c>
      <c r="H58" s="352" t="n">
        <f aca="false">IF(4&lt;5,0,IF(MAX(E38:H38)&gt;H43+9+$B$18,1,0))</f>
        <v>0</v>
      </c>
      <c r="I58" s="352" t="n">
        <f aca="false">IF(5&lt;5,0,IF(MAX(E38:I38)&gt;I43+9+$B$18,1,0))</f>
        <v>0</v>
      </c>
      <c r="J58" s="352" t="n">
        <f aca="false">IF(6&lt;5,0,IF(MAX(E38:J38)&gt;J43+9+$B$18,1,0))</f>
        <v>0</v>
      </c>
      <c r="K58" s="352" t="n">
        <f aca="false">IF(7&lt;5,0,IF(MAX(F38:K38)&gt;K43+9+$B$18,1,0))</f>
        <v>0</v>
      </c>
      <c r="L58" s="352" t="n">
        <f aca="false">IF(8&lt;5,0,IF(MAX(G38:L38)&gt;L43+9+$B$18,1,0))</f>
        <v>0</v>
      </c>
      <c r="M58" s="352" t="n">
        <f aca="false">IF(9&lt;5,0,IF(MAX(H38:M38)&gt;M43+9+$B$18,1,0))</f>
        <v>0</v>
      </c>
      <c r="N58" s="352" t="n">
        <f aca="false">IF(10&lt;5,0,IF(MAX(I38:N38)&gt;N43+9+$B$18,1,0))</f>
        <v>0</v>
      </c>
      <c r="O58" s="352" t="n">
        <f aca="false">IF(11&lt;5,0,IF(MAX(J38:O38)&gt;O43+9+$B$18,1,0))</f>
        <v>0</v>
      </c>
      <c r="P58" s="352" t="n">
        <f aca="false">IF(12&lt;5,0,IF(MAX(K38:P38)&gt;P43+9+$B$18,1,0))</f>
        <v>0</v>
      </c>
      <c r="Q58" s="352" t="n">
        <f aca="false">IF(13&lt;5,0,IF(MAX(L38:Q38)&gt;Q43+9+$B$18,1,0))</f>
        <v>0</v>
      </c>
      <c r="R58" s="352" t="n">
        <f aca="false">IF(14&lt;5,0,IF(MAX(M38:R38)&gt;R43+9+$B$18,1,0))</f>
        <v>0</v>
      </c>
      <c r="S58" s="352" t="n">
        <f aca="false">IF(15&lt;5,0,IF(MAX(N38:S38)&gt;S43+9+$B$18,1,0))</f>
        <v>0</v>
      </c>
      <c r="T58" s="352" t="n">
        <f aca="false">IF(16&lt;5,0,IF(MAX(O38:T38)&gt;T43+9+$B$18,1,0))</f>
        <v>0</v>
      </c>
      <c r="U58" s="352" t="n">
        <f aca="false">IF(17&lt;5,0,IF(MAX(P38:U38)&gt;U43+9+$B$18,1,0))</f>
        <v>0</v>
      </c>
      <c r="V58" s="352" t="n">
        <f aca="false">IF(18&lt;5,0,IF(MAX(Q38:V38)&gt;V43+9+$B$18,1,0))</f>
        <v>0</v>
      </c>
      <c r="W58" s="352" t="n">
        <f aca="false">IF(19&lt;5,0,IF(MAX(R38:W38)&gt;W43+9+$B$18,1,0))</f>
        <v>0</v>
      </c>
      <c r="X58" s="352" t="n">
        <f aca="false">IF(20&lt;5,0,IF(MAX(S38:X38)&gt;X43+9+$B$18,1,0))</f>
        <v>0</v>
      </c>
      <c r="Y58" s="352" t="n">
        <f aca="false">IF(21&lt;5,0,IF(MAX(T38:Y38)&gt;Y43+9+$B$18,1,0))</f>
        <v>0</v>
      </c>
      <c r="Z58" s="352" t="n">
        <f aca="false">IF(22&lt;5,0,IF(MAX(U38:Z38)&gt;Z43+9+$B$18,1,0))</f>
        <v>0</v>
      </c>
      <c r="AA58" s="352" t="n">
        <f aca="false">IF(23&lt;5,0,IF(MAX(V38:AA38)&gt;AA43+9+$B$18,1,0))</f>
        <v>0</v>
      </c>
      <c r="AB58" s="352" t="n">
        <f aca="false">IF(24&lt;5,0,IF(MAX(W38:AB38)&gt;AB43+9+$B$18,1,0))</f>
        <v>0</v>
      </c>
      <c r="AC58" s="352" t="n">
        <f aca="false">IF(25&lt;5,0,IF(MAX(X38:AC38)&gt;AC43+9+$B$18,1,0))</f>
        <v>0</v>
      </c>
      <c r="AD58" s="352" t="n">
        <f aca="false">IF(26&lt;5,0,IF(MAX(Y38:AD38)&gt;AD43+9+$B$18,1,0))</f>
        <v>0</v>
      </c>
      <c r="AE58" s="352" t="n">
        <f aca="false">IF(27&lt;5,0,IF(MAX(Z38:AE38)&gt;AE43+9+$B$18,1,0))</f>
        <v>0</v>
      </c>
      <c r="AF58" s="352" t="n">
        <f aca="false">IF(28&lt;5,0,IF(MAX(AA38:AF38)&gt;AF43+9+$B$18,1,0))</f>
        <v>0</v>
      </c>
      <c r="AG58" s="352" t="n">
        <f aca="false">IF(29&lt;5,0,IF(MAX(AB38:AG38)&gt;AG43+9+$B$18,1,0))</f>
        <v>0</v>
      </c>
      <c r="AH58" s="352" t="n">
        <f aca="false">IF(30&lt;5,0,IF(MAX(AC38:AH38)&gt;AH43+9+$B$18,1,0))</f>
        <v>0</v>
      </c>
      <c r="AI58" s="352" t="n">
        <f aca="false">IF(31&lt;5,0,IF(MAX(AD38:AI38)&gt;AI43+9+$B$18,1,0))</f>
        <v>0</v>
      </c>
      <c r="AJ58" s="352" t="n">
        <f aca="false">IF(32&lt;5,0,IF(MAX(AE38:AJ38)&gt;AJ43+9+$B$18,1,0))</f>
        <v>0</v>
      </c>
      <c r="AK58" s="352" t="n">
        <f aca="false">IF(33&lt;5,0,IF(MAX(AF38:AK38)&gt;AK43+9+$B$18,1,0))</f>
        <v>0</v>
      </c>
      <c r="AL58" s="352" t="n">
        <f aca="false">IF(34&lt;5,0,IF(MAX(AG38:AL38)&gt;AL43+9+$B$18,1,0))</f>
        <v>0</v>
      </c>
      <c r="AM58" s="352" t="n">
        <f aca="false">IF(35&lt;5,0,IF(MAX(AH38:AM38)&gt;AM43+9+$B$18,1,0))</f>
        <v>0</v>
      </c>
      <c r="AN58" s="352" t="n">
        <f aca="false">IF(36&lt;5,0,IF(MAX(AI38:AN38)&gt;AN43+9+$B$18,1,0))</f>
        <v>0</v>
      </c>
      <c r="AO58" s="352" t="n">
        <f aca="false">IF(37&lt;5,0,IF(MAX(AJ38:AO38)&gt;AO43+9+$B$18,1,0))</f>
        <v>0</v>
      </c>
      <c r="AP58" s="352" t="n">
        <f aca="false">IF(38&lt;5,0,IF(MAX(AK38:AP38)&gt;AP43+9+$B$18,1,0))</f>
        <v>0</v>
      </c>
      <c r="AQ58" s="352" t="n">
        <f aca="false">IF(39&lt;5,0,IF(MAX(AL38:AQ38)&gt;AQ43+9+$B$18,1,0))</f>
        <v>0</v>
      </c>
      <c r="AR58" s="352" t="n">
        <f aca="false">IF(40&lt;5,0,IF(MAX(AM38:AR38)&gt;AR43+9+$B$18,1,0))</f>
        <v>0</v>
      </c>
      <c r="AS58" s="352" t="n">
        <f aca="false">IF(41&lt;5,0,IF(MAX(AN38:AS38)&gt;AS43+9+$B$18,1,0))</f>
        <v>0</v>
      </c>
      <c r="AT58" s="352" t="n">
        <f aca="false">IF(42&lt;5,0,IF(MAX(AO38:AT38)&gt;AT43+9+$B$18,1,0))</f>
        <v>0</v>
      </c>
      <c r="AU58" s="352" t="n">
        <f aca="false">IF(43&lt;5,0,IF(MAX(AP38:AU38)&gt;AU43+9+$B$18,1,0))</f>
        <v>0</v>
      </c>
      <c r="AV58" s="352" t="n">
        <f aca="false">IF(44&lt;5,0,IF(MAX(AQ38:AV38)&gt;AV43+9+$B$18,1,0))</f>
        <v>0</v>
      </c>
      <c r="AW58" s="352" t="n">
        <f aca="false">IF(45&lt;5,0,IF(MAX(AR38:AW38)&gt;AW43+9+$B$18,1,0))</f>
        <v>0</v>
      </c>
      <c r="AX58" s="352" t="n">
        <f aca="false">IF(46&lt;5,0,IF(MAX(AS38:AX38)&gt;AX43+9+$B$18,1,0))</f>
        <v>0</v>
      </c>
      <c r="AY58" s="352" t="n">
        <f aca="false">IF(47&lt;5,0,IF(MAX(AT38:AY38)&gt;AY43+9+$B$18,1,0))</f>
        <v>0</v>
      </c>
      <c r="AZ58" s="352" t="n">
        <f aca="false">IF(48&lt;5,0,IF(MAX(AU38:AZ38)&gt;AZ43+9+$B$18,1,0))</f>
        <v>0</v>
      </c>
      <c r="BA58" s="352" t="n">
        <f aca="false">IF(49&lt;5,0,IF(MAX(AV38:BA38)&gt;BA43+9+$B$18,1,0))</f>
        <v>0</v>
      </c>
      <c r="BB58" s="352" t="n">
        <f aca="false">IF(50&lt;5,0,IF(MAX(AW38:BB38)&gt;BB43+9+$B$18,1,0))</f>
        <v>0</v>
      </c>
      <c r="BC58" s="352" t="n">
        <f aca="false">IF(51&lt;5,0,IF(MAX(AX38:BC38)&gt;BC43+9+$B$18,1,0))</f>
        <v>0</v>
      </c>
      <c r="BD58" s="352" t="n">
        <f aca="false">IF(52&lt;5,0,IF(MAX(AY38:BD38)&gt;BD43+9+$B$18,1,0))</f>
        <v>0</v>
      </c>
      <c r="BE58" s="352" t="n">
        <f aca="false">IF(53&lt;5,0,IF(MAX(AZ38:BE38)&gt;BE43+9+$B$18,1,0))</f>
        <v>0</v>
      </c>
      <c r="BF58" s="352" t="n">
        <f aca="false">IF(54&lt;5,0,IF(MAX(BA38:BF38)&gt;BF43+9+$B$18,1,0))</f>
        <v>0</v>
      </c>
      <c r="BG58" s="352" t="n">
        <f aca="false">IF(55&lt;5,0,IF(MAX(BB38:BG38)&gt;BG43+9+$B$18,1,0))</f>
        <v>0</v>
      </c>
      <c r="BH58" s="352" t="n">
        <f aca="false">IF(56&lt;5,0,IF(MAX(BC38:BH38)&gt;BH43+9+$B$18,1,0))</f>
        <v>0</v>
      </c>
      <c r="BI58" s="352" t="n">
        <f aca="false">IF(57&lt;5,0,IF(MAX(BD38:BI38)&gt;BI43+9+$B$18,1,0))</f>
        <v>0</v>
      </c>
      <c r="BJ58" s="352" t="n">
        <f aca="false">IF(58&lt;5,0,IF(MAX(BE38:BJ38)&gt;BJ43+9+$B$18,1,0))</f>
        <v>0</v>
      </c>
      <c r="BK58" s="352" t="n">
        <f aca="false">IF(59&lt;5,0,IF(MAX(BF38:BK38)&gt;BK43+9+$B$18,1,0))</f>
        <v>0</v>
      </c>
      <c r="BL58" s="352" t="n">
        <f aca="false">IF(60&lt;5,0,IF(MAX(BG38:BL38)&gt;BL43+9+$B$18,1,0))</f>
        <v>0</v>
      </c>
      <c r="BM58" s="352" t="n">
        <f aca="false">IF(61&lt;5,0,IF(MAX(BH38:BM38)&gt;BM43+9+$B$18,1,0))</f>
        <v>0</v>
      </c>
      <c r="BN58" s="352" t="n">
        <f aca="false">IF(62&lt;5,0,IF(MAX(BI38:BN38)&gt;BN43+9+$B$18,1,0))</f>
        <v>0</v>
      </c>
      <c r="BO58" s="352" t="n">
        <f aca="false">IF(63&lt;5,0,IF(MAX(BJ38:BO38)&gt;BO43+9+$B$18,1,0))</f>
        <v>0</v>
      </c>
      <c r="BP58" s="352" t="n">
        <f aca="false">IF(64&lt;5,0,IF(MAX(BK38:BP38)&gt;BP43+9+$B$18,1,0))</f>
        <v>0</v>
      </c>
      <c r="BQ58" s="352" t="n">
        <f aca="false">IF(65&lt;5,0,IF(MAX(BL38:BQ38)&gt;BQ43+9+$B$18,1,0))</f>
        <v>0</v>
      </c>
      <c r="BR58" s="352" t="n">
        <f aca="false">IF(66&lt;5,0,IF(MAX(BM38:BR38)&gt;BR43+9+$B$18,1,0))</f>
        <v>0</v>
      </c>
      <c r="BS58" s="352" t="n">
        <f aca="false">IF(67&lt;5,0,IF(MAX(BN38:BS38)&gt;BS43+9+$B$18,1,0))</f>
        <v>0</v>
      </c>
      <c r="BT58" s="352" t="n">
        <f aca="false">IF(68&lt;5,0,IF(MAX(BO38:BT38)&gt;BT43+9+$B$18,1,0))</f>
        <v>0</v>
      </c>
      <c r="BU58" s="352" t="n">
        <f aca="false">IF(69&lt;5,0,IF(MAX(BP38:BU38)&gt;BU43+9+$B$18,1,0))</f>
        <v>0</v>
      </c>
      <c r="BV58" s="352" t="n">
        <f aca="false">IF(70&lt;5,0,IF(MAX(BQ38:BV38)&gt;BV43+9+$B$18,1,0))</f>
        <v>0</v>
      </c>
      <c r="BW58" s="352" t="n">
        <f aca="false">IF(71&lt;5,0,IF(MAX(BR38:BW38)&gt;BW43+9+$B$18,1,0))</f>
        <v>0</v>
      </c>
      <c r="BX58" s="352" t="n">
        <f aca="false">IF(72&lt;5,0,IF(MAX(BS38:BX38)&gt;BX43+9+$B$18,1,0))</f>
        <v>0</v>
      </c>
      <c r="BY58" s="352" t="n">
        <f aca="false">IF(73&lt;5,0,IF(MAX(BT38:BY38)&gt;BY43+9+$B$18,1,0))</f>
        <v>0</v>
      </c>
      <c r="BZ58" s="352" t="n">
        <f aca="false">IF(74&lt;5,0,IF(MAX(BU38:BZ38)&gt;BZ43+9+$B$18,1,0))</f>
        <v>0</v>
      </c>
      <c r="CA58" s="352" t="n">
        <f aca="false">IF(75&lt;5,0,IF(MAX(BV38:CA38)&gt;CA43+9+$B$18,1,0))</f>
        <v>0</v>
      </c>
      <c r="CB58" s="352" t="n">
        <f aca="false">IF(76&lt;5,0,IF(MAX(BW38:CB38)&gt;CB43+9+$B$18,1,0))</f>
        <v>0</v>
      </c>
      <c r="CC58" s="352" t="n">
        <f aca="false">IF(77&lt;5,0,IF(MAX(BX38:CC38)&gt;CC43+9+$B$18,1,0))</f>
        <v>0</v>
      </c>
      <c r="CD58" s="352" t="n">
        <f aca="false">IF(78&lt;5,0,IF(MAX(BY38:CD38)&gt;CD43+9+$B$18,1,0))</f>
        <v>0</v>
      </c>
      <c r="CE58" s="352" t="n">
        <f aca="false">IF(79&lt;5,0,IF(MAX(BZ38:CE38)&gt;CE43+9+$B$18,1,0))</f>
        <v>0</v>
      </c>
      <c r="CF58" s="352" t="n">
        <f aca="false">IF(80&lt;5,0,IF(MAX(CA38:CF38)&gt;CF43+9+$B$18,1,0))</f>
        <v>0</v>
      </c>
      <c r="CG58" s="352" t="n">
        <f aca="false">IF(81&lt;5,0,IF(MAX(CB38:CG38)&gt;CG43+9+$B$18,1,0))</f>
        <v>0</v>
      </c>
      <c r="CH58" s="352" t="n">
        <f aca="false">IF(82&lt;5,0,IF(MAX(CC38:CH38)&gt;CH43+9+$B$18,1,0))</f>
        <v>0</v>
      </c>
      <c r="CI58" s="352" t="n">
        <f aca="false">IF(83&lt;5,0,IF(MAX(CD38:CI38)&gt;CI43+9+$B$18,1,0))</f>
        <v>0</v>
      </c>
      <c r="CJ58" s="352" t="n">
        <f aca="false">IF(84&lt;5,0,IF(MAX(CE38:CJ38)&gt;CJ43+9+$B$18,1,0))</f>
        <v>0</v>
      </c>
      <c r="CK58" s="352" t="n">
        <f aca="false">IF(85&lt;5,0,IF(MAX(CF38:CK38)&gt;CK43+9+$B$18,1,0))</f>
        <v>0</v>
      </c>
      <c r="CL58" s="352" t="n">
        <f aca="false">IF(86&lt;5,0,IF(MAX(CG38:CL38)&gt;CL43+9+$B$18,1,0))</f>
        <v>0</v>
      </c>
      <c r="CM58" s="352" t="n">
        <f aca="false">IF(87&lt;5,0,IF(MAX(CH38:CM38)&gt;CM43+9+$B$18,1,0))</f>
        <v>0</v>
      </c>
      <c r="CN58" s="352" t="n">
        <f aca="false">IF(88&lt;5,0,IF(MAX(CI38:CN38)&gt;CN43+9+$B$18,1,0))</f>
        <v>0</v>
      </c>
      <c r="CO58" s="352" t="n">
        <f aca="false">IF(89&lt;5,0,IF(MAX(CJ38:CO38)&gt;CO43+9+$B$18,1,0))</f>
        <v>0</v>
      </c>
      <c r="CP58" s="352" t="n">
        <f aca="false">IF(90&lt;5,0,IF(MAX(CK38:CP38)&gt;CP43+9+$B$18,1,0))</f>
        <v>0</v>
      </c>
      <c r="CQ58" s="352" t="n">
        <f aca="false">IF(91&lt;5,0,IF(MAX(CL38:CQ38)&gt;CQ43+9+$B$18,1,0))</f>
        <v>0</v>
      </c>
      <c r="CR58" s="352" t="n">
        <f aca="false">IF(92&lt;5,0,IF(MAX(CM38:CR38)&gt;CR43+9+$B$18,1,0))</f>
        <v>0</v>
      </c>
      <c r="CS58" s="352" t="n">
        <f aca="false">IF(93&lt;5,0,IF(MAX(CN38:CS38)&gt;CS43+9+$B$18,1,0))</f>
        <v>0</v>
      </c>
      <c r="CT58" s="352" t="n">
        <f aca="false">IF(94&lt;5,0,IF(MAX(CO38:CT38)&gt;CT43+9+$B$18,1,0))</f>
        <v>0</v>
      </c>
      <c r="CU58" s="352" t="n">
        <f aca="false">IF(95&lt;5,0,IF(MAX(CP38:CU38)&gt;CU43+9+$B$18,1,0))</f>
        <v>0</v>
      </c>
      <c r="CV58" s="352" t="n">
        <f aca="false">IF(96&lt;5,0,IF(MAX(CQ38:CV38)&gt;CV43+9+$B$18,1,0))</f>
        <v>0</v>
      </c>
      <c r="CW58" s="352" t="n">
        <f aca="false">IF(97&lt;5,0,IF(MAX(CR38:CW38)&gt;CW43+9+$B$18,1,0))</f>
        <v>0</v>
      </c>
      <c r="CX58" s="352" t="n">
        <f aca="false">IF(98&lt;5,0,IF(MAX(CS38:CX38)&gt;CX43+9+$B$18,1,0))</f>
        <v>0</v>
      </c>
      <c r="CY58" s="352" t="n">
        <f aca="false">IF(99&lt;5,0,IF(MAX(CT38:CY38)&gt;CY43+9+$B$18,1,0))</f>
        <v>0</v>
      </c>
      <c r="CZ58" s="352" t="n">
        <f aca="false">IF(100&lt;5,0,IF(MAX(CU38:CZ38)&gt;CZ43+9+$B$18,1,0))</f>
        <v>0</v>
      </c>
      <c r="DA58" s="352" t="n">
        <f aca="false">IF(101&lt;5,0,IF(MAX(CV38:DA38)&gt;DA43+9+$B$18,1,0))</f>
        <v>0</v>
      </c>
      <c r="DB58" s="352" t="n">
        <f aca="false">IF(102&lt;5,0,IF(MAX(CW38:DB38)&gt;DB43+9+$B$18,1,0))</f>
        <v>0</v>
      </c>
      <c r="DC58" s="352" t="n">
        <f aca="false">IF(103&lt;5,0,IF(MAX(CX38:DC38)&gt;DC43+9+$B$18,1,0))</f>
        <v>0</v>
      </c>
      <c r="DD58" s="352" t="n">
        <f aca="false">IF(104&lt;5,0,IF(MAX(CY38:DD38)&gt;DD43+9+$B$18,1,0))</f>
        <v>0</v>
      </c>
      <c r="DE58" s="352"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1188</v>
      </c>
      <c r="B61" s="211" t="n">
        <f aca="false">$B$28</f>
        <v>130000</v>
      </c>
      <c r="E61" s="352" t="n">
        <f aca="false">IF(1&lt;5,0,IF(MAX(E39)&gt;E44+0+$B$18,1,0))</f>
        <v>0</v>
      </c>
      <c r="F61" s="352" t="n">
        <f aca="false">IF(2&lt;5,0,IF(MAX(E39:F39)&gt;F44+0+$B$18,1,0))</f>
        <v>0</v>
      </c>
      <c r="G61" s="352" t="n">
        <f aca="false">IF(3&lt;5,0,IF(MAX(E39:G39)&gt;G44+0+$B$18,1,0))</f>
        <v>0</v>
      </c>
      <c r="H61" s="352" t="n">
        <f aca="false">IF(4&lt;5,0,IF(MAX(E39:H39)&gt;H44+0+$B$18,1,0))</f>
        <v>0</v>
      </c>
      <c r="I61" s="352" t="n">
        <f aca="false">IF(5&lt;5,0,IF(MAX(E39:I39)&gt;I44+0+$B$18,1,0))</f>
        <v>1</v>
      </c>
      <c r="J61" s="352" t="n">
        <f aca="false">IF(6&lt;5,0,IF(MAX(E39:J39)&gt;J44+0+$B$18,1,0))</f>
        <v>0</v>
      </c>
      <c r="K61" s="352" t="n">
        <f aca="false">IF(7&lt;5,0,IF(MAX(F39:K39)&gt;K44+0+$B$18,1,0))</f>
        <v>0</v>
      </c>
      <c r="L61" s="352" t="n">
        <f aca="false">IF(8&lt;5,0,IF(MAX(G39:L39)&gt;L44+0+$B$18,1,0))</f>
        <v>0</v>
      </c>
      <c r="M61" s="352" t="n">
        <f aca="false">IF(9&lt;5,0,IF(MAX(H39:M39)&gt;M44+0+$B$18,1,0))</f>
        <v>1</v>
      </c>
      <c r="N61" s="352" t="n">
        <f aca="false">IF(10&lt;5,0,IF(MAX(I39:N39)&gt;N44+0+$B$18,1,0))</f>
        <v>1</v>
      </c>
      <c r="O61" s="352" t="n">
        <f aca="false">IF(11&lt;5,0,IF(MAX(J39:O39)&gt;O44+0+$B$18,1,0))</f>
        <v>1</v>
      </c>
      <c r="P61" s="352" t="n">
        <f aca="false">IF(12&lt;5,0,IF(MAX(K39:P39)&gt;P44+0+$B$18,1,0))</f>
        <v>1</v>
      </c>
      <c r="Q61" s="352" t="n">
        <f aca="false">IF(13&lt;5,0,IF(MAX(L39:Q39)&gt;Q44+0+$B$18,1,0))</f>
        <v>1</v>
      </c>
      <c r="R61" s="352" t="n">
        <f aca="false">IF(14&lt;5,0,IF(MAX(M39:R39)&gt;R44+0+$B$18,1,0))</f>
        <v>1</v>
      </c>
      <c r="S61" s="352" t="n">
        <f aca="false">IF(15&lt;5,0,IF(MAX(N39:S39)&gt;S44+0+$B$18,1,0))</f>
        <v>1</v>
      </c>
      <c r="T61" s="352" t="n">
        <f aca="false">IF(16&lt;5,0,IF(MAX(O39:T39)&gt;T44+0+$B$18,1,0))</f>
        <v>1</v>
      </c>
      <c r="U61" s="352" t="n">
        <f aca="false">IF(17&lt;5,0,IF(MAX(P39:U39)&gt;U44+0+$B$18,1,0))</f>
        <v>1</v>
      </c>
      <c r="V61" s="352" t="n">
        <f aca="false">IF(18&lt;5,0,IF(MAX(Q39:V39)&gt;V44+0+$B$18,1,0))</f>
        <v>1</v>
      </c>
      <c r="W61" s="352" t="n">
        <f aca="false">IF(19&lt;5,0,IF(MAX(R39:W39)&gt;W44+0+$B$18,1,0))</f>
        <v>1</v>
      </c>
      <c r="X61" s="352" t="n">
        <f aca="false">IF(20&lt;5,0,IF(MAX(S39:X39)&gt;X44+0+$B$18,1,0))</f>
        <v>1</v>
      </c>
      <c r="Y61" s="352" t="n">
        <f aca="false">IF(21&lt;5,0,IF(MAX(T39:Y39)&gt;Y44+0+$B$18,1,0))</f>
        <v>1</v>
      </c>
      <c r="Z61" s="352" t="n">
        <f aca="false">IF(22&lt;5,0,IF(MAX(U39:Z39)&gt;Z44+0+$B$18,1,0))</f>
        <v>1</v>
      </c>
      <c r="AA61" s="352" t="n">
        <f aca="false">IF(23&lt;5,0,IF(MAX(V39:AA39)&gt;AA44+0+$B$18,1,0))</f>
        <v>1</v>
      </c>
      <c r="AB61" s="352" t="n">
        <f aca="false">IF(24&lt;5,0,IF(MAX(W39:AB39)&gt;AB44+0+$B$18,1,0))</f>
        <v>1</v>
      </c>
      <c r="AC61" s="352" t="n">
        <f aca="false">IF(25&lt;5,0,IF(MAX(X39:AC39)&gt;AC44+0+$B$18,1,0))</f>
        <v>1</v>
      </c>
      <c r="AD61" s="352" t="n">
        <f aca="false">IF(26&lt;5,0,IF(MAX(Y39:AD39)&gt;AD44+0+$B$18,1,0))</f>
        <v>1</v>
      </c>
      <c r="AE61" s="352" t="n">
        <f aca="false">IF(27&lt;5,0,IF(MAX(Z39:AE39)&gt;AE44+0+$B$18,1,0))</f>
        <v>1</v>
      </c>
      <c r="AF61" s="352" t="n">
        <f aca="false">IF(28&lt;5,0,IF(MAX(AA39:AF39)&gt;AF44+0+$B$18,1,0))</f>
        <v>1</v>
      </c>
      <c r="AG61" s="352" t="n">
        <f aca="false">IF(29&lt;5,0,IF(MAX(AB39:AG39)&gt;AG44+0+$B$18,1,0))</f>
        <v>1</v>
      </c>
      <c r="AH61" s="352" t="n">
        <f aca="false">IF(30&lt;5,0,IF(MAX(AC39:AH39)&gt;AH44+0+$B$18,1,0))</f>
        <v>1</v>
      </c>
      <c r="AI61" s="352" t="n">
        <f aca="false">IF(31&lt;5,0,IF(MAX(AD39:AI39)&gt;AI44+0+$B$18,1,0))</f>
        <v>1</v>
      </c>
      <c r="AJ61" s="352" t="n">
        <f aca="false">IF(32&lt;5,0,IF(MAX(AE39:AJ39)&gt;AJ44+0+$B$18,1,0))</f>
        <v>1</v>
      </c>
      <c r="AK61" s="352" t="n">
        <f aca="false">IF(33&lt;5,0,IF(MAX(AF39:AK39)&gt;AK44+0+$B$18,1,0))</f>
        <v>1</v>
      </c>
      <c r="AL61" s="352" t="n">
        <f aca="false">IF(34&lt;5,0,IF(MAX(AG39:AL39)&gt;AL44+0+$B$18,1,0))</f>
        <v>1</v>
      </c>
      <c r="AM61" s="352" t="n">
        <f aca="false">IF(35&lt;5,0,IF(MAX(AH39:AM39)&gt;AM44+0+$B$18,1,0))</f>
        <v>1</v>
      </c>
      <c r="AN61" s="352" t="n">
        <f aca="false">IF(36&lt;5,0,IF(MAX(AI39:AN39)&gt;AN44+0+$B$18,1,0))</f>
        <v>1</v>
      </c>
      <c r="AO61" s="352" t="n">
        <f aca="false">IF(37&lt;5,0,IF(MAX(AJ39:AO39)&gt;AO44+0+$B$18,1,0))</f>
        <v>0</v>
      </c>
      <c r="AP61" s="352" t="n">
        <f aca="false">IF(38&lt;5,0,IF(MAX(AK39:AP39)&gt;AP44+0+$B$18,1,0))</f>
        <v>0</v>
      </c>
      <c r="AQ61" s="352" t="n">
        <f aca="false">IF(39&lt;5,0,IF(MAX(AL39:AQ39)&gt;AQ44+0+$B$18,1,0))</f>
        <v>0</v>
      </c>
      <c r="AR61" s="352" t="n">
        <f aca="false">IF(40&lt;5,0,IF(MAX(AM39:AR39)&gt;AR44+0+$B$18,1,0))</f>
        <v>0</v>
      </c>
      <c r="AS61" s="352" t="n">
        <f aca="false">IF(41&lt;5,0,IF(MAX(AN39:AS39)&gt;AS44+0+$B$18,1,0))</f>
        <v>0</v>
      </c>
      <c r="AT61" s="352" t="n">
        <f aca="false">IF(42&lt;5,0,IF(MAX(AO39:AT39)&gt;AT44+0+$B$18,1,0))</f>
        <v>0</v>
      </c>
      <c r="AU61" s="352" t="n">
        <f aca="false">IF(43&lt;5,0,IF(MAX(AP39:AU39)&gt;AU44+0+$B$18,1,0))</f>
        <v>0</v>
      </c>
      <c r="AV61" s="352" t="n">
        <f aca="false">IF(44&lt;5,0,IF(MAX(AQ39:AV39)&gt;AV44+0+$B$18,1,0))</f>
        <v>0</v>
      </c>
      <c r="AW61" s="352" t="n">
        <f aca="false">IF(45&lt;5,0,IF(MAX(AR39:AW39)&gt;AW44+0+$B$18,1,0))</f>
        <v>0</v>
      </c>
      <c r="AX61" s="352" t="n">
        <f aca="false">IF(46&lt;5,0,IF(MAX(AS39:AX39)&gt;AX44+0+$B$18,1,0))</f>
        <v>0</v>
      </c>
      <c r="AY61" s="352" t="n">
        <f aca="false">IF(47&lt;5,0,IF(MAX(AT39:AY39)&gt;AY44+0+$B$18,1,0))</f>
        <v>0</v>
      </c>
      <c r="AZ61" s="352" t="n">
        <f aca="false">IF(48&lt;5,0,IF(MAX(AU39:AZ39)&gt;AZ44+0+$B$18,1,0))</f>
        <v>0</v>
      </c>
      <c r="BA61" s="352" t="n">
        <f aca="false">IF(49&lt;5,0,IF(MAX(AV39:BA39)&gt;BA44+0+$B$18,1,0))</f>
        <v>0</v>
      </c>
      <c r="BB61" s="352" t="n">
        <f aca="false">IF(50&lt;5,0,IF(MAX(AW39:BB39)&gt;BB44+0+$B$18,1,0))</f>
        <v>0</v>
      </c>
      <c r="BC61" s="352" t="n">
        <f aca="false">IF(51&lt;5,0,IF(MAX(AX39:BC39)&gt;BC44+0+$B$18,1,0))</f>
        <v>0</v>
      </c>
      <c r="BD61" s="352" t="n">
        <f aca="false">IF(52&lt;5,0,IF(MAX(AY39:BD39)&gt;BD44+0+$B$18,1,0))</f>
        <v>0</v>
      </c>
      <c r="BE61" s="352" t="n">
        <f aca="false">IF(53&lt;5,0,IF(MAX(AZ39:BE39)&gt;BE44+0+$B$18,1,0))</f>
        <v>0</v>
      </c>
      <c r="BF61" s="352" t="n">
        <f aca="false">IF(54&lt;5,0,IF(MAX(BA39:BF39)&gt;BF44+0+$B$18,1,0))</f>
        <v>0</v>
      </c>
      <c r="BG61" s="352" t="n">
        <f aca="false">IF(55&lt;5,0,IF(MAX(BB39:BG39)&gt;BG44+0+$B$18,1,0))</f>
        <v>0</v>
      </c>
      <c r="BH61" s="352" t="n">
        <f aca="false">IF(56&lt;5,0,IF(MAX(BC39:BH39)&gt;BH44+0+$B$18,1,0))</f>
        <v>0</v>
      </c>
      <c r="BI61" s="352" t="n">
        <f aca="false">IF(57&lt;5,0,IF(MAX(BD39:BI39)&gt;BI44+0+$B$18,1,0))</f>
        <v>0</v>
      </c>
      <c r="BJ61" s="352" t="n">
        <f aca="false">IF(58&lt;5,0,IF(MAX(BE39:BJ39)&gt;BJ44+0+$B$18,1,0))</f>
        <v>0</v>
      </c>
      <c r="BK61" s="352" t="n">
        <f aca="false">IF(59&lt;5,0,IF(MAX(BF39:BK39)&gt;BK44+0+$B$18,1,0))</f>
        <v>0</v>
      </c>
      <c r="BL61" s="352" t="n">
        <f aca="false">IF(60&lt;5,0,IF(MAX(BG39:BL39)&gt;BL44+0+$B$18,1,0))</f>
        <v>0</v>
      </c>
      <c r="BM61" s="352" t="n">
        <f aca="false">IF(61&lt;5,0,IF(MAX(BH39:BM39)&gt;BM44+0+$B$18,1,0))</f>
        <v>0</v>
      </c>
      <c r="BN61" s="352" t="n">
        <f aca="false">IF(62&lt;5,0,IF(MAX(BI39:BN39)&gt;BN44+0+$B$18,1,0))</f>
        <v>0</v>
      </c>
      <c r="BO61" s="352" t="n">
        <f aca="false">IF(63&lt;5,0,IF(MAX(BJ39:BO39)&gt;BO44+0+$B$18,1,0))</f>
        <v>0</v>
      </c>
      <c r="BP61" s="352" t="n">
        <f aca="false">IF(64&lt;5,0,IF(MAX(BK39:BP39)&gt;BP44+0+$B$18,1,0))</f>
        <v>0</v>
      </c>
      <c r="BQ61" s="352" t="n">
        <f aca="false">IF(65&lt;5,0,IF(MAX(BL39:BQ39)&gt;BQ44+0+$B$18,1,0))</f>
        <v>0</v>
      </c>
      <c r="BR61" s="352" t="n">
        <f aca="false">IF(66&lt;5,0,IF(MAX(BM39:BR39)&gt;BR44+0+$B$18,1,0))</f>
        <v>0</v>
      </c>
      <c r="BS61" s="352" t="n">
        <f aca="false">IF(67&lt;5,0,IF(MAX(BN39:BS39)&gt;BS44+0+$B$18,1,0))</f>
        <v>0</v>
      </c>
      <c r="BT61" s="352" t="n">
        <f aca="false">IF(68&lt;5,0,IF(MAX(BO39:BT39)&gt;BT44+0+$B$18,1,0))</f>
        <v>0</v>
      </c>
      <c r="BU61" s="352" t="n">
        <f aca="false">IF(69&lt;5,0,IF(MAX(BP39:BU39)&gt;BU44+0+$B$18,1,0))</f>
        <v>0</v>
      </c>
      <c r="BV61" s="352" t="n">
        <f aca="false">IF(70&lt;5,0,IF(MAX(BQ39:BV39)&gt;BV44+0+$B$18,1,0))</f>
        <v>0</v>
      </c>
      <c r="BW61" s="352" t="n">
        <f aca="false">IF(71&lt;5,0,IF(MAX(BR39:BW39)&gt;BW44+0+$B$18,1,0))</f>
        <v>0</v>
      </c>
      <c r="BX61" s="352" t="n">
        <f aca="false">IF(72&lt;5,0,IF(MAX(BS39:BX39)&gt;BX44+0+$B$18,1,0))</f>
        <v>0</v>
      </c>
      <c r="BY61" s="352" t="n">
        <f aca="false">IF(73&lt;5,0,IF(MAX(BT39:BY39)&gt;BY44+0+$B$18,1,0))</f>
        <v>0</v>
      </c>
      <c r="BZ61" s="352" t="n">
        <f aca="false">IF(74&lt;5,0,IF(MAX(BU39:BZ39)&gt;BZ44+0+$B$18,1,0))</f>
        <v>0</v>
      </c>
      <c r="CA61" s="352" t="n">
        <f aca="false">IF(75&lt;5,0,IF(MAX(BV39:CA39)&gt;CA44+0+$B$18,1,0))</f>
        <v>0</v>
      </c>
      <c r="CB61" s="352" t="n">
        <f aca="false">IF(76&lt;5,0,IF(MAX(BW39:CB39)&gt;CB44+0+$B$18,1,0))</f>
        <v>0</v>
      </c>
      <c r="CC61" s="352" t="n">
        <f aca="false">IF(77&lt;5,0,IF(MAX(BX39:CC39)&gt;CC44+0+$B$18,1,0))</f>
        <v>0</v>
      </c>
      <c r="CD61" s="352" t="n">
        <f aca="false">IF(78&lt;5,0,IF(MAX(BY39:CD39)&gt;CD44+0+$B$18,1,0))</f>
        <v>0</v>
      </c>
      <c r="CE61" s="352" t="n">
        <f aca="false">IF(79&lt;5,0,IF(MAX(BZ39:CE39)&gt;CE44+0+$B$18,1,0))</f>
        <v>0</v>
      </c>
      <c r="CF61" s="352" t="n">
        <f aca="false">IF(80&lt;5,0,IF(MAX(CA39:CF39)&gt;CF44+0+$B$18,1,0))</f>
        <v>0</v>
      </c>
      <c r="CG61" s="352" t="n">
        <f aca="false">IF(81&lt;5,0,IF(MAX(CB39:CG39)&gt;CG44+0+$B$18,1,0))</f>
        <v>0</v>
      </c>
      <c r="CH61" s="352" t="n">
        <f aca="false">IF(82&lt;5,0,IF(MAX(CC39:CH39)&gt;CH44+0+$B$18,1,0))</f>
        <v>0</v>
      </c>
      <c r="CI61" s="352" t="n">
        <f aca="false">IF(83&lt;5,0,IF(MAX(CD39:CI39)&gt;CI44+0+$B$18,1,0))</f>
        <v>0</v>
      </c>
      <c r="CJ61" s="352" t="n">
        <f aca="false">IF(84&lt;5,0,IF(MAX(CE39:CJ39)&gt;CJ44+0+$B$18,1,0))</f>
        <v>0</v>
      </c>
      <c r="CK61" s="352" t="n">
        <f aca="false">IF(85&lt;5,0,IF(MAX(CF39:CK39)&gt;CK44+0+$B$18,1,0))</f>
        <v>0</v>
      </c>
      <c r="CL61" s="352" t="n">
        <f aca="false">IF(86&lt;5,0,IF(MAX(CG39:CL39)&gt;CL44+0+$B$18,1,0))</f>
        <v>0</v>
      </c>
      <c r="CM61" s="352" t="n">
        <f aca="false">IF(87&lt;5,0,IF(MAX(CH39:CM39)&gt;CM44+0+$B$18,1,0))</f>
        <v>0</v>
      </c>
      <c r="CN61" s="352" t="n">
        <f aca="false">IF(88&lt;5,0,IF(MAX(CI39:CN39)&gt;CN44+0+$B$18,1,0))</f>
        <v>0</v>
      </c>
      <c r="CO61" s="352" t="n">
        <f aca="false">IF(89&lt;5,0,IF(MAX(CJ39:CO39)&gt;CO44+0+$B$18,1,0))</f>
        <v>0</v>
      </c>
      <c r="CP61" s="352" t="n">
        <f aca="false">IF(90&lt;5,0,IF(MAX(CK39:CP39)&gt;CP44+0+$B$18,1,0))</f>
        <v>0</v>
      </c>
      <c r="CQ61" s="352" t="n">
        <f aca="false">IF(91&lt;5,0,IF(MAX(CL39:CQ39)&gt;CQ44+0+$B$18,1,0))</f>
        <v>0</v>
      </c>
      <c r="CR61" s="352" t="n">
        <f aca="false">IF(92&lt;5,0,IF(MAX(CM39:CR39)&gt;CR44+0+$B$18,1,0))</f>
        <v>0</v>
      </c>
      <c r="CS61" s="352" t="n">
        <f aca="false">IF(93&lt;5,0,IF(MAX(CN39:CS39)&gt;CS44+0+$B$18,1,0))</f>
        <v>0</v>
      </c>
      <c r="CT61" s="352" t="n">
        <f aca="false">IF(94&lt;5,0,IF(MAX(CO39:CT39)&gt;CT44+0+$B$18,1,0))</f>
        <v>0</v>
      </c>
      <c r="CU61" s="352" t="n">
        <f aca="false">IF(95&lt;5,0,IF(MAX(CP39:CU39)&gt;CU44+0+$B$18,1,0))</f>
        <v>0</v>
      </c>
      <c r="CV61" s="352" t="n">
        <f aca="false">IF(96&lt;5,0,IF(MAX(CQ39:CV39)&gt;CV44+0+$B$18,1,0))</f>
        <v>0</v>
      </c>
      <c r="CW61" s="352" t="n">
        <f aca="false">IF(97&lt;5,0,IF(MAX(CR39:CW39)&gt;CW44+0+$B$18,1,0))</f>
        <v>0</v>
      </c>
      <c r="CX61" s="352" t="n">
        <f aca="false">IF(98&lt;5,0,IF(MAX(CS39:CX39)&gt;CX44+0+$B$18,1,0))</f>
        <v>0</v>
      </c>
      <c r="CY61" s="352" t="n">
        <f aca="false">IF(99&lt;5,0,IF(MAX(CT39:CY39)&gt;CY44+0+$B$18,1,0))</f>
        <v>0</v>
      </c>
      <c r="CZ61" s="352" t="n">
        <f aca="false">IF(100&lt;5,0,IF(MAX(CU39:CZ39)&gt;CZ44+0+$B$18,1,0))</f>
        <v>0</v>
      </c>
      <c r="DA61" s="352" t="n">
        <f aca="false">IF(101&lt;5,0,IF(MAX(CV39:DA39)&gt;DA44+0+$B$18,1,0))</f>
        <v>0</v>
      </c>
      <c r="DB61" s="352" t="n">
        <f aca="false">IF(102&lt;5,0,IF(MAX(CW39:DB39)&gt;DB44+0+$B$18,1,0))</f>
        <v>0</v>
      </c>
      <c r="DC61" s="352" t="n">
        <f aca="false">IF(103&lt;5,0,IF(MAX(CX39:DC39)&gt;DC44+0+$B$18,1,0))</f>
        <v>0</v>
      </c>
      <c r="DD61" s="352" t="n">
        <f aca="false">IF(104&lt;5,0,IF(MAX(CY39:DD39)&gt;DD44+0+$B$18,1,0))</f>
        <v>0</v>
      </c>
      <c r="DE61" s="352" t="n">
        <f aca="false">IF(105&lt;5,0,IF(MAX(CZ39:DE39)&gt;DE44+0+$B$18,1,0))</f>
        <v>0</v>
      </c>
    </row>
    <row r="62" customFormat="false" ht="13.5" hidden="false" customHeight="true" outlineLevel="0" collapsed="false">
      <c r="A62" s="109" t="s">
        <v>1189</v>
      </c>
      <c r="B62" s="211" t="n">
        <f aca="false">$B$28</f>
        <v>130000</v>
      </c>
      <c r="E62" s="352" t="n">
        <f aca="false">IF(1&lt;5,0,IF(MAX(E39)&gt;E44+1+$B$18,1,0))</f>
        <v>0</v>
      </c>
      <c r="F62" s="352" t="n">
        <f aca="false">IF(2&lt;5,0,IF(MAX(E39:F39)&gt;F44+1+$B$18,1,0))</f>
        <v>0</v>
      </c>
      <c r="G62" s="352" t="n">
        <f aca="false">IF(3&lt;5,0,IF(MAX(E39:G39)&gt;G44+1+$B$18,1,0))</f>
        <v>0</v>
      </c>
      <c r="H62" s="352" t="n">
        <f aca="false">IF(4&lt;5,0,IF(MAX(E39:H39)&gt;H44+1+$B$18,1,0))</f>
        <v>0</v>
      </c>
      <c r="I62" s="352" t="n">
        <f aca="false">IF(5&lt;5,0,IF(MAX(E39:I39)&gt;I44+1+$B$18,1,0))</f>
        <v>0</v>
      </c>
      <c r="J62" s="352" t="n">
        <f aca="false">IF(6&lt;5,0,IF(MAX(E39:J39)&gt;J44+1+$B$18,1,0))</f>
        <v>0</v>
      </c>
      <c r="K62" s="352" t="n">
        <f aca="false">IF(7&lt;5,0,IF(MAX(F39:K39)&gt;K44+1+$B$18,1,0))</f>
        <v>0</v>
      </c>
      <c r="L62" s="352" t="n">
        <f aca="false">IF(8&lt;5,0,IF(MAX(G39:L39)&gt;L44+1+$B$18,1,0))</f>
        <v>0</v>
      </c>
      <c r="M62" s="352" t="n">
        <f aca="false">IF(9&lt;5,0,IF(MAX(H39:M39)&gt;M44+1+$B$18,1,0))</f>
        <v>0</v>
      </c>
      <c r="N62" s="352" t="n">
        <f aca="false">IF(10&lt;5,0,IF(MAX(I39:N39)&gt;N44+1+$B$18,1,0))</f>
        <v>0</v>
      </c>
      <c r="O62" s="352" t="n">
        <f aca="false">IF(11&lt;5,0,IF(MAX(J39:O39)&gt;O44+1+$B$18,1,0))</f>
        <v>0</v>
      </c>
      <c r="P62" s="352" t="n">
        <f aca="false">IF(12&lt;5,0,IF(MAX(K39:P39)&gt;P44+1+$B$18,1,0))</f>
        <v>0</v>
      </c>
      <c r="Q62" s="352" t="n">
        <f aca="false">IF(13&lt;5,0,IF(MAX(L39:Q39)&gt;Q44+1+$B$18,1,0))</f>
        <v>0</v>
      </c>
      <c r="R62" s="352" t="n">
        <f aca="false">IF(14&lt;5,0,IF(MAX(M39:R39)&gt;R44+1+$B$18,1,0))</f>
        <v>0</v>
      </c>
      <c r="S62" s="352" t="n">
        <f aca="false">IF(15&lt;5,0,IF(MAX(N39:S39)&gt;S44+1+$B$18,1,0))</f>
        <v>1</v>
      </c>
      <c r="T62" s="352" t="n">
        <f aca="false">IF(16&lt;5,0,IF(MAX(O39:T39)&gt;T44+1+$B$18,1,0))</f>
        <v>1</v>
      </c>
      <c r="U62" s="352" t="n">
        <f aca="false">IF(17&lt;5,0,IF(MAX(P39:U39)&gt;U44+1+$B$18,1,0))</f>
        <v>1</v>
      </c>
      <c r="V62" s="352" t="n">
        <f aca="false">IF(18&lt;5,0,IF(MAX(Q39:V39)&gt;V44+1+$B$18,1,0))</f>
        <v>1</v>
      </c>
      <c r="W62" s="352" t="n">
        <f aca="false">IF(19&lt;5,0,IF(MAX(R39:W39)&gt;W44+1+$B$18,1,0))</f>
        <v>1</v>
      </c>
      <c r="X62" s="352" t="n">
        <f aca="false">IF(20&lt;5,0,IF(MAX(S39:X39)&gt;X44+1+$B$18,1,0))</f>
        <v>1</v>
      </c>
      <c r="Y62" s="352" t="n">
        <f aca="false">IF(21&lt;5,0,IF(MAX(T39:Y39)&gt;Y44+1+$B$18,1,0))</f>
        <v>1</v>
      </c>
      <c r="Z62" s="352" t="n">
        <f aca="false">IF(22&lt;5,0,IF(MAX(U39:Z39)&gt;Z44+1+$B$18,1,0))</f>
        <v>1</v>
      </c>
      <c r="AA62" s="352" t="n">
        <f aca="false">IF(23&lt;5,0,IF(MAX(V39:AA39)&gt;AA44+1+$B$18,1,0))</f>
        <v>1</v>
      </c>
      <c r="AB62" s="352" t="n">
        <f aca="false">IF(24&lt;5,0,IF(MAX(W39:AB39)&gt;AB44+1+$B$18,1,0))</f>
        <v>1</v>
      </c>
      <c r="AC62" s="352" t="n">
        <f aca="false">IF(25&lt;5,0,IF(MAX(X39:AC39)&gt;AC44+1+$B$18,1,0))</f>
        <v>1</v>
      </c>
      <c r="AD62" s="352" t="n">
        <f aca="false">IF(26&lt;5,0,IF(MAX(Y39:AD39)&gt;AD44+1+$B$18,1,0))</f>
        <v>0</v>
      </c>
      <c r="AE62" s="352" t="n">
        <f aca="false">IF(27&lt;5,0,IF(MAX(Z39:AE39)&gt;AE44+1+$B$18,1,0))</f>
        <v>0</v>
      </c>
      <c r="AF62" s="352" t="n">
        <f aca="false">IF(28&lt;5,0,IF(MAX(AA39:AF39)&gt;AF44+1+$B$18,1,0))</f>
        <v>0</v>
      </c>
      <c r="AG62" s="352" t="n">
        <f aca="false">IF(29&lt;5,0,IF(MAX(AB39:AG39)&gt;AG44+1+$B$18,1,0))</f>
        <v>0</v>
      </c>
      <c r="AH62" s="352" t="n">
        <f aca="false">IF(30&lt;5,0,IF(MAX(AC39:AH39)&gt;AH44+1+$B$18,1,0))</f>
        <v>0</v>
      </c>
      <c r="AI62" s="352" t="n">
        <f aca="false">IF(31&lt;5,0,IF(MAX(AD39:AI39)&gt;AI44+1+$B$18,1,0))</f>
        <v>0</v>
      </c>
      <c r="AJ62" s="352" t="n">
        <f aca="false">IF(32&lt;5,0,IF(MAX(AE39:AJ39)&gt;AJ44+1+$B$18,1,0))</f>
        <v>0</v>
      </c>
      <c r="AK62" s="352" t="n">
        <f aca="false">IF(33&lt;5,0,IF(MAX(AF39:AK39)&gt;AK44+1+$B$18,1,0))</f>
        <v>0</v>
      </c>
      <c r="AL62" s="352" t="n">
        <f aca="false">IF(34&lt;5,0,IF(MAX(AG39:AL39)&gt;AL44+1+$B$18,1,0))</f>
        <v>0</v>
      </c>
      <c r="AM62" s="352" t="n">
        <f aca="false">IF(35&lt;5,0,IF(MAX(AH39:AM39)&gt;AM44+1+$B$18,1,0))</f>
        <v>0</v>
      </c>
      <c r="AN62" s="352" t="n">
        <f aca="false">IF(36&lt;5,0,IF(MAX(AI39:AN39)&gt;AN44+1+$B$18,1,0))</f>
        <v>0</v>
      </c>
      <c r="AO62" s="352" t="n">
        <f aca="false">IF(37&lt;5,0,IF(MAX(AJ39:AO39)&gt;AO44+1+$B$18,1,0))</f>
        <v>0</v>
      </c>
      <c r="AP62" s="352" t="n">
        <f aca="false">IF(38&lt;5,0,IF(MAX(AK39:AP39)&gt;AP44+1+$B$18,1,0))</f>
        <v>0</v>
      </c>
      <c r="AQ62" s="352" t="n">
        <f aca="false">IF(39&lt;5,0,IF(MAX(AL39:AQ39)&gt;AQ44+1+$B$18,1,0))</f>
        <v>0</v>
      </c>
      <c r="AR62" s="352" t="n">
        <f aca="false">IF(40&lt;5,0,IF(MAX(AM39:AR39)&gt;AR44+1+$B$18,1,0))</f>
        <v>0</v>
      </c>
      <c r="AS62" s="352" t="n">
        <f aca="false">IF(41&lt;5,0,IF(MAX(AN39:AS39)&gt;AS44+1+$B$18,1,0))</f>
        <v>0</v>
      </c>
      <c r="AT62" s="352" t="n">
        <f aca="false">IF(42&lt;5,0,IF(MAX(AO39:AT39)&gt;AT44+1+$B$18,1,0))</f>
        <v>0</v>
      </c>
      <c r="AU62" s="352" t="n">
        <f aca="false">IF(43&lt;5,0,IF(MAX(AP39:AU39)&gt;AU44+1+$B$18,1,0))</f>
        <v>0</v>
      </c>
      <c r="AV62" s="352" t="n">
        <f aca="false">IF(44&lt;5,0,IF(MAX(AQ39:AV39)&gt;AV44+1+$B$18,1,0))</f>
        <v>0</v>
      </c>
      <c r="AW62" s="352" t="n">
        <f aca="false">IF(45&lt;5,0,IF(MAX(AR39:AW39)&gt;AW44+1+$B$18,1,0))</f>
        <v>0</v>
      </c>
      <c r="AX62" s="352" t="n">
        <f aca="false">IF(46&lt;5,0,IF(MAX(AS39:AX39)&gt;AX44+1+$B$18,1,0))</f>
        <v>0</v>
      </c>
      <c r="AY62" s="352" t="n">
        <f aca="false">IF(47&lt;5,0,IF(MAX(AT39:AY39)&gt;AY44+1+$B$18,1,0))</f>
        <v>0</v>
      </c>
      <c r="AZ62" s="352" t="n">
        <f aca="false">IF(48&lt;5,0,IF(MAX(AU39:AZ39)&gt;AZ44+1+$B$18,1,0))</f>
        <v>0</v>
      </c>
      <c r="BA62" s="352" t="n">
        <f aca="false">IF(49&lt;5,0,IF(MAX(AV39:BA39)&gt;BA44+1+$B$18,1,0))</f>
        <v>0</v>
      </c>
      <c r="BB62" s="352" t="n">
        <f aca="false">IF(50&lt;5,0,IF(MAX(AW39:BB39)&gt;BB44+1+$B$18,1,0))</f>
        <v>0</v>
      </c>
      <c r="BC62" s="352" t="n">
        <f aca="false">IF(51&lt;5,0,IF(MAX(AX39:BC39)&gt;BC44+1+$B$18,1,0))</f>
        <v>0</v>
      </c>
      <c r="BD62" s="352" t="n">
        <f aca="false">IF(52&lt;5,0,IF(MAX(AY39:BD39)&gt;BD44+1+$B$18,1,0))</f>
        <v>0</v>
      </c>
      <c r="BE62" s="352" t="n">
        <f aca="false">IF(53&lt;5,0,IF(MAX(AZ39:BE39)&gt;BE44+1+$B$18,1,0))</f>
        <v>0</v>
      </c>
      <c r="BF62" s="352" t="n">
        <f aca="false">IF(54&lt;5,0,IF(MAX(BA39:BF39)&gt;BF44+1+$B$18,1,0))</f>
        <v>0</v>
      </c>
      <c r="BG62" s="352" t="n">
        <f aca="false">IF(55&lt;5,0,IF(MAX(BB39:BG39)&gt;BG44+1+$B$18,1,0))</f>
        <v>0</v>
      </c>
      <c r="BH62" s="352" t="n">
        <f aca="false">IF(56&lt;5,0,IF(MAX(BC39:BH39)&gt;BH44+1+$B$18,1,0))</f>
        <v>0</v>
      </c>
      <c r="BI62" s="352" t="n">
        <f aca="false">IF(57&lt;5,0,IF(MAX(BD39:BI39)&gt;BI44+1+$B$18,1,0))</f>
        <v>0</v>
      </c>
      <c r="BJ62" s="352" t="n">
        <f aca="false">IF(58&lt;5,0,IF(MAX(BE39:BJ39)&gt;BJ44+1+$B$18,1,0))</f>
        <v>0</v>
      </c>
      <c r="BK62" s="352" t="n">
        <f aca="false">IF(59&lt;5,0,IF(MAX(BF39:BK39)&gt;BK44+1+$B$18,1,0))</f>
        <v>0</v>
      </c>
      <c r="BL62" s="352" t="n">
        <f aca="false">IF(60&lt;5,0,IF(MAX(BG39:BL39)&gt;BL44+1+$B$18,1,0))</f>
        <v>0</v>
      </c>
      <c r="BM62" s="352" t="n">
        <f aca="false">IF(61&lt;5,0,IF(MAX(BH39:BM39)&gt;BM44+1+$B$18,1,0))</f>
        <v>0</v>
      </c>
      <c r="BN62" s="352" t="n">
        <f aca="false">IF(62&lt;5,0,IF(MAX(BI39:BN39)&gt;BN44+1+$B$18,1,0))</f>
        <v>0</v>
      </c>
      <c r="BO62" s="352" t="n">
        <f aca="false">IF(63&lt;5,0,IF(MAX(BJ39:BO39)&gt;BO44+1+$B$18,1,0))</f>
        <v>0</v>
      </c>
      <c r="BP62" s="352" t="n">
        <f aca="false">IF(64&lt;5,0,IF(MAX(BK39:BP39)&gt;BP44+1+$B$18,1,0))</f>
        <v>0</v>
      </c>
      <c r="BQ62" s="352" t="n">
        <f aca="false">IF(65&lt;5,0,IF(MAX(BL39:BQ39)&gt;BQ44+1+$B$18,1,0))</f>
        <v>0</v>
      </c>
      <c r="BR62" s="352" t="n">
        <f aca="false">IF(66&lt;5,0,IF(MAX(BM39:BR39)&gt;BR44+1+$B$18,1,0))</f>
        <v>0</v>
      </c>
      <c r="BS62" s="352" t="n">
        <f aca="false">IF(67&lt;5,0,IF(MAX(BN39:BS39)&gt;BS44+1+$B$18,1,0))</f>
        <v>0</v>
      </c>
      <c r="BT62" s="352" t="n">
        <f aca="false">IF(68&lt;5,0,IF(MAX(BO39:BT39)&gt;BT44+1+$B$18,1,0))</f>
        <v>0</v>
      </c>
      <c r="BU62" s="352" t="n">
        <f aca="false">IF(69&lt;5,0,IF(MAX(BP39:BU39)&gt;BU44+1+$B$18,1,0))</f>
        <v>0</v>
      </c>
      <c r="BV62" s="352" t="n">
        <f aca="false">IF(70&lt;5,0,IF(MAX(BQ39:BV39)&gt;BV44+1+$B$18,1,0))</f>
        <v>0</v>
      </c>
      <c r="BW62" s="352" t="n">
        <f aca="false">IF(71&lt;5,0,IF(MAX(BR39:BW39)&gt;BW44+1+$B$18,1,0))</f>
        <v>0</v>
      </c>
      <c r="BX62" s="352" t="n">
        <f aca="false">IF(72&lt;5,0,IF(MAX(BS39:BX39)&gt;BX44+1+$B$18,1,0))</f>
        <v>0</v>
      </c>
      <c r="BY62" s="352" t="n">
        <f aca="false">IF(73&lt;5,0,IF(MAX(BT39:BY39)&gt;BY44+1+$B$18,1,0))</f>
        <v>0</v>
      </c>
      <c r="BZ62" s="352" t="n">
        <f aca="false">IF(74&lt;5,0,IF(MAX(BU39:BZ39)&gt;BZ44+1+$B$18,1,0))</f>
        <v>0</v>
      </c>
      <c r="CA62" s="352" t="n">
        <f aca="false">IF(75&lt;5,0,IF(MAX(BV39:CA39)&gt;CA44+1+$B$18,1,0))</f>
        <v>0</v>
      </c>
      <c r="CB62" s="352" t="n">
        <f aca="false">IF(76&lt;5,0,IF(MAX(BW39:CB39)&gt;CB44+1+$B$18,1,0))</f>
        <v>0</v>
      </c>
      <c r="CC62" s="352" t="n">
        <f aca="false">IF(77&lt;5,0,IF(MAX(BX39:CC39)&gt;CC44+1+$B$18,1,0))</f>
        <v>0</v>
      </c>
      <c r="CD62" s="352" t="n">
        <f aca="false">IF(78&lt;5,0,IF(MAX(BY39:CD39)&gt;CD44+1+$B$18,1,0))</f>
        <v>0</v>
      </c>
      <c r="CE62" s="352" t="n">
        <f aca="false">IF(79&lt;5,0,IF(MAX(BZ39:CE39)&gt;CE44+1+$B$18,1,0))</f>
        <v>0</v>
      </c>
      <c r="CF62" s="352" t="n">
        <f aca="false">IF(80&lt;5,0,IF(MAX(CA39:CF39)&gt;CF44+1+$B$18,1,0))</f>
        <v>0</v>
      </c>
      <c r="CG62" s="352" t="n">
        <f aca="false">IF(81&lt;5,0,IF(MAX(CB39:CG39)&gt;CG44+1+$B$18,1,0))</f>
        <v>0</v>
      </c>
      <c r="CH62" s="352" t="n">
        <f aca="false">IF(82&lt;5,0,IF(MAX(CC39:CH39)&gt;CH44+1+$B$18,1,0))</f>
        <v>0</v>
      </c>
      <c r="CI62" s="352" t="n">
        <f aca="false">IF(83&lt;5,0,IF(MAX(CD39:CI39)&gt;CI44+1+$B$18,1,0))</f>
        <v>0</v>
      </c>
      <c r="CJ62" s="352" t="n">
        <f aca="false">IF(84&lt;5,0,IF(MAX(CE39:CJ39)&gt;CJ44+1+$B$18,1,0))</f>
        <v>0</v>
      </c>
      <c r="CK62" s="352" t="n">
        <f aca="false">IF(85&lt;5,0,IF(MAX(CF39:CK39)&gt;CK44+1+$B$18,1,0))</f>
        <v>0</v>
      </c>
      <c r="CL62" s="352" t="n">
        <f aca="false">IF(86&lt;5,0,IF(MAX(CG39:CL39)&gt;CL44+1+$B$18,1,0))</f>
        <v>0</v>
      </c>
      <c r="CM62" s="352" t="n">
        <f aca="false">IF(87&lt;5,0,IF(MAX(CH39:CM39)&gt;CM44+1+$B$18,1,0))</f>
        <v>0</v>
      </c>
      <c r="CN62" s="352" t="n">
        <f aca="false">IF(88&lt;5,0,IF(MAX(CI39:CN39)&gt;CN44+1+$B$18,1,0))</f>
        <v>0</v>
      </c>
      <c r="CO62" s="352" t="n">
        <f aca="false">IF(89&lt;5,0,IF(MAX(CJ39:CO39)&gt;CO44+1+$B$18,1,0))</f>
        <v>0</v>
      </c>
      <c r="CP62" s="352" t="n">
        <f aca="false">IF(90&lt;5,0,IF(MAX(CK39:CP39)&gt;CP44+1+$B$18,1,0))</f>
        <v>0</v>
      </c>
      <c r="CQ62" s="352" t="n">
        <f aca="false">IF(91&lt;5,0,IF(MAX(CL39:CQ39)&gt;CQ44+1+$B$18,1,0))</f>
        <v>0</v>
      </c>
      <c r="CR62" s="352" t="n">
        <f aca="false">IF(92&lt;5,0,IF(MAX(CM39:CR39)&gt;CR44+1+$B$18,1,0))</f>
        <v>0</v>
      </c>
      <c r="CS62" s="352" t="n">
        <f aca="false">IF(93&lt;5,0,IF(MAX(CN39:CS39)&gt;CS44+1+$B$18,1,0))</f>
        <v>0</v>
      </c>
      <c r="CT62" s="352" t="n">
        <f aca="false">IF(94&lt;5,0,IF(MAX(CO39:CT39)&gt;CT44+1+$B$18,1,0))</f>
        <v>0</v>
      </c>
      <c r="CU62" s="352" t="n">
        <f aca="false">IF(95&lt;5,0,IF(MAX(CP39:CU39)&gt;CU44+1+$B$18,1,0))</f>
        <v>0</v>
      </c>
      <c r="CV62" s="352" t="n">
        <f aca="false">IF(96&lt;5,0,IF(MAX(CQ39:CV39)&gt;CV44+1+$B$18,1,0))</f>
        <v>0</v>
      </c>
      <c r="CW62" s="352" t="n">
        <f aca="false">IF(97&lt;5,0,IF(MAX(CR39:CW39)&gt;CW44+1+$B$18,1,0))</f>
        <v>0</v>
      </c>
      <c r="CX62" s="352" t="n">
        <f aca="false">IF(98&lt;5,0,IF(MAX(CS39:CX39)&gt;CX44+1+$B$18,1,0))</f>
        <v>0</v>
      </c>
      <c r="CY62" s="352" t="n">
        <f aca="false">IF(99&lt;5,0,IF(MAX(CT39:CY39)&gt;CY44+1+$B$18,1,0))</f>
        <v>0</v>
      </c>
      <c r="CZ62" s="352" t="n">
        <f aca="false">IF(100&lt;5,0,IF(MAX(CU39:CZ39)&gt;CZ44+1+$B$18,1,0))</f>
        <v>0</v>
      </c>
      <c r="DA62" s="352" t="n">
        <f aca="false">IF(101&lt;5,0,IF(MAX(CV39:DA39)&gt;DA44+1+$B$18,1,0))</f>
        <v>0</v>
      </c>
      <c r="DB62" s="352" t="n">
        <f aca="false">IF(102&lt;5,0,IF(MAX(CW39:DB39)&gt;DB44+1+$B$18,1,0))</f>
        <v>0</v>
      </c>
      <c r="DC62" s="352" t="n">
        <f aca="false">IF(103&lt;5,0,IF(MAX(CX39:DC39)&gt;DC44+1+$B$18,1,0))</f>
        <v>0</v>
      </c>
      <c r="DD62" s="352" t="n">
        <f aca="false">IF(104&lt;5,0,IF(MAX(CY39:DD39)&gt;DD44+1+$B$18,1,0))</f>
        <v>0</v>
      </c>
      <c r="DE62" s="352" t="n">
        <f aca="false">IF(105&lt;5,0,IF(MAX(CZ39:DE39)&gt;DE44+1+$B$18,1,0))</f>
        <v>0</v>
      </c>
    </row>
    <row r="63" customFormat="false" ht="13.5" hidden="false" customHeight="true" outlineLevel="0" collapsed="false">
      <c r="A63" s="109" t="s">
        <v>1190</v>
      </c>
      <c r="B63" s="211" t="n">
        <f aca="false">$B$28</f>
        <v>130000</v>
      </c>
      <c r="E63" s="352" t="n">
        <f aca="false">IF(1&lt;5,0,IF(MAX(E39)&gt;E44+2+$B$18,1,0))</f>
        <v>0</v>
      </c>
      <c r="F63" s="352" t="n">
        <f aca="false">IF(2&lt;5,0,IF(MAX(E39:F39)&gt;F44+2+$B$18,1,0))</f>
        <v>0</v>
      </c>
      <c r="G63" s="352" t="n">
        <f aca="false">IF(3&lt;5,0,IF(MAX(E39:G39)&gt;G44+2+$B$18,1,0))</f>
        <v>0</v>
      </c>
      <c r="H63" s="352" t="n">
        <f aca="false">IF(4&lt;5,0,IF(MAX(E39:H39)&gt;H44+2+$B$18,1,0))</f>
        <v>0</v>
      </c>
      <c r="I63" s="352" t="n">
        <f aca="false">IF(5&lt;5,0,IF(MAX(E39:I39)&gt;I44+2+$B$18,1,0))</f>
        <v>0</v>
      </c>
      <c r="J63" s="352" t="n">
        <f aca="false">IF(6&lt;5,0,IF(MAX(E39:J39)&gt;J44+2+$B$18,1,0))</f>
        <v>0</v>
      </c>
      <c r="K63" s="352" t="n">
        <f aca="false">IF(7&lt;5,0,IF(MAX(F39:K39)&gt;K44+2+$B$18,1,0))</f>
        <v>0</v>
      </c>
      <c r="L63" s="352" t="n">
        <f aca="false">IF(8&lt;5,0,IF(MAX(G39:L39)&gt;L44+2+$B$18,1,0))</f>
        <v>0</v>
      </c>
      <c r="M63" s="352" t="n">
        <f aca="false">IF(9&lt;5,0,IF(MAX(H39:M39)&gt;M44+2+$B$18,1,0))</f>
        <v>0</v>
      </c>
      <c r="N63" s="352" t="n">
        <f aca="false">IF(10&lt;5,0,IF(MAX(I39:N39)&gt;N44+2+$B$18,1,0))</f>
        <v>0</v>
      </c>
      <c r="O63" s="352" t="n">
        <f aca="false">IF(11&lt;5,0,IF(MAX(J39:O39)&gt;O44+2+$B$18,1,0))</f>
        <v>0</v>
      </c>
      <c r="P63" s="352" t="n">
        <f aca="false">IF(12&lt;5,0,IF(MAX(K39:P39)&gt;P44+2+$B$18,1,0))</f>
        <v>0</v>
      </c>
      <c r="Q63" s="352" t="n">
        <f aca="false">IF(13&lt;5,0,IF(MAX(L39:Q39)&gt;Q44+2+$B$18,1,0))</f>
        <v>0</v>
      </c>
      <c r="R63" s="352" t="n">
        <f aca="false">IF(14&lt;5,0,IF(MAX(M39:R39)&gt;R44+2+$B$18,1,0))</f>
        <v>0</v>
      </c>
      <c r="S63" s="352" t="n">
        <f aca="false">IF(15&lt;5,0,IF(MAX(N39:S39)&gt;S44+2+$B$18,1,0))</f>
        <v>0</v>
      </c>
      <c r="T63" s="352" t="n">
        <f aca="false">IF(16&lt;5,0,IF(MAX(O39:T39)&gt;T44+2+$B$18,1,0))</f>
        <v>0</v>
      </c>
      <c r="U63" s="352" t="n">
        <f aca="false">IF(17&lt;5,0,IF(MAX(P39:U39)&gt;U44+2+$B$18,1,0))</f>
        <v>0</v>
      </c>
      <c r="V63" s="352" t="n">
        <f aca="false">IF(18&lt;5,0,IF(MAX(Q39:V39)&gt;V44+2+$B$18,1,0))</f>
        <v>0</v>
      </c>
      <c r="W63" s="352" t="n">
        <f aca="false">IF(19&lt;5,0,IF(MAX(R39:W39)&gt;W44+2+$B$18,1,0))</f>
        <v>0</v>
      </c>
      <c r="X63" s="352" t="n">
        <f aca="false">IF(20&lt;5,0,IF(MAX(S39:X39)&gt;X44+2+$B$18,1,0))</f>
        <v>0</v>
      </c>
      <c r="Y63" s="352" t="n">
        <f aca="false">IF(21&lt;5,0,IF(MAX(T39:Y39)&gt;Y44+2+$B$18,1,0))</f>
        <v>0</v>
      </c>
      <c r="Z63" s="352" t="n">
        <f aca="false">IF(22&lt;5,0,IF(MAX(U39:Z39)&gt;Z44+2+$B$18,1,0))</f>
        <v>0</v>
      </c>
      <c r="AA63" s="352" t="n">
        <f aca="false">IF(23&lt;5,0,IF(MAX(V39:AA39)&gt;AA44+2+$B$18,1,0))</f>
        <v>0</v>
      </c>
      <c r="AB63" s="352" t="n">
        <f aca="false">IF(24&lt;5,0,IF(MAX(W39:AB39)&gt;AB44+2+$B$18,1,0))</f>
        <v>0</v>
      </c>
      <c r="AC63" s="352" t="n">
        <f aca="false">IF(25&lt;5,0,IF(MAX(X39:AC39)&gt;AC44+2+$B$18,1,0))</f>
        <v>0</v>
      </c>
      <c r="AD63" s="352" t="n">
        <f aca="false">IF(26&lt;5,0,IF(MAX(Y39:AD39)&gt;AD44+2+$B$18,1,0))</f>
        <v>0</v>
      </c>
      <c r="AE63" s="352" t="n">
        <f aca="false">IF(27&lt;5,0,IF(MAX(Z39:AE39)&gt;AE44+2+$B$18,1,0))</f>
        <v>0</v>
      </c>
      <c r="AF63" s="352" t="n">
        <f aca="false">IF(28&lt;5,0,IF(MAX(AA39:AF39)&gt;AF44+2+$B$18,1,0))</f>
        <v>0</v>
      </c>
      <c r="AG63" s="352" t="n">
        <f aca="false">IF(29&lt;5,0,IF(MAX(AB39:AG39)&gt;AG44+2+$B$18,1,0))</f>
        <v>0</v>
      </c>
      <c r="AH63" s="352" t="n">
        <f aca="false">IF(30&lt;5,0,IF(MAX(AC39:AH39)&gt;AH44+2+$B$18,1,0))</f>
        <v>0</v>
      </c>
      <c r="AI63" s="352" t="n">
        <f aca="false">IF(31&lt;5,0,IF(MAX(AD39:AI39)&gt;AI44+2+$B$18,1,0))</f>
        <v>0</v>
      </c>
      <c r="AJ63" s="352" t="n">
        <f aca="false">IF(32&lt;5,0,IF(MAX(AE39:AJ39)&gt;AJ44+2+$B$18,1,0))</f>
        <v>0</v>
      </c>
      <c r="AK63" s="352" t="n">
        <f aca="false">IF(33&lt;5,0,IF(MAX(AF39:AK39)&gt;AK44+2+$B$18,1,0))</f>
        <v>0</v>
      </c>
      <c r="AL63" s="352" t="n">
        <f aca="false">IF(34&lt;5,0,IF(MAX(AG39:AL39)&gt;AL44+2+$B$18,1,0))</f>
        <v>0</v>
      </c>
      <c r="AM63" s="352" t="n">
        <f aca="false">IF(35&lt;5,0,IF(MAX(AH39:AM39)&gt;AM44+2+$B$18,1,0))</f>
        <v>0</v>
      </c>
      <c r="AN63" s="352" t="n">
        <f aca="false">IF(36&lt;5,0,IF(MAX(AI39:AN39)&gt;AN44+2+$B$18,1,0))</f>
        <v>0</v>
      </c>
      <c r="AO63" s="352" t="n">
        <f aca="false">IF(37&lt;5,0,IF(MAX(AJ39:AO39)&gt;AO44+2+$B$18,1,0))</f>
        <v>0</v>
      </c>
      <c r="AP63" s="352" t="n">
        <f aca="false">IF(38&lt;5,0,IF(MAX(AK39:AP39)&gt;AP44+2+$B$18,1,0))</f>
        <v>0</v>
      </c>
      <c r="AQ63" s="352" t="n">
        <f aca="false">IF(39&lt;5,0,IF(MAX(AL39:AQ39)&gt;AQ44+2+$B$18,1,0))</f>
        <v>0</v>
      </c>
      <c r="AR63" s="352" t="n">
        <f aca="false">IF(40&lt;5,0,IF(MAX(AM39:AR39)&gt;AR44+2+$B$18,1,0))</f>
        <v>0</v>
      </c>
      <c r="AS63" s="352" t="n">
        <f aca="false">IF(41&lt;5,0,IF(MAX(AN39:AS39)&gt;AS44+2+$B$18,1,0))</f>
        <v>0</v>
      </c>
      <c r="AT63" s="352" t="n">
        <f aca="false">IF(42&lt;5,0,IF(MAX(AO39:AT39)&gt;AT44+2+$B$18,1,0))</f>
        <v>0</v>
      </c>
      <c r="AU63" s="352" t="n">
        <f aca="false">IF(43&lt;5,0,IF(MAX(AP39:AU39)&gt;AU44+2+$B$18,1,0))</f>
        <v>0</v>
      </c>
      <c r="AV63" s="352" t="n">
        <f aca="false">IF(44&lt;5,0,IF(MAX(AQ39:AV39)&gt;AV44+2+$B$18,1,0))</f>
        <v>0</v>
      </c>
      <c r="AW63" s="352" t="n">
        <f aca="false">IF(45&lt;5,0,IF(MAX(AR39:AW39)&gt;AW44+2+$B$18,1,0))</f>
        <v>0</v>
      </c>
      <c r="AX63" s="352" t="n">
        <f aca="false">IF(46&lt;5,0,IF(MAX(AS39:AX39)&gt;AX44+2+$B$18,1,0))</f>
        <v>0</v>
      </c>
      <c r="AY63" s="352" t="n">
        <f aca="false">IF(47&lt;5,0,IF(MAX(AT39:AY39)&gt;AY44+2+$B$18,1,0))</f>
        <v>0</v>
      </c>
      <c r="AZ63" s="352" t="n">
        <f aca="false">IF(48&lt;5,0,IF(MAX(AU39:AZ39)&gt;AZ44+2+$B$18,1,0))</f>
        <v>0</v>
      </c>
      <c r="BA63" s="352" t="n">
        <f aca="false">IF(49&lt;5,0,IF(MAX(AV39:BA39)&gt;BA44+2+$B$18,1,0))</f>
        <v>0</v>
      </c>
      <c r="BB63" s="352" t="n">
        <f aca="false">IF(50&lt;5,0,IF(MAX(AW39:BB39)&gt;BB44+2+$B$18,1,0))</f>
        <v>0</v>
      </c>
      <c r="BC63" s="352" t="n">
        <f aca="false">IF(51&lt;5,0,IF(MAX(AX39:BC39)&gt;BC44+2+$B$18,1,0))</f>
        <v>0</v>
      </c>
      <c r="BD63" s="352" t="n">
        <f aca="false">IF(52&lt;5,0,IF(MAX(AY39:BD39)&gt;BD44+2+$B$18,1,0))</f>
        <v>0</v>
      </c>
      <c r="BE63" s="352" t="n">
        <f aca="false">IF(53&lt;5,0,IF(MAX(AZ39:BE39)&gt;BE44+2+$B$18,1,0))</f>
        <v>0</v>
      </c>
      <c r="BF63" s="352" t="n">
        <f aca="false">IF(54&lt;5,0,IF(MAX(BA39:BF39)&gt;BF44+2+$B$18,1,0))</f>
        <v>0</v>
      </c>
      <c r="BG63" s="352" t="n">
        <f aca="false">IF(55&lt;5,0,IF(MAX(BB39:BG39)&gt;BG44+2+$B$18,1,0))</f>
        <v>0</v>
      </c>
      <c r="BH63" s="352" t="n">
        <f aca="false">IF(56&lt;5,0,IF(MAX(BC39:BH39)&gt;BH44+2+$B$18,1,0))</f>
        <v>0</v>
      </c>
      <c r="BI63" s="352" t="n">
        <f aca="false">IF(57&lt;5,0,IF(MAX(BD39:BI39)&gt;BI44+2+$B$18,1,0))</f>
        <v>0</v>
      </c>
      <c r="BJ63" s="352" t="n">
        <f aca="false">IF(58&lt;5,0,IF(MAX(BE39:BJ39)&gt;BJ44+2+$B$18,1,0))</f>
        <v>0</v>
      </c>
      <c r="BK63" s="352" t="n">
        <f aca="false">IF(59&lt;5,0,IF(MAX(BF39:BK39)&gt;BK44+2+$B$18,1,0))</f>
        <v>0</v>
      </c>
      <c r="BL63" s="352" t="n">
        <f aca="false">IF(60&lt;5,0,IF(MAX(BG39:BL39)&gt;BL44+2+$B$18,1,0))</f>
        <v>0</v>
      </c>
      <c r="BM63" s="352" t="n">
        <f aca="false">IF(61&lt;5,0,IF(MAX(BH39:BM39)&gt;BM44+2+$B$18,1,0))</f>
        <v>0</v>
      </c>
      <c r="BN63" s="352" t="n">
        <f aca="false">IF(62&lt;5,0,IF(MAX(BI39:BN39)&gt;BN44+2+$B$18,1,0))</f>
        <v>0</v>
      </c>
      <c r="BO63" s="352" t="n">
        <f aca="false">IF(63&lt;5,0,IF(MAX(BJ39:BO39)&gt;BO44+2+$B$18,1,0))</f>
        <v>0</v>
      </c>
      <c r="BP63" s="352" t="n">
        <f aca="false">IF(64&lt;5,0,IF(MAX(BK39:BP39)&gt;BP44+2+$B$18,1,0))</f>
        <v>0</v>
      </c>
      <c r="BQ63" s="352" t="n">
        <f aca="false">IF(65&lt;5,0,IF(MAX(BL39:BQ39)&gt;BQ44+2+$B$18,1,0))</f>
        <v>0</v>
      </c>
      <c r="BR63" s="352" t="n">
        <f aca="false">IF(66&lt;5,0,IF(MAX(BM39:BR39)&gt;BR44+2+$B$18,1,0))</f>
        <v>0</v>
      </c>
      <c r="BS63" s="352" t="n">
        <f aca="false">IF(67&lt;5,0,IF(MAX(BN39:BS39)&gt;BS44+2+$B$18,1,0))</f>
        <v>0</v>
      </c>
      <c r="BT63" s="352" t="n">
        <f aca="false">IF(68&lt;5,0,IF(MAX(BO39:BT39)&gt;BT44+2+$B$18,1,0))</f>
        <v>0</v>
      </c>
      <c r="BU63" s="352" t="n">
        <f aca="false">IF(69&lt;5,0,IF(MAX(BP39:BU39)&gt;BU44+2+$B$18,1,0))</f>
        <v>0</v>
      </c>
      <c r="BV63" s="352" t="n">
        <f aca="false">IF(70&lt;5,0,IF(MAX(BQ39:BV39)&gt;BV44+2+$B$18,1,0))</f>
        <v>0</v>
      </c>
      <c r="BW63" s="352" t="n">
        <f aca="false">IF(71&lt;5,0,IF(MAX(BR39:BW39)&gt;BW44+2+$B$18,1,0))</f>
        <v>0</v>
      </c>
      <c r="BX63" s="352" t="n">
        <f aca="false">IF(72&lt;5,0,IF(MAX(BS39:BX39)&gt;BX44+2+$B$18,1,0))</f>
        <v>0</v>
      </c>
      <c r="BY63" s="352" t="n">
        <f aca="false">IF(73&lt;5,0,IF(MAX(BT39:BY39)&gt;BY44+2+$B$18,1,0))</f>
        <v>0</v>
      </c>
      <c r="BZ63" s="352" t="n">
        <f aca="false">IF(74&lt;5,0,IF(MAX(BU39:BZ39)&gt;BZ44+2+$B$18,1,0))</f>
        <v>0</v>
      </c>
      <c r="CA63" s="352" t="n">
        <f aca="false">IF(75&lt;5,0,IF(MAX(BV39:CA39)&gt;CA44+2+$B$18,1,0))</f>
        <v>0</v>
      </c>
      <c r="CB63" s="352" t="n">
        <f aca="false">IF(76&lt;5,0,IF(MAX(BW39:CB39)&gt;CB44+2+$B$18,1,0))</f>
        <v>0</v>
      </c>
      <c r="CC63" s="352" t="n">
        <f aca="false">IF(77&lt;5,0,IF(MAX(BX39:CC39)&gt;CC44+2+$B$18,1,0))</f>
        <v>0</v>
      </c>
      <c r="CD63" s="352" t="n">
        <f aca="false">IF(78&lt;5,0,IF(MAX(BY39:CD39)&gt;CD44+2+$B$18,1,0))</f>
        <v>0</v>
      </c>
      <c r="CE63" s="352" t="n">
        <f aca="false">IF(79&lt;5,0,IF(MAX(BZ39:CE39)&gt;CE44+2+$B$18,1,0))</f>
        <v>0</v>
      </c>
      <c r="CF63" s="352" t="n">
        <f aca="false">IF(80&lt;5,0,IF(MAX(CA39:CF39)&gt;CF44+2+$B$18,1,0))</f>
        <v>0</v>
      </c>
      <c r="CG63" s="352" t="n">
        <f aca="false">IF(81&lt;5,0,IF(MAX(CB39:CG39)&gt;CG44+2+$B$18,1,0))</f>
        <v>0</v>
      </c>
      <c r="CH63" s="352" t="n">
        <f aca="false">IF(82&lt;5,0,IF(MAX(CC39:CH39)&gt;CH44+2+$B$18,1,0))</f>
        <v>0</v>
      </c>
      <c r="CI63" s="352" t="n">
        <f aca="false">IF(83&lt;5,0,IF(MAX(CD39:CI39)&gt;CI44+2+$B$18,1,0))</f>
        <v>0</v>
      </c>
      <c r="CJ63" s="352" t="n">
        <f aca="false">IF(84&lt;5,0,IF(MAX(CE39:CJ39)&gt;CJ44+2+$B$18,1,0))</f>
        <v>0</v>
      </c>
      <c r="CK63" s="352" t="n">
        <f aca="false">IF(85&lt;5,0,IF(MAX(CF39:CK39)&gt;CK44+2+$B$18,1,0))</f>
        <v>0</v>
      </c>
      <c r="CL63" s="352" t="n">
        <f aca="false">IF(86&lt;5,0,IF(MAX(CG39:CL39)&gt;CL44+2+$B$18,1,0))</f>
        <v>0</v>
      </c>
      <c r="CM63" s="352" t="n">
        <f aca="false">IF(87&lt;5,0,IF(MAX(CH39:CM39)&gt;CM44+2+$B$18,1,0))</f>
        <v>0</v>
      </c>
      <c r="CN63" s="352" t="n">
        <f aca="false">IF(88&lt;5,0,IF(MAX(CI39:CN39)&gt;CN44+2+$B$18,1,0))</f>
        <v>0</v>
      </c>
      <c r="CO63" s="352" t="n">
        <f aca="false">IF(89&lt;5,0,IF(MAX(CJ39:CO39)&gt;CO44+2+$B$18,1,0))</f>
        <v>0</v>
      </c>
      <c r="CP63" s="352" t="n">
        <f aca="false">IF(90&lt;5,0,IF(MAX(CK39:CP39)&gt;CP44+2+$B$18,1,0))</f>
        <v>0</v>
      </c>
      <c r="CQ63" s="352" t="n">
        <f aca="false">IF(91&lt;5,0,IF(MAX(CL39:CQ39)&gt;CQ44+2+$B$18,1,0))</f>
        <v>0</v>
      </c>
      <c r="CR63" s="352" t="n">
        <f aca="false">IF(92&lt;5,0,IF(MAX(CM39:CR39)&gt;CR44+2+$B$18,1,0))</f>
        <v>0</v>
      </c>
      <c r="CS63" s="352" t="n">
        <f aca="false">IF(93&lt;5,0,IF(MAX(CN39:CS39)&gt;CS44+2+$B$18,1,0))</f>
        <v>0</v>
      </c>
      <c r="CT63" s="352" t="n">
        <f aca="false">IF(94&lt;5,0,IF(MAX(CO39:CT39)&gt;CT44+2+$B$18,1,0))</f>
        <v>0</v>
      </c>
      <c r="CU63" s="352" t="n">
        <f aca="false">IF(95&lt;5,0,IF(MAX(CP39:CU39)&gt;CU44+2+$B$18,1,0))</f>
        <v>0</v>
      </c>
      <c r="CV63" s="352" t="n">
        <f aca="false">IF(96&lt;5,0,IF(MAX(CQ39:CV39)&gt;CV44+2+$B$18,1,0))</f>
        <v>0</v>
      </c>
      <c r="CW63" s="352" t="n">
        <f aca="false">IF(97&lt;5,0,IF(MAX(CR39:CW39)&gt;CW44+2+$B$18,1,0))</f>
        <v>0</v>
      </c>
      <c r="CX63" s="352" t="n">
        <f aca="false">IF(98&lt;5,0,IF(MAX(CS39:CX39)&gt;CX44+2+$B$18,1,0))</f>
        <v>0</v>
      </c>
      <c r="CY63" s="352" t="n">
        <f aca="false">IF(99&lt;5,0,IF(MAX(CT39:CY39)&gt;CY44+2+$B$18,1,0))</f>
        <v>0</v>
      </c>
      <c r="CZ63" s="352" t="n">
        <f aca="false">IF(100&lt;5,0,IF(MAX(CU39:CZ39)&gt;CZ44+2+$B$18,1,0))</f>
        <v>0</v>
      </c>
      <c r="DA63" s="352" t="n">
        <f aca="false">IF(101&lt;5,0,IF(MAX(CV39:DA39)&gt;DA44+2+$B$18,1,0))</f>
        <v>0</v>
      </c>
      <c r="DB63" s="352" t="n">
        <f aca="false">IF(102&lt;5,0,IF(MAX(CW39:DB39)&gt;DB44+2+$B$18,1,0))</f>
        <v>0</v>
      </c>
      <c r="DC63" s="352" t="n">
        <f aca="false">IF(103&lt;5,0,IF(MAX(CX39:DC39)&gt;DC44+2+$B$18,1,0))</f>
        <v>0</v>
      </c>
      <c r="DD63" s="352" t="n">
        <f aca="false">IF(104&lt;5,0,IF(MAX(CY39:DD39)&gt;DD44+2+$B$18,1,0))</f>
        <v>0</v>
      </c>
      <c r="DE63" s="352" t="n">
        <f aca="false">IF(105&lt;5,0,IF(MAX(CZ39:DE39)&gt;DE44+2+$B$18,1,0))</f>
        <v>0</v>
      </c>
    </row>
    <row r="64" customFormat="false" ht="13.5" hidden="false" customHeight="true" outlineLevel="0" collapsed="false">
      <c r="A64" s="109" t="s">
        <v>1191</v>
      </c>
      <c r="B64" s="211" t="n">
        <f aca="false">$B$28</f>
        <v>130000</v>
      </c>
      <c r="E64" s="352" t="n">
        <f aca="false">IF(1&lt;5,0,IF(MAX(E39)&gt;E44+3+$B$18,1,0))</f>
        <v>0</v>
      </c>
      <c r="F64" s="352" t="n">
        <f aca="false">IF(2&lt;5,0,IF(MAX(E39:F39)&gt;F44+3+$B$18,1,0))</f>
        <v>0</v>
      </c>
      <c r="G64" s="352" t="n">
        <f aca="false">IF(3&lt;5,0,IF(MAX(E39:G39)&gt;G44+3+$B$18,1,0))</f>
        <v>0</v>
      </c>
      <c r="H64" s="352" t="n">
        <f aca="false">IF(4&lt;5,0,IF(MAX(E39:H39)&gt;H44+3+$B$18,1,0))</f>
        <v>0</v>
      </c>
      <c r="I64" s="352" t="n">
        <f aca="false">IF(5&lt;5,0,IF(MAX(E39:I39)&gt;I44+3+$B$18,1,0))</f>
        <v>0</v>
      </c>
      <c r="J64" s="352" t="n">
        <f aca="false">IF(6&lt;5,0,IF(MAX(E39:J39)&gt;J44+3+$B$18,1,0))</f>
        <v>0</v>
      </c>
      <c r="K64" s="352" t="n">
        <f aca="false">IF(7&lt;5,0,IF(MAX(F39:K39)&gt;K44+3+$B$18,1,0))</f>
        <v>0</v>
      </c>
      <c r="L64" s="352" t="n">
        <f aca="false">IF(8&lt;5,0,IF(MAX(G39:L39)&gt;L44+3+$B$18,1,0))</f>
        <v>0</v>
      </c>
      <c r="M64" s="352" t="n">
        <f aca="false">IF(9&lt;5,0,IF(MAX(H39:M39)&gt;M44+3+$B$18,1,0))</f>
        <v>0</v>
      </c>
      <c r="N64" s="352" t="n">
        <f aca="false">IF(10&lt;5,0,IF(MAX(I39:N39)&gt;N44+3+$B$18,1,0))</f>
        <v>0</v>
      </c>
      <c r="O64" s="352" t="n">
        <f aca="false">IF(11&lt;5,0,IF(MAX(J39:O39)&gt;O44+3+$B$18,1,0))</f>
        <v>0</v>
      </c>
      <c r="P64" s="352" t="n">
        <f aca="false">IF(12&lt;5,0,IF(MAX(K39:P39)&gt;P44+3+$B$18,1,0))</f>
        <v>0</v>
      </c>
      <c r="Q64" s="352" t="n">
        <f aca="false">IF(13&lt;5,0,IF(MAX(L39:Q39)&gt;Q44+3+$B$18,1,0))</f>
        <v>0</v>
      </c>
      <c r="R64" s="352" t="n">
        <f aca="false">IF(14&lt;5,0,IF(MAX(M39:R39)&gt;R44+3+$B$18,1,0))</f>
        <v>0</v>
      </c>
      <c r="S64" s="352" t="n">
        <f aca="false">IF(15&lt;5,0,IF(MAX(N39:S39)&gt;S44+3+$B$18,1,0))</f>
        <v>0</v>
      </c>
      <c r="T64" s="352" t="n">
        <f aca="false">IF(16&lt;5,0,IF(MAX(O39:T39)&gt;T44+3+$B$18,1,0))</f>
        <v>0</v>
      </c>
      <c r="U64" s="352" t="n">
        <f aca="false">IF(17&lt;5,0,IF(MAX(P39:U39)&gt;U44+3+$B$18,1,0))</f>
        <v>0</v>
      </c>
      <c r="V64" s="352" t="n">
        <f aca="false">IF(18&lt;5,0,IF(MAX(Q39:V39)&gt;V44+3+$B$18,1,0))</f>
        <v>0</v>
      </c>
      <c r="W64" s="352" t="n">
        <f aca="false">IF(19&lt;5,0,IF(MAX(R39:W39)&gt;W44+3+$B$18,1,0))</f>
        <v>0</v>
      </c>
      <c r="X64" s="352" t="n">
        <f aca="false">IF(20&lt;5,0,IF(MAX(S39:X39)&gt;X44+3+$B$18,1,0))</f>
        <v>0</v>
      </c>
      <c r="Y64" s="352" t="n">
        <f aca="false">IF(21&lt;5,0,IF(MAX(T39:Y39)&gt;Y44+3+$B$18,1,0))</f>
        <v>0</v>
      </c>
      <c r="Z64" s="352" t="n">
        <f aca="false">IF(22&lt;5,0,IF(MAX(U39:Z39)&gt;Z44+3+$B$18,1,0))</f>
        <v>0</v>
      </c>
      <c r="AA64" s="352" t="n">
        <f aca="false">IF(23&lt;5,0,IF(MAX(V39:AA39)&gt;AA44+3+$B$18,1,0))</f>
        <v>0</v>
      </c>
      <c r="AB64" s="352" t="n">
        <f aca="false">IF(24&lt;5,0,IF(MAX(W39:AB39)&gt;AB44+3+$B$18,1,0))</f>
        <v>0</v>
      </c>
      <c r="AC64" s="352" t="n">
        <f aca="false">IF(25&lt;5,0,IF(MAX(X39:AC39)&gt;AC44+3+$B$18,1,0))</f>
        <v>0</v>
      </c>
      <c r="AD64" s="352" t="n">
        <f aca="false">IF(26&lt;5,0,IF(MAX(Y39:AD39)&gt;AD44+3+$B$18,1,0))</f>
        <v>0</v>
      </c>
      <c r="AE64" s="352" t="n">
        <f aca="false">IF(27&lt;5,0,IF(MAX(Z39:AE39)&gt;AE44+3+$B$18,1,0))</f>
        <v>0</v>
      </c>
      <c r="AF64" s="352" t="n">
        <f aca="false">IF(28&lt;5,0,IF(MAX(AA39:AF39)&gt;AF44+3+$B$18,1,0))</f>
        <v>0</v>
      </c>
      <c r="AG64" s="352" t="n">
        <f aca="false">IF(29&lt;5,0,IF(MAX(AB39:AG39)&gt;AG44+3+$B$18,1,0))</f>
        <v>0</v>
      </c>
      <c r="AH64" s="352" t="n">
        <f aca="false">IF(30&lt;5,0,IF(MAX(AC39:AH39)&gt;AH44+3+$B$18,1,0))</f>
        <v>0</v>
      </c>
      <c r="AI64" s="352" t="n">
        <f aca="false">IF(31&lt;5,0,IF(MAX(AD39:AI39)&gt;AI44+3+$B$18,1,0))</f>
        <v>0</v>
      </c>
      <c r="AJ64" s="352" t="n">
        <f aca="false">IF(32&lt;5,0,IF(MAX(AE39:AJ39)&gt;AJ44+3+$B$18,1,0))</f>
        <v>0</v>
      </c>
      <c r="AK64" s="352" t="n">
        <f aca="false">IF(33&lt;5,0,IF(MAX(AF39:AK39)&gt;AK44+3+$B$18,1,0))</f>
        <v>0</v>
      </c>
      <c r="AL64" s="352" t="n">
        <f aca="false">IF(34&lt;5,0,IF(MAX(AG39:AL39)&gt;AL44+3+$B$18,1,0))</f>
        <v>0</v>
      </c>
      <c r="AM64" s="352" t="n">
        <f aca="false">IF(35&lt;5,0,IF(MAX(AH39:AM39)&gt;AM44+3+$B$18,1,0))</f>
        <v>0</v>
      </c>
      <c r="AN64" s="352" t="n">
        <f aca="false">IF(36&lt;5,0,IF(MAX(AI39:AN39)&gt;AN44+3+$B$18,1,0))</f>
        <v>0</v>
      </c>
      <c r="AO64" s="352" t="n">
        <f aca="false">IF(37&lt;5,0,IF(MAX(AJ39:AO39)&gt;AO44+3+$B$18,1,0))</f>
        <v>0</v>
      </c>
      <c r="AP64" s="352" t="n">
        <f aca="false">IF(38&lt;5,0,IF(MAX(AK39:AP39)&gt;AP44+3+$B$18,1,0))</f>
        <v>0</v>
      </c>
      <c r="AQ64" s="352" t="n">
        <f aca="false">IF(39&lt;5,0,IF(MAX(AL39:AQ39)&gt;AQ44+3+$B$18,1,0))</f>
        <v>0</v>
      </c>
      <c r="AR64" s="352" t="n">
        <f aca="false">IF(40&lt;5,0,IF(MAX(AM39:AR39)&gt;AR44+3+$B$18,1,0))</f>
        <v>0</v>
      </c>
      <c r="AS64" s="352" t="n">
        <f aca="false">IF(41&lt;5,0,IF(MAX(AN39:AS39)&gt;AS44+3+$B$18,1,0))</f>
        <v>0</v>
      </c>
      <c r="AT64" s="352" t="n">
        <f aca="false">IF(42&lt;5,0,IF(MAX(AO39:AT39)&gt;AT44+3+$B$18,1,0))</f>
        <v>0</v>
      </c>
      <c r="AU64" s="352" t="n">
        <f aca="false">IF(43&lt;5,0,IF(MAX(AP39:AU39)&gt;AU44+3+$B$18,1,0))</f>
        <v>0</v>
      </c>
      <c r="AV64" s="352" t="n">
        <f aca="false">IF(44&lt;5,0,IF(MAX(AQ39:AV39)&gt;AV44+3+$B$18,1,0))</f>
        <v>0</v>
      </c>
      <c r="AW64" s="352" t="n">
        <f aca="false">IF(45&lt;5,0,IF(MAX(AR39:AW39)&gt;AW44+3+$B$18,1,0))</f>
        <v>0</v>
      </c>
      <c r="AX64" s="352" t="n">
        <f aca="false">IF(46&lt;5,0,IF(MAX(AS39:AX39)&gt;AX44+3+$B$18,1,0))</f>
        <v>0</v>
      </c>
      <c r="AY64" s="352" t="n">
        <f aca="false">IF(47&lt;5,0,IF(MAX(AT39:AY39)&gt;AY44+3+$B$18,1,0))</f>
        <v>0</v>
      </c>
      <c r="AZ64" s="352" t="n">
        <f aca="false">IF(48&lt;5,0,IF(MAX(AU39:AZ39)&gt;AZ44+3+$B$18,1,0))</f>
        <v>0</v>
      </c>
      <c r="BA64" s="352" t="n">
        <f aca="false">IF(49&lt;5,0,IF(MAX(AV39:BA39)&gt;BA44+3+$B$18,1,0))</f>
        <v>0</v>
      </c>
      <c r="BB64" s="352" t="n">
        <f aca="false">IF(50&lt;5,0,IF(MAX(AW39:BB39)&gt;BB44+3+$B$18,1,0))</f>
        <v>0</v>
      </c>
      <c r="BC64" s="352" t="n">
        <f aca="false">IF(51&lt;5,0,IF(MAX(AX39:BC39)&gt;BC44+3+$B$18,1,0))</f>
        <v>0</v>
      </c>
      <c r="BD64" s="352" t="n">
        <f aca="false">IF(52&lt;5,0,IF(MAX(AY39:BD39)&gt;BD44+3+$B$18,1,0))</f>
        <v>0</v>
      </c>
      <c r="BE64" s="352" t="n">
        <f aca="false">IF(53&lt;5,0,IF(MAX(AZ39:BE39)&gt;BE44+3+$B$18,1,0))</f>
        <v>0</v>
      </c>
      <c r="BF64" s="352" t="n">
        <f aca="false">IF(54&lt;5,0,IF(MAX(BA39:BF39)&gt;BF44+3+$B$18,1,0))</f>
        <v>0</v>
      </c>
      <c r="BG64" s="352" t="n">
        <f aca="false">IF(55&lt;5,0,IF(MAX(BB39:BG39)&gt;BG44+3+$B$18,1,0))</f>
        <v>0</v>
      </c>
      <c r="BH64" s="352" t="n">
        <f aca="false">IF(56&lt;5,0,IF(MAX(BC39:BH39)&gt;BH44+3+$B$18,1,0))</f>
        <v>0</v>
      </c>
      <c r="BI64" s="352" t="n">
        <f aca="false">IF(57&lt;5,0,IF(MAX(BD39:BI39)&gt;BI44+3+$B$18,1,0))</f>
        <v>0</v>
      </c>
      <c r="BJ64" s="352" t="n">
        <f aca="false">IF(58&lt;5,0,IF(MAX(BE39:BJ39)&gt;BJ44+3+$B$18,1,0))</f>
        <v>0</v>
      </c>
      <c r="BK64" s="352" t="n">
        <f aca="false">IF(59&lt;5,0,IF(MAX(BF39:BK39)&gt;BK44+3+$B$18,1,0))</f>
        <v>0</v>
      </c>
      <c r="BL64" s="352" t="n">
        <f aca="false">IF(60&lt;5,0,IF(MAX(BG39:BL39)&gt;BL44+3+$B$18,1,0))</f>
        <v>0</v>
      </c>
      <c r="BM64" s="352" t="n">
        <f aca="false">IF(61&lt;5,0,IF(MAX(BH39:BM39)&gt;BM44+3+$B$18,1,0))</f>
        <v>0</v>
      </c>
      <c r="BN64" s="352" t="n">
        <f aca="false">IF(62&lt;5,0,IF(MAX(BI39:BN39)&gt;BN44+3+$B$18,1,0))</f>
        <v>0</v>
      </c>
      <c r="BO64" s="352" t="n">
        <f aca="false">IF(63&lt;5,0,IF(MAX(BJ39:BO39)&gt;BO44+3+$B$18,1,0))</f>
        <v>0</v>
      </c>
      <c r="BP64" s="352" t="n">
        <f aca="false">IF(64&lt;5,0,IF(MAX(BK39:BP39)&gt;BP44+3+$B$18,1,0))</f>
        <v>0</v>
      </c>
      <c r="BQ64" s="352" t="n">
        <f aca="false">IF(65&lt;5,0,IF(MAX(BL39:BQ39)&gt;BQ44+3+$B$18,1,0))</f>
        <v>0</v>
      </c>
      <c r="BR64" s="352" t="n">
        <f aca="false">IF(66&lt;5,0,IF(MAX(BM39:BR39)&gt;BR44+3+$B$18,1,0))</f>
        <v>0</v>
      </c>
      <c r="BS64" s="352" t="n">
        <f aca="false">IF(67&lt;5,0,IF(MAX(BN39:BS39)&gt;BS44+3+$B$18,1,0))</f>
        <v>0</v>
      </c>
      <c r="BT64" s="352" t="n">
        <f aca="false">IF(68&lt;5,0,IF(MAX(BO39:BT39)&gt;BT44+3+$B$18,1,0))</f>
        <v>0</v>
      </c>
      <c r="BU64" s="352" t="n">
        <f aca="false">IF(69&lt;5,0,IF(MAX(BP39:BU39)&gt;BU44+3+$B$18,1,0))</f>
        <v>0</v>
      </c>
      <c r="BV64" s="352" t="n">
        <f aca="false">IF(70&lt;5,0,IF(MAX(BQ39:BV39)&gt;BV44+3+$B$18,1,0))</f>
        <v>0</v>
      </c>
      <c r="BW64" s="352" t="n">
        <f aca="false">IF(71&lt;5,0,IF(MAX(BR39:BW39)&gt;BW44+3+$B$18,1,0))</f>
        <v>0</v>
      </c>
      <c r="BX64" s="352" t="n">
        <f aca="false">IF(72&lt;5,0,IF(MAX(BS39:BX39)&gt;BX44+3+$B$18,1,0))</f>
        <v>0</v>
      </c>
      <c r="BY64" s="352" t="n">
        <f aca="false">IF(73&lt;5,0,IF(MAX(BT39:BY39)&gt;BY44+3+$B$18,1,0))</f>
        <v>0</v>
      </c>
      <c r="BZ64" s="352" t="n">
        <f aca="false">IF(74&lt;5,0,IF(MAX(BU39:BZ39)&gt;BZ44+3+$B$18,1,0))</f>
        <v>0</v>
      </c>
      <c r="CA64" s="352" t="n">
        <f aca="false">IF(75&lt;5,0,IF(MAX(BV39:CA39)&gt;CA44+3+$B$18,1,0))</f>
        <v>0</v>
      </c>
      <c r="CB64" s="352" t="n">
        <f aca="false">IF(76&lt;5,0,IF(MAX(BW39:CB39)&gt;CB44+3+$B$18,1,0))</f>
        <v>0</v>
      </c>
      <c r="CC64" s="352" t="n">
        <f aca="false">IF(77&lt;5,0,IF(MAX(BX39:CC39)&gt;CC44+3+$B$18,1,0))</f>
        <v>0</v>
      </c>
      <c r="CD64" s="352" t="n">
        <f aca="false">IF(78&lt;5,0,IF(MAX(BY39:CD39)&gt;CD44+3+$B$18,1,0))</f>
        <v>0</v>
      </c>
      <c r="CE64" s="352" t="n">
        <f aca="false">IF(79&lt;5,0,IF(MAX(BZ39:CE39)&gt;CE44+3+$B$18,1,0))</f>
        <v>0</v>
      </c>
      <c r="CF64" s="352" t="n">
        <f aca="false">IF(80&lt;5,0,IF(MAX(CA39:CF39)&gt;CF44+3+$B$18,1,0))</f>
        <v>0</v>
      </c>
      <c r="CG64" s="352" t="n">
        <f aca="false">IF(81&lt;5,0,IF(MAX(CB39:CG39)&gt;CG44+3+$B$18,1,0))</f>
        <v>0</v>
      </c>
      <c r="CH64" s="352" t="n">
        <f aca="false">IF(82&lt;5,0,IF(MAX(CC39:CH39)&gt;CH44+3+$B$18,1,0))</f>
        <v>0</v>
      </c>
      <c r="CI64" s="352" t="n">
        <f aca="false">IF(83&lt;5,0,IF(MAX(CD39:CI39)&gt;CI44+3+$B$18,1,0))</f>
        <v>0</v>
      </c>
      <c r="CJ64" s="352" t="n">
        <f aca="false">IF(84&lt;5,0,IF(MAX(CE39:CJ39)&gt;CJ44+3+$B$18,1,0))</f>
        <v>0</v>
      </c>
      <c r="CK64" s="352" t="n">
        <f aca="false">IF(85&lt;5,0,IF(MAX(CF39:CK39)&gt;CK44+3+$B$18,1,0))</f>
        <v>0</v>
      </c>
      <c r="CL64" s="352" t="n">
        <f aca="false">IF(86&lt;5,0,IF(MAX(CG39:CL39)&gt;CL44+3+$B$18,1,0))</f>
        <v>0</v>
      </c>
      <c r="CM64" s="352" t="n">
        <f aca="false">IF(87&lt;5,0,IF(MAX(CH39:CM39)&gt;CM44+3+$B$18,1,0))</f>
        <v>0</v>
      </c>
      <c r="CN64" s="352" t="n">
        <f aca="false">IF(88&lt;5,0,IF(MAX(CI39:CN39)&gt;CN44+3+$B$18,1,0))</f>
        <v>0</v>
      </c>
      <c r="CO64" s="352" t="n">
        <f aca="false">IF(89&lt;5,0,IF(MAX(CJ39:CO39)&gt;CO44+3+$B$18,1,0))</f>
        <v>0</v>
      </c>
      <c r="CP64" s="352" t="n">
        <f aca="false">IF(90&lt;5,0,IF(MAX(CK39:CP39)&gt;CP44+3+$B$18,1,0))</f>
        <v>0</v>
      </c>
      <c r="CQ64" s="352" t="n">
        <f aca="false">IF(91&lt;5,0,IF(MAX(CL39:CQ39)&gt;CQ44+3+$B$18,1,0))</f>
        <v>0</v>
      </c>
      <c r="CR64" s="352" t="n">
        <f aca="false">IF(92&lt;5,0,IF(MAX(CM39:CR39)&gt;CR44+3+$B$18,1,0))</f>
        <v>0</v>
      </c>
      <c r="CS64" s="352" t="n">
        <f aca="false">IF(93&lt;5,0,IF(MAX(CN39:CS39)&gt;CS44+3+$B$18,1,0))</f>
        <v>0</v>
      </c>
      <c r="CT64" s="352" t="n">
        <f aca="false">IF(94&lt;5,0,IF(MAX(CO39:CT39)&gt;CT44+3+$B$18,1,0))</f>
        <v>0</v>
      </c>
      <c r="CU64" s="352" t="n">
        <f aca="false">IF(95&lt;5,0,IF(MAX(CP39:CU39)&gt;CU44+3+$B$18,1,0))</f>
        <v>0</v>
      </c>
      <c r="CV64" s="352" t="n">
        <f aca="false">IF(96&lt;5,0,IF(MAX(CQ39:CV39)&gt;CV44+3+$B$18,1,0))</f>
        <v>0</v>
      </c>
      <c r="CW64" s="352" t="n">
        <f aca="false">IF(97&lt;5,0,IF(MAX(CR39:CW39)&gt;CW44+3+$B$18,1,0))</f>
        <v>0</v>
      </c>
      <c r="CX64" s="352" t="n">
        <f aca="false">IF(98&lt;5,0,IF(MAX(CS39:CX39)&gt;CX44+3+$B$18,1,0))</f>
        <v>0</v>
      </c>
      <c r="CY64" s="352" t="n">
        <f aca="false">IF(99&lt;5,0,IF(MAX(CT39:CY39)&gt;CY44+3+$B$18,1,0))</f>
        <v>0</v>
      </c>
      <c r="CZ64" s="352" t="n">
        <f aca="false">IF(100&lt;5,0,IF(MAX(CU39:CZ39)&gt;CZ44+3+$B$18,1,0))</f>
        <v>0</v>
      </c>
      <c r="DA64" s="352" t="n">
        <f aca="false">IF(101&lt;5,0,IF(MAX(CV39:DA39)&gt;DA44+3+$B$18,1,0))</f>
        <v>0</v>
      </c>
      <c r="DB64" s="352" t="n">
        <f aca="false">IF(102&lt;5,0,IF(MAX(CW39:DB39)&gt;DB44+3+$B$18,1,0))</f>
        <v>0</v>
      </c>
      <c r="DC64" s="352" t="n">
        <f aca="false">IF(103&lt;5,0,IF(MAX(CX39:DC39)&gt;DC44+3+$B$18,1,0))</f>
        <v>0</v>
      </c>
      <c r="DD64" s="352" t="n">
        <f aca="false">IF(104&lt;5,0,IF(MAX(CY39:DD39)&gt;DD44+3+$B$18,1,0))</f>
        <v>0</v>
      </c>
      <c r="DE64" s="352" t="n">
        <f aca="false">IF(105&lt;5,0,IF(MAX(CZ39:DE39)&gt;DE44+3+$B$18,1,0))</f>
        <v>0</v>
      </c>
    </row>
    <row r="65" customFormat="false" ht="13.5" hidden="false" customHeight="true" outlineLevel="0" collapsed="false">
      <c r="A65" s="109" t="s">
        <v>1192</v>
      </c>
      <c r="B65" s="211" t="n">
        <f aca="false">$B$28</f>
        <v>130000</v>
      </c>
      <c r="E65" s="352" t="n">
        <f aca="false">IF(1&lt;5,0,IF(MAX(E39)&gt;E44+4+$B$18,1,0))</f>
        <v>0</v>
      </c>
      <c r="F65" s="352" t="n">
        <f aca="false">IF(2&lt;5,0,IF(MAX(E39:F39)&gt;F44+4+$B$18,1,0))</f>
        <v>0</v>
      </c>
      <c r="G65" s="352" t="n">
        <f aca="false">IF(3&lt;5,0,IF(MAX(E39:G39)&gt;G44+4+$B$18,1,0))</f>
        <v>0</v>
      </c>
      <c r="H65" s="352" t="n">
        <f aca="false">IF(4&lt;5,0,IF(MAX(E39:H39)&gt;H44+4+$B$18,1,0))</f>
        <v>0</v>
      </c>
      <c r="I65" s="352" t="n">
        <f aca="false">IF(5&lt;5,0,IF(MAX(E39:I39)&gt;I44+4+$B$18,1,0))</f>
        <v>0</v>
      </c>
      <c r="J65" s="352" t="n">
        <f aca="false">IF(6&lt;5,0,IF(MAX(E39:J39)&gt;J44+4+$B$18,1,0))</f>
        <v>0</v>
      </c>
      <c r="K65" s="352" t="n">
        <f aca="false">IF(7&lt;5,0,IF(MAX(F39:K39)&gt;K44+4+$B$18,1,0))</f>
        <v>0</v>
      </c>
      <c r="L65" s="352" t="n">
        <f aca="false">IF(8&lt;5,0,IF(MAX(G39:L39)&gt;L44+4+$B$18,1,0))</f>
        <v>0</v>
      </c>
      <c r="M65" s="352" t="n">
        <f aca="false">IF(9&lt;5,0,IF(MAX(H39:M39)&gt;M44+4+$B$18,1,0))</f>
        <v>0</v>
      </c>
      <c r="N65" s="352" t="n">
        <f aca="false">IF(10&lt;5,0,IF(MAX(I39:N39)&gt;N44+4+$B$18,1,0))</f>
        <v>0</v>
      </c>
      <c r="O65" s="352" t="n">
        <f aca="false">IF(11&lt;5,0,IF(MAX(J39:O39)&gt;O44+4+$B$18,1,0))</f>
        <v>0</v>
      </c>
      <c r="P65" s="352" t="n">
        <f aca="false">IF(12&lt;5,0,IF(MAX(K39:P39)&gt;P44+4+$B$18,1,0))</f>
        <v>0</v>
      </c>
      <c r="Q65" s="352" t="n">
        <f aca="false">IF(13&lt;5,0,IF(MAX(L39:Q39)&gt;Q44+4+$B$18,1,0))</f>
        <v>0</v>
      </c>
      <c r="R65" s="352" t="n">
        <f aca="false">IF(14&lt;5,0,IF(MAX(M39:R39)&gt;R44+4+$B$18,1,0))</f>
        <v>0</v>
      </c>
      <c r="S65" s="352" t="n">
        <f aca="false">IF(15&lt;5,0,IF(MAX(N39:S39)&gt;S44+4+$B$18,1,0))</f>
        <v>0</v>
      </c>
      <c r="T65" s="352" t="n">
        <f aca="false">IF(16&lt;5,0,IF(MAX(O39:T39)&gt;T44+4+$B$18,1,0))</f>
        <v>0</v>
      </c>
      <c r="U65" s="352" t="n">
        <f aca="false">IF(17&lt;5,0,IF(MAX(P39:U39)&gt;U44+4+$B$18,1,0))</f>
        <v>0</v>
      </c>
      <c r="V65" s="352" t="n">
        <f aca="false">IF(18&lt;5,0,IF(MAX(Q39:V39)&gt;V44+4+$B$18,1,0))</f>
        <v>0</v>
      </c>
      <c r="W65" s="352" t="n">
        <f aca="false">IF(19&lt;5,0,IF(MAX(R39:W39)&gt;W44+4+$B$18,1,0))</f>
        <v>0</v>
      </c>
      <c r="X65" s="352" t="n">
        <f aca="false">IF(20&lt;5,0,IF(MAX(S39:X39)&gt;X44+4+$B$18,1,0))</f>
        <v>0</v>
      </c>
      <c r="Y65" s="352" t="n">
        <f aca="false">IF(21&lt;5,0,IF(MAX(T39:Y39)&gt;Y44+4+$B$18,1,0))</f>
        <v>0</v>
      </c>
      <c r="Z65" s="352" t="n">
        <f aca="false">IF(22&lt;5,0,IF(MAX(U39:Z39)&gt;Z44+4+$B$18,1,0))</f>
        <v>0</v>
      </c>
      <c r="AA65" s="352" t="n">
        <f aca="false">IF(23&lt;5,0,IF(MAX(V39:AA39)&gt;AA44+4+$B$18,1,0))</f>
        <v>0</v>
      </c>
      <c r="AB65" s="352" t="n">
        <f aca="false">IF(24&lt;5,0,IF(MAX(W39:AB39)&gt;AB44+4+$B$18,1,0))</f>
        <v>0</v>
      </c>
      <c r="AC65" s="352" t="n">
        <f aca="false">IF(25&lt;5,0,IF(MAX(X39:AC39)&gt;AC44+4+$B$18,1,0))</f>
        <v>0</v>
      </c>
      <c r="AD65" s="352" t="n">
        <f aca="false">IF(26&lt;5,0,IF(MAX(Y39:AD39)&gt;AD44+4+$B$18,1,0))</f>
        <v>0</v>
      </c>
      <c r="AE65" s="352" t="n">
        <f aca="false">IF(27&lt;5,0,IF(MAX(Z39:AE39)&gt;AE44+4+$B$18,1,0))</f>
        <v>0</v>
      </c>
      <c r="AF65" s="352" t="n">
        <f aca="false">IF(28&lt;5,0,IF(MAX(AA39:AF39)&gt;AF44+4+$B$18,1,0))</f>
        <v>0</v>
      </c>
      <c r="AG65" s="352" t="n">
        <f aca="false">IF(29&lt;5,0,IF(MAX(AB39:AG39)&gt;AG44+4+$B$18,1,0))</f>
        <v>0</v>
      </c>
      <c r="AH65" s="352" t="n">
        <f aca="false">IF(30&lt;5,0,IF(MAX(AC39:AH39)&gt;AH44+4+$B$18,1,0))</f>
        <v>0</v>
      </c>
      <c r="AI65" s="352" t="n">
        <f aca="false">IF(31&lt;5,0,IF(MAX(AD39:AI39)&gt;AI44+4+$B$18,1,0))</f>
        <v>0</v>
      </c>
      <c r="AJ65" s="352" t="n">
        <f aca="false">IF(32&lt;5,0,IF(MAX(AE39:AJ39)&gt;AJ44+4+$B$18,1,0))</f>
        <v>0</v>
      </c>
      <c r="AK65" s="352" t="n">
        <f aca="false">IF(33&lt;5,0,IF(MAX(AF39:AK39)&gt;AK44+4+$B$18,1,0))</f>
        <v>0</v>
      </c>
      <c r="AL65" s="352" t="n">
        <f aca="false">IF(34&lt;5,0,IF(MAX(AG39:AL39)&gt;AL44+4+$B$18,1,0))</f>
        <v>0</v>
      </c>
      <c r="AM65" s="352" t="n">
        <f aca="false">IF(35&lt;5,0,IF(MAX(AH39:AM39)&gt;AM44+4+$B$18,1,0))</f>
        <v>0</v>
      </c>
      <c r="AN65" s="352" t="n">
        <f aca="false">IF(36&lt;5,0,IF(MAX(AI39:AN39)&gt;AN44+4+$B$18,1,0))</f>
        <v>0</v>
      </c>
      <c r="AO65" s="352" t="n">
        <f aca="false">IF(37&lt;5,0,IF(MAX(AJ39:AO39)&gt;AO44+4+$B$18,1,0))</f>
        <v>0</v>
      </c>
      <c r="AP65" s="352" t="n">
        <f aca="false">IF(38&lt;5,0,IF(MAX(AK39:AP39)&gt;AP44+4+$B$18,1,0))</f>
        <v>0</v>
      </c>
      <c r="AQ65" s="352" t="n">
        <f aca="false">IF(39&lt;5,0,IF(MAX(AL39:AQ39)&gt;AQ44+4+$B$18,1,0))</f>
        <v>0</v>
      </c>
      <c r="AR65" s="352" t="n">
        <f aca="false">IF(40&lt;5,0,IF(MAX(AM39:AR39)&gt;AR44+4+$B$18,1,0))</f>
        <v>0</v>
      </c>
      <c r="AS65" s="352" t="n">
        <f aca="false">IF(41&lt;5,0,IF(MAX(AN39:AS39)&gt;AS44+4+$B$18,1,0))</f>
        <v>0</v>
      </c>
      <c r="AT65" s="352" t="n">
        <f aca="false">IF(42&lt;5,0,IF(MAX(AO39:AT39)&gt;AT44+4+$B$18,1,0))</f>
        <v>0</v>
      </c>
      <c r="AU65" s="352" t="n">
        <f aca="false">IF(43&lt;5,0,IF(MAX(AP39:AU39)&gt;AU44+4+$B$18,1,0))</f>
        <v>0</v>
      </c>
      <c r="AV65" s="352" t="n">
        <f aca="false">IF(44&lt;5,0,IF(MAX(AQ39:AV39)&gt;AV44+4+$B$18,1,0))</f>
        <v>0</v>
      </c>
      <c r="AW65" s="352" t="n">
        <f aca="false">IF(45&lt;5,0,IF(MAX(AR39:AW39)&gt;AW44+4+$B$18,1,0))</f>
        <v>0</v>
      </c>
      <c r="AX65" s="352" t="n">
        <f aca="false">IF(46&lt;5,0,IF(MAX(AS39:AX39)&gt;AX44+4+$B$18,1,0))</f>
        <v>0</v>
      </c>
      <c r="AY65" s="352" t="n">
        <f aca="false">IF(47&lt;5,0,IF(MAX(AT39:AY39)&gt;AY44+4+$B$18,1,0))</f>
        <v>0</v>
      </c>
      <c r="AZ65" s="352" t="n">
        <f aca="false">IF(48&lt;5,0,IF(MAX(AU39:AZ39)&gt;AZ44+4+$B$18,1,0))</f>
        <v>0</v>
      </c>
      <c r="BA65" s="352" t="n">
        <f aca="false">IF(49&lt;5,0,IF(MAX(AV39:BA39)&gt;BA44+4+$B$18,1,0))</f>
        <v>0</v>
      </c>
      <c r="BB65" s="352" t="n">
        <f aca="false">IF(50&lt;5,0,IF(MAX(AW39:BB39)&gt;BB44+4+$B$18,1,0))</f>
        <v>0</v>
      </c>
      <c r="BC65" s="352" t="n">
        <f aca="false">IF(51&lt;5,0,IF(MAX(AX39:BC39)&gt;BC44+4+$B$18,1,0))</f>
        <v>0</v>
      </c>
      <c r="BD65" s="352" t="n">
        <f aca="false">IF(52&lt;5,0,IF(MAX(AY39:BD39)&gt;BD44+4+$B$18,1,0))</f>
        <v>0</v>
      </c>
      <c r="BE65" s="352" t="n">
        <f aca="false">IF(53&lt;5,0,IF(MAX(AZ39:BE39)&gt;BE44+4+$B$18,1,0))</f>
        <v>0</v>
      </c>
      <c r="BF65" s="352" t="n">
        <f aca="false">IF(54&lt;5,0,IF(MAX(BA39:BF39)&gt;BF44+4+$B$18,1,0))</f>
        <v>0</v>
      </c>
      <c r="BG65" s="352" t="n">
        <f aca="false">IF(55&lt;5,0,IF(MAX(BB39:BG39)&gt;BG44+4+$B$18,1,0))</f>
        <v>0</v>
      </c>
      <c r="BH65" s="352" t="n">
        <f aca="false">IF(56&lt;5,0,IF(MAX(BC39:BH39)&gt;BH44+4+$B$18,1,0))</f>
        <v>0</v>
      </c>
      <c r="BI65" s="352" t="n">
        <f aca="false">IF(57&lt;5,0,IF(MAX(BD39:BI39)&gt;BI44+4+$B$18,1,0))</f>
        <v>0</v>
      </c>
      <c r="BJ65" s="352" t="n">
        <f aca="false">IF(58&lt;5,0,IF(MAX(BE39:BJ39)&gt;BJ44+4+$B$18,1,0))</f>
        <v>0</v>
      </c>
      <c r="BK65" s="352" t="n">
        <f aca="false">IF(59&lt;5,0,IF(MAX(BF39:BK39)&gt;BK44+4+$B$18,1,0))</f>
        <v>0</v>
      </c>
      <c r="BL65" s="352" t="n">
        <f aca="false">IF(60&lt;5,0,IF(MAX(BG39:BL39)&gt;BL44+4+$B$18,1,0))</f>
        <v>0</v>
      </c>
      <c r="BM65" s="352" t="n">
        <f aca="false">IF(61&lt;5,0,IF(MAX(BH39:BM39)&gt;BM44+4+$B$18,1,0))</f>
        <v>0</v>
      </c>
      <c r="BN65" s="352" t="n">
        <f aca="false">IF(62&lt;5,0,IF(MAX(BI39:BN39)&gt;BN44+4+$B$18,1,0))</f>
        <v>0</v>
      </c>
      <c r="BO65" s="352" t="n">
        <f aca="false">IF(63&lt;5,0,IF(MAX(BJ39:BO39)&gt;BO44+4+$B$18,1,0))</f>
        <v>0</v>
      </c>
      <c r="BP65" s="352" t="n">
        <f aca="false">IF(64&lt;5,0,IF(MAX(BK39:BP39)&gt;BP44+4+$B$18,1,0))</f>
        <v>0</v>
      </c>
      <c r="BQ65" s="352" t="n">
        <f aca="false">IF(65&lt;5,0,IF(MAX(BL39:BQ39)&gt;BQ44+4+$B$18,1,0))</f>
        <v>0</v>
      </c>
      <c r="BR65" s="352" t="n">
        <f aca="false">IF(66&lt;5,0,IF(MAX(BM39:BR39)&gt;BR44+4+$B$18,1,0))</f>
        <v>0</v>
      </c>
      <c r="BS65" s="352" t="n">
        <f aca="false">IF(67&lt;5,0,IF(MAX(BN39:BS39)&gt;BS44+4+$B$18,1,0))</f>
        <v>0</v>
      </c>
      <c r="BT65" s="352" t="n">
        <f aca="false">IF(68&lt;5,0,IF(MAX(BO39:BT39)&gt;BT44+4+$B$18,1,0))</f>
        <v>0</v>
      </c>
      <c r="BU65" s="352" t="n">
        <f aca="false">IF(69&lt;5,0,IF(MAX(BP39:BU39)&gt;BU44+4+$B$18,1,0))</f>
        <v>0</v>
      </c>
      <c r="BV65" s="352" t="n">
        <f aca="false">IF(70&lt;5,0,IF(MAX(BQ39:BV39)&gt;BV44+4+$B$18,1,0))</f>
        <v>0</v>
      </c>
      <c r="BW65" s="352" t="n">
        <f aca="false">IF(71&lt;5,0,IF(MAX(BR39:BW39)&gt;BW44+4+$B$18,1,0))</f>
        <v>0</v>
      </c>
      <c r="BX65" s="352" t="n">
        <f aca="false">IF(72&lt;5,0,IF(MAX(BS39:BX39)&gt;BX44+4+$B$18,1,0))</f>
        <v>0</v>
      </c>
      <c r="BY65" s="352" t="n">
        <f aca="false">IF(73&lt;5,0,IF(MAX(BT39:BY39)&gt;BY44+4+$B$18,1,0))</f>
        <v>0</v>
      </c>
      <c r="BZ65" s="352" t="n">
        <f aca="false">IF(74&lt;5,0,IF(MAX(BU39:BZ39)&gt;BZ44+4+$B$18,1,0))</f>
        <v>0</v>
      </c>
      <c r="CA65" s="352" t="n">
        <f aca="false">IF(75&lt;5,0,IF(MAX(BV39:CA39)&gt;CA44+4+$B$18,1,0))</f>
        <v>0</v>
      </c>
      <c r="CB65" s="352" t="n">
        <f aca="false">IF(76&lt;5,0,IF(MAX(BW39:CB39)&gt;CB44+4+$B$18,1,0))</f>
        <v>0</v>
      </c>
      <c r="CC65" s="352" t="n">
        <f aca="false">IF(77&lt;5,0,IF(MAX(BX39:CC39)&gt;CC44+4+$B$18,1,0))</f>
        <v>0</v>
      </c>
      <c r="CD65" s="352" t="n">
        <f aca="false">IF(78&lt;5,0,IF(MAX(BY39:CD39)&gt;CD44+4+$B$18,1,0))</f>
        <v>0</v>
      </c>
      <c r="CE65" s="352" t="n">
        <f aca="false">IF(79&lt;5,0,IF(MAX(BZ39:CE39)&gt;CE44+4+$B$18,1,0))</f>
        <v>0</v>
      </c>
      <c r="CF65" s="352" t="n">
        <f aca="false">IF(80&lt;5,0,IF(MAX(CA39:CF39)&gt;CF44+4+$B$18,1,0))</f>
        <v>0</v>
      </c>
      <c r="CG65" s="352" t="n">
        <f aca="false">IF(81&lt;5,0,IF(MAX(CB39:CG39)&gt;CG44+4+$B$18,1,0))</f>
        <v>0</v>
      </c>
      <c r="CH65" s="352" t="n">
        <f aca="false">IF(82&lt;5,0,IF(MAX(CC39:CH39)&gt;CH44+4+$B$18,1,0))</f>
        <v>0</v>
      </c>
      <c r="CI65" s="352" t="n">
        <f aca="false">IF(83&lt;5,0,IF(MAX(CD39:CI39)&gt;CI44+4+$B$18,1,0))</f>
        <v>0</v>
      </c>
      <c r="CJ65" s="352" t="n">
        <f aca="false">IF(84&lt;5,0,IF(MAX(CE39:CJ39)&gt;CJ44+4+$B$18,1,0))</f>
        <v>0</v>
      </c>
      <c r="CK65" s="352" t="n">
        <f aca="false">IF(85&lt;5,0,IF(MAX(CF39:CK39)&gt;CK44+4+$B$18,1,0))</f>
        <v>0</v>
      </c>
      <c r="CL65" s="352" t="n">
        <f aca="false">IF(86&lt;5,0,IF(MAX(CG39:CL39)&gt;CL44+4+$B$18,1,0))</f>
        <v>0</v>
      </c>
      <c r="CM65" s="352" t="n">
        <f aca="false">IF(87&lt;5,0,IF(MAX(CH39:CM39)&gt;CM44+4+$B$18,1,0))</f>
        <v>0</v>
      </c>
      <c r="CN65" s="352" t="n">
        <f aca="false">IF(88&lt;5,0,IF(MAX(CI39:CN39)&gt;CN44+4+$B$18,1,0))</f>
        <v>0</v>
      </c>
      <c r="CO65" s="352" t="n">
        <f aca="false">IF(89&lt;5,0,IF(MAX(CJ39:CO39)&gt;CO44+4+$B$18,1,0))</f>
        <v>0</v>
      </c>
      <c r="CP65" s="352" t="n">
        <f aca="false">IF(90&lt;5,0,IF(MAX(CK39:CP39)&gt;CP44+4+$B$18,1,0))</f>
        <v>0</v>
      </c>
      <c r="CQ65" s="352" t="n">
        <f aca="false">IF(91&lt;5,0,IF(MAX(CL39:CQ39)&gt;CQ44+4+$B$18,1,0))</f>
        <v>0</v>
      </c>
      <c r="CR65" s="352" t="n">
        <f aca="false">IF(92&lt;5,0,IF(MAX(CM39:CR39)&gt;CR44+4+$B$18,1,0))</f>
        <v>0</v>
      </c>
      <c r="CS65" s="352" t="n">
        <f aca="false">IF(93&lt;5,0,IF(MAX(CN39:CS39)&gt;CS44+4+$B$18,1,0))</f>
        <v>0</v>
      </c>
      <c r="CT65" s="352" t="n">
        <f aca="false">IF(94&lt;5,0,IF(MAX(CO39:CT39)&gt;CT44+4+$B$18,1,0))</f>
        <v>0</v>
      </c>
      <c r="CU65" s="352" t="n">
        <f aca="false">IF(95&lt;5,0,IF(MAX(CP39:CU39)&gt;CU44+4+$B$18,1,0))</f>
        <v>0</v>
      </c>
      <c r="CV65" s="352" t="n">
        <f aca="false">IF(96&lt;5,0,IF(MAX(CQ39:CV39)&gt;CV44+4+$B$18,1,0))</f>
        <v>0</v>
      </c>
      <c r="CW65" s="352" t="n">
        <f aca="false">IF(97&lt;5,0,IF(MAX(CR39:CW39)&gt;CW44+4+$B$18,1,0))</f>
        <v>0</v>
      </c>
      <c r="CX65" s="352" t="n">
        <f aca="false">IF(98&lt;5,0,IF(MAX(CS39:CX39)&gt;CX44+4+$B$18,1,0))</f>
        <v>0</v>
      </c>
      <c r="CY65" s="352" t="n">
        <f aca="false">IF(99&lt;5,0,IF(MAX(CT39:CY39)&gt;CY44+4+$B$18,1,0))</f>
        <v>0</v>
      </c>
      <c r="CZ65" s="352" t="n">
        <f aca="false">IF(100&lt;5,0,IF(MAX(CU39:CZ39)&gt;CZ44+4+$B$18,1,0))</f>
        <v>0</v>
      </c>
      <c r="DA65" s="352" t="n">
        <f aca="false">IF(101&lt;5,0,IF(MAX(CV39:DA39)&gt;DA44+4+$B$18,1,0))</f>
        <v>0</v>
      </c>
      <c r="DB65" s="352" t="n">
        <f aca="false">IF(102&lt;5,0,IF(MAX(CW39:DB39)&gt;DB44+4+$B$18,1,0))</f>
        <v>0</v>
      </c>
      <c r="DC65" s="352" t="n">
        <f aca="false">IF(103&lt;5,0,IF(MAX(CX39:DC39)&gt;DC44+4+$B$18,1,0))</f>
        <v>0</v>
      </c>
      <c r="DD65" s="352" t="n">
        <f aca="false">IF(104&lt;5,0,IF(MAX(CY39:DD39)&gt;DD44+4+$B$18,1,0))</f>
        <v>0</v>
      </c>
      <c r="DE65" s="352" t="n">
        <f aca="false">IF(105&lt;5,0,IF(MAX(CZ39:DE39)&gt;DE44+4+$B$18,1,0))</f>
        <v>0</v>
      </c>
    </row>
    <row r="66" customFormat="false" ht="13.5" hidden="false" customHeight="true" outlineLevel="0" collapsed="false">
      <c r="A66" s="109" t="s">
        <v>1193</v>
      </c>
      <c r="B66" s="211" t="n">
        <f aca="false">$B$28</f>
        <v>130000</v>
      </c>
      <c r="E66" s="352" t="n">
        <f aca="false">IF(1&lt;5,0,IF(MAX(E39)&gt;E44+5+$B$18,1,0))</f>
        <v>0</v>
      </c>
      <c r="F66" s="352" t="n">
        <f aca="false">IF(2&lt;5,0,IF(MAX(E39:F39)&gt;F44+5+$B$18,1,0))</f>
        <v>0</v>
      </c>
      <c r="G66" s="352" t="n">
        <f aca="false">IF(3&lt;5,0,IF(MAX(E39:G39)&gt;G44+5+$B$18,1,0))</f>
        <v>0</v>
      </c>
      <c r="H66" s="352" t="n">
        <f aca="false">IF(4&lt;5,0,IF(MAX(E39:H39)&gt;H44+5+$B$18,1,0))</f>
        <v>0</v>
      </c>
      <c r="I66" s="352" t="n">
        <f aca="false">IF(5&lt;5,0,IF(MAX(E39:I39)&gt;I44+5+$B$18,1,0))</f>
        <v>0</v>
      </c>
      <c r="J66" s="352" t="n">
        <f aca="false">IF(6&lt;5,0,IF(MAX(E39:J39)&gt;J44+5+$B$18,1,0))</f>
        <v>0</v>
      </c>
      <c r="K66" s="352" t="n">
        <f aca="false">IF(7&lt;5,0,IF(MAX(F39:K39)&gt;K44+5+$B$18,1,0))</f>
        <v>0</v>
      </c>
      <c r="L66" s="352" t="n">
        <f aca="false">IF(8&lt;5,0,IF(MAX(G39:L39)&gt;L44+5+$B$18,1,0))</f>
        <v>0</v>
      </c>
      <c r="M66" s="352" t="n">
        <f aca="false">IF(9&lt;5,0,IF(MAX(H39:M39)&gt;M44+5+$B$18,1,0))</f>
        <v>0</v>
      </c>
      <c r="N66" s="352" t="n">
        <f aca="false">IF(10&lt;5,0,IF(MAX(I39:N39)&gt;N44+5+$B$18,1,0))</f>
        <v>0</v>
      </c>
      <c r="O66" s="352" t="n">
        <f aca="false">IF(11&lt;5,0,IF(MAX(J39:O39)&gt;O44+5+$B$18,1,0))</f>
        <v>0</v>
      </c>
      <c r="P66" s="352" t="n">
        <f aca="false">IF(12&lt;5,0,IF(MAX(K39:P39)&gt;P44+5+$B$18,1,0))</f>
        <v>0</v>
      </c>
      <c r="Q66" s="352" t="n">
        <f aca="false">IF(13&lt;5,0,IF(MAX(L39:Q39)&gt;Q44+5+$B$18,1,0))</f>
        <v>0</v>
      </c>
      <c r="R66" s="352" t="n">
        <f aca="false">IF(14&lt;5,0,IF(MAX(M39:R39)&gt;R44+5+$B$18,1,0))</f>
        <v>0</v>
      </c>
      <c r="S66" s="352" t="n">
        <f aca="false">IF(15&lt;5,0,IF(MAX(N39:S39)&gt;S44+5+$B$18,1,0))</f>
        <v>0</v>
      </c>
      <c r="T66" s="352" t="n">
        <f aca="false">IF(16&lt;5,0,IF(MAX(O39:T39)&gt;T44+5+$B$18,1,0))</f>
        <v>0</v>
      </c>
      <c r="U66" s="352" t="n">
        <f aca="false">IF(17&lt;5,0,IF(MAX(P39:U39)&gt;U44+5+$B$18,1,0))</f>
        <v>0</v>
      </c>
      <c r="V66" s="352" t="n">
        <f aca="false">IF(18&lt;5,0,IF(MAX(Q39:V39)&gt;V44+5+$B$18,1,0))</f>
        <v>0</v>
      </c>
      <c r="W66" s="352" t="n">
        <f aca="false">IF(19&lt;5,0,IF(MAX(R39:W39)&gt;W44+5+$B$18,1,0))</f>
        <v>0</v>
      </c>
      <c r="X66" s="352" t="n">
        <f aca="false">IF(20&lt;5,0,IF(MAX(S39:X39)&gt;X44+5+$B$18,1,0))</f>
        <v>0</v>
      </c>
      <c r="Y66" s="352" t="n">
        <f aca="false">IF(21&lt;5,0,IF(MAX(T39:Y39)&gt;Y44+5+$B$18,1,0))</f>
        <v>0</v>
      </c>
      <c r="Z66" s="352" t="n">
        <f aca="false">IF(22&lt;5,0,IF(MAX(U39:Z39)&gt;Z44+5+$B$18,1,0))</f>
        <v>0</v>
      </c>
      <c r="AA66" s="352" t="n">
        <f aca="false">IF(23&lt;5,0,IF(MAX(V39:AA39)&gt;AA44+5+$B$18,1,0))</f>
        <v>0</v>
      </c>
      <c r="AB66" s="352" t="n">
        <f aca="false">IF(24&lt;5,0,IF(MAX(W39:AB39)&gt;AB44+5+$B$18,1,0))</f>
        <v>0</v>
      </c>
      <c r="AC66" s="352" t="n">
        <f aca="false">IF(25&lt;5,0,IF(MAX(X39:AC39)&gt;AC44+5+$B$18,1,0))</f>
        <v>0</v>
      </c>
      <c r="AD66" s="352" t="n">
        <f aca="false">IF(26&lt;5,0,IF(MAX(Y39:AD39)&gt;AD44+5+$B$18,1,0))</f>
        <v>0</v>
      </c>
      <c r="AE66" s="352" t="n">
        <f aca="false">IF(27&lt;5,0,IF(MAX(Z39:AE39)&gt;AE44+5+$B$18,1,0))</f>
        <v>0</v>
      </c>
      <c r="AF66" s="352" t="n">
        <f aca="false">IF(28&lt;5,0,IF(MAX(AA39:AF39)&gt;AF44+5+$B$18,1,0))</f>
        <v>0</v>
      </c>
      <c r="AG66" s="352" t="n">
        <f aca="false">IF(29&lt;5,0,IF(MAX(AB39:AG39)&gt;AG44+5+$B$18,1,0))</f>
        <v>0</v>
      </c>
      <c r="AH66" s="352" t="n">
        <f aca="false">IF(30&lt;5,0,IF(MAX(AC39:AH39)&gt;AH44+5+$B$18,1,0))</f>
        <v>0</v>
      </c>
      <c r="AI66" s="352" t="n">
        <f aca="false">IF(31&lt;5,0,IF(MAX(AD39:AI39)&gt;AI44+5+$B$18,1,0))</f>
        <v>0</v>
      </c>
      <c r="AJ66" s="352" t="n">
        <f aca="false">IF(32&lt;5,0,IF(MAX(AE39:AJ39)&gt;AJ44+5+$B$18,1,0))</f>
        <v>0</v>
      </c>
      <c r="AK66" s="352" t="n">
        <f aca="false">IF(33&lt;5,0,IF(MAX(AF39:AK39)&gt;AK44+5+$B$18,1,0))</f>
        <v>0</v>
      </c>
      <c r="AL66" s="352" t="n">
        <f aca="false">IF(34&lt;5,0,IF(MAX(AG39:AL39)&gt;AL44+5+$B$18,1,0))</f>
        <v>0</v>
      </c>
      <c r="AM66" s="352" t="n">
        <f aca="false">IF(35&lt;5,0,IF(MAX(AH39:AM39)&gt;AM44+5+$B$18,1,0))</f>
        <v>0</v>
      </c>
      <c r="AN66" s="352" t="n">
        <f aca="false">IF(36&lt;5,0,IF(MAX(AI39:AN39)&gt;AN44+5+$B$18,1,0))</f>
        <v>0</v>
      </c>
      <c r="AO66" s="352" t="n">
        <f aca="false">IF(37&lt;5,0,IF(MAX(AJ39:AO39)&gt;AO44+5+$B$18,1,0))</f>
        <v>0</v>
      </c>
      <c r="AP66" s="352" t="n">
        <f aca="false">IF(38&lt;5,0,IF(MAX(AK39:AP39)&gt;AP44+5+$B$18,1,0))</f>
        <v>0</v>
      </c>
      <c r="AQ66" s="352" t="n">
        <f aca="false">IF(39&lt;5,0,IF(MAX(AL39:AQ39)&gt;AQ44+5+$B$18,1,0))</f>
        <v>0</v>
      </c>
      <c r="AR66" s="352" t="n">
        <f aca="false">IF(40&lt;5,0,IF(MAX(AM39:AR39)&gt;AR44+5+$B$18,1,0))</f>
        <v>0</v>
      </c>
      <c r="AS66" s="352" t="n">
        <f aca="false">IF(41&lt;5,0,IF(MAX(AN39:AS39)&gt;AS44+5+$B$18,1,0))</f>
        <v>0</v>
      </c>
      <c r="AT66" s="352" t="n">
        <f aca="false">IF(42&lt;5,0,IF(MAX(AO39:AT39)&gt;AT44+5+$B$18,1,0))</f>
        <v>0</v>
      </c>
      <c r="AU66" s="352" t="n">
        <f aca="false">IF(43&lt;5,0,IF(MAX(AP39:AU39)&gt;AU44+5+$B$18,1,0))</f>
        <v>0</v>
      </c>
      <c r="AV66" s="352" t="n">
        <f aca="false">IF(44&lt;5,0,IF(MAX(AQ39:AV39)&gt;AV44+5+$B$18,1,0))</f>
        <v>0</v>
      </c>
      <c r="AW66" s="352" t="n">
        <f aca="false">IF(45&lt;5,0,IF(MAX(AR39:AW39)&gt;AW44+5+$B$18,1,0))</f>
        <v>0</v>
      </c>
      <c r="AX66" s="352" t="n">
        <f aca="false">IF(46&lt;5,0,IF(MAX(AS39:AX39)&gt;AX44+5+$B$18,1,0))</f>
        <v>0</v>
      </c>
      <c r="AY66" s="352" t="n">
        <f aca="false">IF(47&lt;5,0,IF(MAX(AT39:AY39)&gt;AY44+5+$B$18,1,0))</f>
        <v>0</v>
      </c>
      <c r="AZ66" s="352" t="n">
        <f aca="false">IF(48&lt;5,0,IF(MAX(AU39:AZ39)&gt;AZ44+5+$B$18,1,0))</f>
        <v>0</v>
      </c>
      <c r="BA66" s="352" t="n">
        <f aca="false">IF(49&lt;5,0,IF(MAX(AV39:BA39)&gt;BA44+5+$B$18,1,0))</f>
        <v>0</v>
      </c>
      <c r="BB66" s="352" t="n">
        <f aca="false">IF(50&lt;5,0,IF(MAX(AW39:BB39)&gt;BB44+5+$B$18,1,0))</f>
        <v>0</v>
      </c>
      <c r="BC66" s="352" t="n">
        <f aca="false">IF(51&lt;5,0,IF(MAX(AX39:BC39)&gt;BC44+5+$B$18,1,0))</f>
        <v>0</v>
      </c>
      <c r="BD66" s="352" t="n">
        <f aca="false">IF(52&lt;5,0,IF(MAX(AY39:BD39)&gt;BD44+5+$B$18,1,0))</f>
        <v>0</v>
      </c>
      <c r="BE66" s="352" t="n">
        <f aca="false">IF(53&lt;5,0,IF(MAX(AZ39:BE39)&gt;BE44+5+$B$18,1,0))</f>
        <v>0</v>
      </c>
      <c r="BF66" s="352" t="n">
        <f aca="false">IF(54&lt;5,0,IF(MAX(BA39:BF39)&gt;BF44+5+$B$18,1,0))</f>
        <v>0</v>
      </c>
      <c r="BG66" s="352" t="n">
        <f aca="false">IF(55&lt;5,0,IF(MAX(BB39:BG39)&gt;BG44+5+$B$18,1,0))</f>
        <v>0</v>
      </c>
      <c r="BH66" s="352" t="n">
        <f aca="false">IF(56&lt;5,0,IF(MAX(BC39:BH39)&gt;BH44+5+$B$18,1,0))</f>
        <v>0</v>
      </c>
      <c r="BI66" s="352" t="n">
        <f aca="false">IF(57&lt;5,0,IF(MAX(BD39:BI39)&gt;BI44+5+$B$18,1,0))</f>
        <v>0</v>
      </c>
      <c r="BJ66" s="352" t="n">
        <f aca="false">IF(58&lt;5,0,IF(MAX(BE39:BJ39)&gt;BJ44+5+$B$18,1,0))</f>
        <v>0</v>
      </c>
      <c r="BK66" s="352" t="n">
        <f aca="false">IF(59&lt;5,0,IF(MAX(BF39:BK39)&gt;BK44+5+$B$18,1,0))</f>
        <v>0</v>
      </c>
      <c r="BL66" s="352" t="n">
        <f aca="false">IF(60&lt;5,0,IF(MAX(BG39:BL39)&gt;BL44+5+$B$18,1,0))</f>
        <v>0</v>
      </c>
      <c r="BM66" s="352" t="n">
        <f aca="false">IF(61&lt;5,0,IF(MAX(BH39:BM39)&gt;BM44+5+$B$18,1,0))</f>
        <v>0</v>
      </c>
      <c r="BN66" s="352" t="n">
        <f aca="false">IF(62&lt;5,0,IF(MAX(BI39:BN39)&gt;BN44+5+$B$18,1,0))</f>
        <v>0</v>
      </c>
      <c r="BO66" s="352" t="n">
        <f aca="false">IF(63&lt;5,0,IF(MAX(BJ39:BO39)&gt;BO44+5+$B$18,1,0))</f>
        <v>0</v>
      </c>
      <c r="BP66" s="352" t="n">
        <f aca="false">IF(64&lt;5,0,IF(MAX(BK39:BP39)&gt;BP44+5+$B$18,1,0))</f>
        <v>0</v>
      </c>
      <c r="BQ66" s="352" t="n">
        <f aca="false">IF(65&lt;5,0,IF(MAX(BL39:BQ39)&gt;BQ44+5+$B$18,1,0))</f>
        <v>0</v>
      </c>
      <c r="BR66" s="352" t="n">
        <f aca="false">IF(66&lt;5,0,IF(MAX(BM39:BR39)&gt;BR44+5+$B$18,1,0))</f>
        <v>0</v>
      </c>
      <c r="BS66" s="352" t="n">
        <f aca="false">IF(67&lt;5,0,IF(MAX(BN39:BS39)&gt;BS44+5+$B$18,1,0))</f>
        <v>0</v>
      </c>
      <c r="BT66" s="352" t="n">
        <f aca="false">IF(68&lt;5,0,IF(MAX(BO39:BT39)&gt;BT44+5+$B$18,1,0))</f>
        <v>0</v>
      </c>
      <c r="BU66" s="352" t="n">
        <f aca="false">IF(69&lt;5,0,IF(MAX(BP39:BU39)&gt;BU44+5+$B$18,1,0))</f>
        <v>0</v>
      </c>
      <c r="BV66" s="352" t="n">
        <f aca="false">IF(70&lt;5,0,IF(MAX(BQ39:BV39)&gt;BV44+5+$B$18,1,0))</f>
        <v>0</v>
      </c>
      <c r="BW66" s="352" t="n">
        <f aca="false">IF(71&lt;5,0,IF(MAX(BR39:BW39)&gt;BW44+5+$B$18,1,0))</f>
        <v>0</v>
      </c>
      <c r="BX66" s="352" t="n">
        <f aca="false">IF(72&lt;5,0,IF(MAX(BS39:BX39)&gt;BX44+5+$B$18,1,0))</f>
        <v>0</v>
      </c>
      <c r="BY66" s="352" t="n">
        <f aca="false">IF(73&lt;5,0,IF(MAX(BT39:BY39)&gt;BY44+5+$B$18,1,0))</f>
        <v>0</v>
      </c>
      <c r="BZ66" s="352" t="n">
        <f aca="false">IF(74&lt;5,0,IF(MAX(BU39:BZ39)&gt;BZ44+5+$B$18,1,0))</f>
        <v>0</v>
      </c>
      <c r="CA66" s="352" t="n">
        <f aca="false">IF(75&lt;5,0,IF(MAX(BV39:CA39)&gt;CA44+5+$B$18,1,0))</f>
        <v>0</v>
      </c>
      <c r="CB66" s="352" t="n">
        <f aca="false">IF(76&lt;5,0,IF(MAX(BW39:CB39)&gt;CB44+5+$B$18,1,0))</f>
        <v>0</v>
      </c>
      <c r="CC66" s="352" t="n">
        <f aca="false">IF(77&lt;5,0,IF(MAX(BX39:CC39)&gt;CC44+5+$B$18,1,0))</f>
        <v>0</v>
      </c>
      <c r="CD66" s="352" t="n">
        <f aca="false">IF(78&lt;5,0,IF(MAX(BY39:CD39)&gt;CD44+5+$B$18,1,0))</f>
        <v>0</v>
      </c>
      <c r="CE66" s="352" t="n">
        <f aca="false">IF(79&lt;5,0,IF(MAX(BZ39:CE39)&gt;CE44+5+$B$18,1,0))</f>
        <v>0</v>
      </c>
      <c r="CF66" s="352" t="n">
        <f aca="false">IF(80&lt;5,0,IF(MAX(CA39:CF39)&gt;CF44+5+$B$18,1,0))</f>
        <v>0</v>
      </c>
      <c r="CG66" s="352" t="n">
        <f aca="false">IF(81&lt;5,0,IF(MAX(CB39:CG39)&gt;CG44+5+$B$18,1,0))</f>
        <v>0</v>
      </c>
      <c r="CH66" s="352" t="n">
        <f aca="false">IF(82&lt;5,0,IF(MAX(CC39:CH39)&gt;CH44+5+$B$18,1,0))</f>
        <v>0</v>
      </c>
      <c r="CI66" s="352" t="n">
        <f aca="false">IF(83&lt;5,0,IF(MAX(CD39:CI39)&gt;CI44+5+$B$18,1,0))</f>
        <v>0</v>
      </c>
      <c r="CJ66" s="352" t="n">
        <f aca="false">IF(84&lt;5,0,IF(MAX(CE39:CJ39)&gt;CJ44+5+$B$18,1,0))</f>
        <v>0</v>
      </c>
      <c r="CK66" s="352" t="n">
        <f aca="false">IF(85&lt;5,0,IF(MAX(CF39:CK39)&gt;CK44+5+$B$18,1,0))</f>
        <v>0</v>
      </c>
      <c r="CL66" s="352" t="n">
        <f aca="false">IF(86&lt;5,0,IF(MAX(CG39:CL39)&gt;CL44+5+$B$18,1,0))</f>
        <v>0</v>
      </c>
      <c r="CM66" s="352" t="n">
        <f aca="false">IF(87&lt;5,0,IF(MAX(CH39:CM39)&gt;CM44+5+$B$18,1,0))</f>
        <v>0</v>
      </c>
      <c r="CN66" s="352" t="n">
        <f aca="false">IF(88&lt;5,0,IF(MAX(CI39:CN39)&gt;CN44+5+$B$18,1,0))</f>
        <v>0</v>
      </c>
      <c r="CO66" s="352" t="n">
        <f aca="false">IF(89&lt;5,0,IF(MAX(CJ39:CO39)&gt;CO44+5+$B$18,1,0))</f>
        <v>0</v>
      </c>
      <c r="CP66" s="352" t="n">
        <f aca="false">IF(90&lt;5,0,IF(MAX(CK39:CP39)&gt;CP44+5+$B$18,1,0))</f>
        <v>0</v>
      </c>
      <c r="CQ66" s="352" t="n">
        <f aca="false">IF(91&lt;5,0,IF(MAX(CL39:CQ39)&gt;CQ44+5+$B$18,1,0))</f>
        <v>0</v>
      </c>
      <c r="CR66" s="352" t="n">
        <f aca="false">IF(92&lt;5,0,IF(MAX(CM39:CR39)&gt;CR44+5+$B$18,1,0))</f>
        <v>0</v>
      </c>
      <c r="CS66" s="352" t="n">
        <f aca="false">IF(93&lt;5,0,IF(MAX(CN39:CS39)&gt;CS44+5+$B$18,1,0))</f>
        <v>0</v>
      </c>
      <c r="CT66" s="352" t="n">
        <f aca="false">IF(94&lt;5,0,IF(MAX(CO39:CT39)&gt;CT44+5+$B$18,1,0))</f>
        <v>0</v>
      </c>
      <c r="CU66" s="352" t="n">
        <f aca="false">IF(95&lt;5,0,IF(MAX(CP39:CU39)&gt;CU44+5+$B$18,1,0))</f>
        <v>0</v>
      </c>
      <c r="CV66" s="352" t="n">
        <f aca="false">IF(96&lt;5,0,IF(MAX(CQ39:CV39)&gt;CV44+5+$B$18,1,0))</f>
        <v>0</v>
      </c>
      <c r="CW66" s="352" t="n">
        <f aca="false">IF(97&lt;5,0,IF(MAX(CR39:CW39)&gt;CW44+5+$B$18,1,0))</f>
        <v>0</v>
      </c>
      <c r="CX66" s="352" t="n">
        <f aca="false">IF(98&lt;5,0,IF(MAX(CS39:CX39)&gt;CX44+5+$B$18,1,0))</f>
        <v>0</v>
      </c>
      <c r="CY66" s="352" t="n">
        <f aca="false">IF(99&lt;5,0,IF(MAX(CT39:CY39)&gt;CY44+5+$B$18,1,0))</f>
        <v>0</v>
      </c>
      <c r="CZ66" s="352" t="n">
        <f aca="false">IF(100&lt;5,0,IF(MAX(CU39:CZ39)&gt;CZ44+5+$B$18,1,0))</f>
        <v>0</v>
      </c>
      <c r="DA66" s="352" t="n">
        <f aca="false">IF(101&lt;5,0,IF(MAX(CV39:DA39)&gt;DA44+5+$B$18,1,0))</f>
        <v>0</v>
      </c>
      <c r="DB66" s="352" t="n">
        <f aca="false">IF(102&lt;5,0,IF(MAX(CW39:DB39)&gt;DB44+5+$B$18,1,0))</f>
        <v>0</v>
      </c>
      <c r="DC66" s="352" t="n">
        <f aca="false">IF(103&lt;5,0,IF(MAX(CX39:DC39)&gt;DC44+5+$B$18,1,0))</f>
        <v>0</v>
      </c>
      <c r="DD66" s="352" t="n">
        <f aca="false">IF(104&lt;5,0,IF(MAX(CY39:DD39)&gt;DD44+5+$B$18,1,0))</f>
        <v>0</v>
      </c>
      <c r="DE66" s="352" t="n">
        <f aca="false">IF(105&lt;5,0,IF(MAX(CZ39:DE39)&gt;DE44+5+$B$18,1,0))</f>
        <v>0</v>
      </c>
    </row>
    <row r="67" customFormat="false" ht="13.5" hidden="false" customHeight="true" outlineLevel="0" collapsed="false">
      <c r="A67" s="109" t="s">
        <v>1194</v>
      </c>
      <c r="B67" s="211" t="n">
        <f aca="false">$B$28</f>
        <v>130000</v>
      </c>
      <c r="E67" s="352" t="n">
        <f aca="false">IF(1&lt;5,0,IF(MAX(E39)&gt;E44+6+$B$18,1,0))</f>
        <v>0</v>
      </c>
      <c r="F67" s="352" t="n">
        <f aca="false">IF(2&lt;5,0,IF(MAX(E39:F39)&gt;F44+6+$B$18,1,0))</f>
        <v>0</v>
      </c>
      <c r="G67" s="352" t="n">
        <f aca="false">IF(3&lt;5,0,IF(MAX(E39:G39)&gt;G44+6+$B$18,1,0))</f>
        <v>0</v>
      </c>
      <c r="H67" s="352" t="n">
        <f aca="false">IF(4&lt;5,0,IF(MAX(E39:H39)&gt;H44+6+$B$18,1,0))</f>
        <v>0</v>
      </c>
      <c r="I67" s="352" t="n">
        <f aca="false">IF(5&lt;5,0,IF(MAX(E39:I39)&gt;I44+6+$B$18,1,0))</f>
        <v>0</v>
      </c>
      <c r="J67" s="352" t="n">
        <f aca="false">IF(6&lt;5,0,IF(MAX(E39:J39)&gt;J44+6+$B$18,1,0))</f>
        <v>0</v>
      </c>
      <c r="K67" s="352" t="n">
        <f aca="false">IF(7&lt;5,0,IF(MAX(F39:K39)&gt;K44+6+$B$18,1,0))</f>
        <v>0</v>
      </c>
      <c r="L67" s="352" t="n">
        <f aca="false">IF(8&lt;5,0,IF(MAX(G39:L39)&gt;L44+6+$B$18,1,0))</f>
        <v>0</v>
      </c>
      <c r="M67" s="352" t="n">
        <f aca="false">IF(9&lt;5,0,IF(MAX(H39:M39)&gt;M44+6+$B$18,1,0))</f>
        <v>0</v>
      </c>
      <c r="N67" s="352" t="n">
        <f aca="false">IF(10&lt;5,0,IF(MAX(I39:N39)&gt;N44+6+$B$18,1,0))</f>
        <v>0</v>
      </c>
      <c r="O67" s="352" t="n">
        <f aca="false">IF(11&lt;5,0,IF(MAX(J39:O39)&gt;O44+6+$B$18,1,0))</f>
        <v>0</v>
      </c>
      <c r="P67" s="352" t="n">
        <f aca="false">IF(12&lt;5,0,IF(MAX(K39:P39)&gt;P44+6+$B$18,1,0))</f>
        <v>0</v>
      </c>
      <c r="Q67" s="352" t="n">
        <f aca="false">IF(13&lt;5,0,IF(MAX(L39:Q39)&gt;Q44+6+$B$18,1,0))</f>
        <v>0</v>
      </c>
      <c r="R67" s="352" t="n">
        <f aca="false">IF(14&lt;5,0,IF(MAX(M39:R39)&gt;R44+6+$B$18,1,0))</f>
        <v>0</v>
      </c>
      <c r="S67" s="352" t="n">
        <f aca="false">IF(15&lt;5,0,IF(MAX(N39:S39)&gt;S44+6+$B$18,1,0))</f>
        <v>0</v>
      </c>
      <c r="T67" s="352" t="n">
        <f aca="false">IF(16&lt;5,0,IF(MAX(O39:T39)&gt;T44+6+$B$18,1,0))</f>
        <v>0</v>
      </c>
      <c r="U67" s="352" t="n">
        <f aca="false">IF(17&lt;5,0,IF(MAX(P39:U39)&gt;U44+6+$B$18,1,0))</f>
        <v>0</v>
      </c>
      <c r="V67" s="352" t="n">
        <f aca="false">IF(18&lt;5,0,IF(MAX(Q39:V39)&gt;V44+6+$B$18,1,0))</f>
        <v>0</v>
      </c>
      <c r="W67" s="352" t="n">
        <f aca="false">IF(19&lt;5,0,IF(MAX(R39:W39)&gt;W44+6+$B$18,1,0))</f>
        <v>0</v>
      </c>
      <c r="X67" s="352" t="n">
        <f aca="false">IF(20&lt;5,0,IF(MAX(S39:X39)&gt;X44+6+$B$18,1,0))</f>
        <v>0</v>
      </c>
      <c r="Y67" s="352" t="n">
        <f aca="false">IF(21&lt;5,0,IF(MAX(T39:Y39)&gt;Y44+6+$B$18,1,0))</f>
        <v>0</v>
      </c>
      <c r="Z67" s="352" t="n">
        <f aca="false">IF(22&lt;5,0,IF(MAX(U39:Z39)&gt;Z44+6+$B$18,1,0))</f>
        <v>0</v>
      </c>
      <c r="AA67" s="352" t="n">
        <f aca="false">IF(23&lt;5,0,IF(MAX(V39:AA39)&gt;AA44+6+$B$18,1,0))</f>
        <v>0</v>
      </c>
      <c r="AB67" s="352" t="n">
        <f aca="false">IF(24&lt;5,0,IF(MAX(W39:AB39)&gt;AB44+6+$B$18,1,0))</f>
        <v>0</v>
      </c>
      <c r="AC67" s="352" t="n">
        <f aca="false">IF(25&lt;5,0,IF(MAX(X39:AC39)&gt;AC44+6+$B$18,1,0))</f>
        <v>0</v>
      </c>
      <c r="AD67" s="352" t="n">
        <f aca="false">IF(26&lt;5,0,IF(MAX(Y39:AD39)&gt;AD44+6+$B$18,1,0))</f>
        <v>0</v>
      </c>
      <c r="AE67" s="352" t="n">
        <f aca="false">IF(27&lt;5,0,IF(MAX(Z39:AE39)&gt;AE44+6+$B$18,1,0))</f>
        <v>0</v>
      </c>
      <c r="AF67" s="352" t="n">
        <f aca="false">IF(28&lt;5,0,IF(MAX(AA39:AF39)&gt;AF44+6+$B$18,1,0))</f>
        <v>0</v>
      </c>
      <c r="AG67" s="352" t="n">
        <f aca="false">IF(29&lt;5,0,IF(MAX(AB39:AG39)&gt;AG44+6+$B$18,1,0))</f>
        <v>0</v>
      </c>
      <c r="AH67" s="352" t="n">
        <f aca="false">IF(30&lt;5,0,IF(MAX(AC39:AH39)&gt;AH44+6+$B$18,1,0))</f>
        <v>0</v>
      </c>
      <c r="AI67" s="352" t="n">
        <f aca="false">IF(31&lt;5,0,IF(MAX(AD39:AI39)&gt;AI44+6+$B$18,1,0))</f>
        <v>0</v>
      </c>
      <c r="AJ67" s="352" t="n">
        <f aca="false">IF(32&lt;5,0,IF(MAX(AE39:AJ39)&gt;AJ44+6+$B$18,1,0))</f>
        <v>0</v>
      </c>
      <c r="AK67" s="352" t="n">
        <f aca="false">IF(33&lt;5,0,IF(MAX(AF39:AK39)&gt;AK44+6+$B$18,1,0))</f>
        <v>0</v>
      </c>
      <c r="AL67" s="352" t="n">
        <f aca="false">IF(34&lt;5,0,IF(MAX(AG39:AL39)&gt;AL44+6+$B$18,1,0))</f>
        <v>0</v>
      </c>
      <c r="AM67" s="352" t="n">
        <f aca="false">IF(35&lt;5,0,IF(MAX(AH39:AM39)&gt;AM44+6+$B$18,1,0))</f>
        <v>0</v>
      </c>
      <c r="AN67" s="352" t="n">
        <f aca="false">IF(36&lt;5,0,IF(MAX(AI39:AN39)&gt;AN44+6+$B$18,1,0))</f>
        <v>0</v>
      </c>
      <c r="AO67" s="352" t="n">
        <f aca="false">IF(37&lt;5,0,IF(MAX(AJ39:AO39)&gt;AO44+6+$B$18,1,0))</f>
        <v>0</v>
      </c>
      <c r="AP67" s="352" t="n">
        <f aca="false">IF(38&lt;5,0,IF(MAX(AK39:AP39)&gt;AP44+6+$B$18,1,0))</f>
        <v>0</v>
      </c>
      <c r="AQ67" s="352" t="n">
        <f aca="false">IF(39&lt;5,0,IF(MAX(AL39:AQ39)&gt;AQ44+6+$B$18,1,0))</f>
        <v>0</v>
      </c>
      <c r="AR67" s="352" t="n">
        <f aca="false">IF(40&lt;5,0,IF(MAX(AM39:AR39)&gt;AR44+6+$B$18,1,0))</f>
        <v>0</v>
      </c>
      <c r="AS67" s="352" t="n">
        <f aca="false">IF(41&lt;5,0,IF(MAX(AN39:AS39)&gt;AS44+6+$B$18,1,0))</f>
        <v>0</v>
      </c>
      <c r="AT67" s="352" t="n">
        <f aca="false">IF(42&lt;5,0,IF(MAX(AO39:AT39)&gt;AT44+6+$B$18,1,0))</f>
        <v>0</v>
      </c>
      <c r="AU67" s="352" t="n">
        <f aca="false">IF(43&lt;5,0,IF(MAX(AP39:AU39)&gt;AU44+6+$B$18,1,0))</f>
        <v>0</v>
      </c>
      <c r="AV67" s="352" t="n">
        <f aca="false">IF(44&lt;5,0,IF(MAX(AQ39:AV39)&gt;AV44+6+$B$18,1,0))</f>
        <v>0</v>
      </c>
      <c r="AW67" s="352" t="n">
        <f aca="false">IF(45&lt;5,0,IF(MAX(AR39:AW39)&gt;AW44+6+$B$18,1,0))</f>
        <v>0</v>
      </c>
      <c r="AX67" s="352" t="n">
        <f aca="false">IF(46&lt;5,0,IF(MAX(AS39:AX39)&gt;AX44+6+$B$18,1,0))</f>
        <v>0</v>
      </c>
      <c r="AY67" s="352" t="n">
        <f aca="false">IF(47&lt;5,0,IF(MAX(AT39:AY39)&gt;AY44+6+$B$18,1,0))</f>
        <v>0</v>
      </c>
      <c r="AZ67" s="352" t="n">
        <f aca="false">IF(48&lt;5,0,IF(MAX(AU39:AZ39)&gt;AZ44+6+$B$18,1,0))</f>
        <v>0</v>
      </c>
      <c r="BA67" s="352" t="n">
        <f aca="false">IF(49&lt;5,0,IF(MAX(AV39:BA39)&gt;BA44+6+$B$18,1,0))</f>
        <v>0</v>
      </c>
      <c r="BB67" s="352" t="n">
        <f aca="false">IF(50&lt;5,0,IF(MAX(AW39:BB39)&gt;BB44+6+$B$18,1,0))</f>
        <v>0</v>
      </c>
      <c r="BC67" s="352" t="n">
        <f aca="false">IF(51&lt;5,0,IF(MAX(AX39:BC39)&gt;BC44+6+$B$18,1,0))</f>
        <v>0</v>
      </c>
      <c r="BD67" s="352" t="n">
        <f aca="false">IF(52&lt;5,0,IF(MAX(AY39:BD39)&gt;BD44+6+$B$18,1,0))</f>
        <v>0</v>
      </c>
      <c r="BE67" s="352" t="n">
        <f aca="false">IF(53&lt;5,0,IF(MAX(AZ39:BE39)&gt;BE44+6+$B$18,1,0))</f>
        <v>0</v>
      </c>
      <c r="BF67" s="352" t="n">
        <f aca="false">IF(54&lt;5,0,IF(MAX(BA39:BF39)&gt;BF44+6+$B$18,1,0))</f>
        <v>0</v>
      </c>
      <c r="BG67" s="352" t="n">
        <f aca="false">IF(55&lt;5,0,IF(MAX(BB39:BG39)&gt;BG44+6+$B$18,1,0))</f>
        <v>0</v>
      </c>
      <c r="BH67" s="352" t="n">
        <f aca="false">IF(56&lt;5,0,IF(MAX(BC39:BH39)&gt;BH44+6+$B$18,1,0))</f>
        <v>0</v>
      </c>
      <c r="BI67" s="352" t="n">
        <f aca="false">IF(57&lt;5,0,IF(MAX(BD39:BI39)&gt;BI44+6+$B$18,1,0))</f>
        <v>0</v>
      </c>
      <c r="BJ67" s="352" t="n">
        <f aca="false">IF(58&lt;5,0,IF(MAX(BE39:BJ39)&gt;BJ44+6+$B$18,1,0))</f>
        <v>0</v>
      </c>
      <c r="BK67" s="352" t="n">
        <f aca="false">IF(59&lt;5,0,IF(MAX(BF39:BK39)&gt;BK44+6+$B$18,1,0))</f>
        <v>0</v>
      </c>
      <c r="BL67" s="352" t="n">
        <f aca="false">IF(60&lt;5,0,IF(MAX(BG39:BL39)&gt;BL44+6+$B$18,1,0))</f>
        <v>0</v>
      </c>
      <c r="BM67" s="352" t="n">
        <f aca="false">IF(61&lt;5,0,IF(MAX(BH39:BM39)&gt;BM44+6+$B$18,1,0))</f>
        <v>0</v>
      </c>
      <c r="BN67" s="352" t="n">
        <f aca="false">IF(62&lt;5,0,IF(MAX(BI39:BN39)&gt;BN44+6+$B$18,1,0))</f>
        <v>0</v>
      </c>
      <c r="BO67" s="352" t="n">
        <f aca="false">IF(63&lt;5,0,IF(MAX(BJ39:BO39)&gt;BO44+6+$B$18,1,0))</f>
        <v>0</v>
      </c>
      <c r="BP67" s="352" t="n">
        <f aca="false">IF(64&lt;5,0,IF(MAX(BK39:BP39)&gt;BP44+6+$B$18,1,0))</f>
        <v>0</v>
      </c>
      <c r="BQ67" s="352" t="n">
        <f aca="false">IF(65&lt;5,0,IF(MAX(BL39:BQ39)&gt;BQ44+6+$B$18,1,0))</f>
        <v>0</v>
      </c>
      <c r="BR67" s="352" t="n">
        <f aca="false">IF(66&lt;5,0,IF(MAX(BM39:BR39)&gt;BR44+6+$B$18,1,0))</f>
        <v>0</v>
      </c>
      <c r="BS67" s="352" t="n">
        <f aca="false">IF(67&lt;5,0,IF(MAX(BN39:BS39)&gt;BS44+6+$B$18,1,0))</f>
        <v>0</v>
      </c>
      <c r="BT67" s="352" t="n">
        <f aca="false">IF(68&lt;5,0,IF(MAX(BO39:BT39)&gt;BT44+6+$B$18,1,0))</f>
        <v>0</v>
      </c>
      <c r="BU67" s="352" t="n">
        <f aca="false">IF(69&lt;5,0,IF(MAX(BP39:BU39)&gt;BU44+6+$B$18,1,0))</f>
        <v>0</v>
      </c>
      <c r="BV67" s="352" t="n">
        <f aca="false">IF(70&lt;5,0,IF(MAX(BQ39:BV39)&gt;BV44+6+$B$18,1,0))</f>
        <v>0</v>
      </c>
      <c r="BW67" s="352" t="n">
        <f aca="false">IF(71&lt;5,0,IF(MAX(BR39:BW39)&gt;BW44+6+$B$18,1,0))</f>
        <v>0</v>
      </c>
      <c r="BX67" s="352" t="n">
        <f aca="false">IF(72&lt;5,0,IF(MAX(BS39:BX39)&gt;BX44+6+$B$18,1,0))</f>
        <v>0</v>
      </c>
      <c r="BY67" s="352" t="n">
        <f aca="false">IF(73&lt;5,0,IF(MAX(BT39:BY39)&gt;BY44+6+$B$18,1,0))</f>
        <v>0</v>
      </c>
      <c r="BZ67" s="352" t="n">
        <f aca="false">IF(74&lt;5,0,IF(MAX(BU39:BZ39)&gt;BZ44+6+$B$18,1,0))</f>
        <v>0</v>
      </c>
      <c r="CA67" s="352" t="n">
        <f aca="false">IF(75&lt;5,0,IF(MAX(BV39:CA39)&gt;CA44+6+$B$18,1,0))</f>
        <v>0</v>
      </c>
      <c r="CB67" s="352" t="n">
        <f aca="false">IF(76&lt;5,0,IF(MAX(BW39:CB39)&gt;CB44+6+$B$18,1,0))</f>
        <v>0</v>
      </c>
      <c r="CC67" s="352" t="n">
        <f aca="false">IF(77&lt;5,0,IF(MAX(BX39:CC39)&gt;CC44+6+$B$18,1,0))</f>
        <v>0</v>
      </c>
      <c r="CD67" s="352" t="n">
        <f aca="false">IF(78&lt;5,0,IF(MAX(BY39:CD39)&gt;CD44+6+$B$18,1,0))</f>
        <v>0</v>
      </c>
      <c r="CE67" s="352" t="n">
        <f aca="false">IF(79&lt;5,0,IF(MAX(BZ39:CE39)&gt;CE44+6+$B$18,1,0))</f>
        <v>0</v>
      </c>
      <c r="CF67" s="352" t="n">
        <f aca="false">IF(80&lt;5,0,IF(MAX(CA39:CF39)&gt;CF44+6+$B$18,1,0))</f>
        <v>0</v>
      </c>
      <c r="CG67" s="352" t="n">
        <f aca="false">IF(81&lt;5,0,IF(MAX(CB39:CG39)&gt;CG44+6+$B$18,1,0))</f>
        <v>0</v>
      </c>
      <c r="CH67" s="352" t="n">
        <f aca="false">IF(82&lt;5,0,IF(MAX(CC39:CH39)&gt;CH44+6+$B$18,1,0))</f>
        <v>0</v>
      </c>
      <c r="CI67" s="352" t="n">
        <f aca="false">IF(83&lt;5,0,IF(MAX(CD39:CI39)&gt;CI44+6+$B$18,1,0))</f>
        <v>0</v>
      </c>
      <c r="CJ67" s="352" t="n">
        <f aca="false">IF(84&lt;5,0,IF(MAX(CE39:CJ39)&gt;CJ44+6+$B$18,1,0))</f>
        <v>0</v>
      </c>
      <c r="CK67" s="352" t="n">
        <f aca="false">IF(85&lt;5,0,IF(MAX(CF39:CK39)&gt;CK44+6+$B$18,1,0))</f>
        <v>0</v>
      </c>
      <c r="CL67" s="352" t="n">
        <f aca="false">IF(86&lt;5,0,IF(MAX(CG39:CL39)&gt;CL44+6+$B$18,1,0))</f>
        <v>0</v>
      </c>
      <c r="CM67" s="352" t="n">
        <f aca="false">IF(87&lt;5,0,IF(MAX(CH39:CM39)&gt;CM44+6+$B$18,1,0))</f>
        <v>0</v>
      </c>
      <c r="CN67" s="352" t="n">
        <f aca="false">IF(88&lt;5,0,IF(MAX(CI39:CN39)&gt;CN44+6+$B$18,1,0))</f>
        <v>0</v>
      </c>
      <c r="CO67" s="352" t="n">
        <f aca="false">IF(89&lt;5,0,IF(MAX(CJ39:CO39)&gt;CO44+6+$B$18,1,0))</f>
        <v>0</v>
      </c>
      <c r="CP67" s="352" t="n">
        <f aca="false">IF(90&lt;5,0,IF(MAX(CK39:CP39)&gt;CP44+6+$B$18,1,0))</f>
        <v>0</v>
      </c>
      <c r="CQ67" s="352" t="n">
        <f aca="false">IF(91&lt;5,0,IF(MAX(CL39:CQ39)&gt;CQ44+6+$B$18,1,0))</f>
        <v>0</v>
      </c>
      <c r="CR67" s="352" t="n">
        <f aca="false">IF(92&lt;5,0,IF(MAX(CM39:CR39)&gt;CR44+6+$B$18,1,0))</f>
        <v>0</v>
      </c>
      <c r="CS67" s="352" t="n">
        <f aca="false">IF(93&lt;5,0,IF(MAX(CN39:CS39)&gt;CS44+6+$B$18,1,0))</f>
        <v>0</v>
      </c>
      <c r="CT67" s="352" t="n">
        <f aca="false">IF(94&lt;5,0,IF(MAX(CO39:CT39)&gt;CT44+6+$B$18,1,0))</f>
        <v>0</v>
      </c>
      <c r="CU67" s="352" t="n">
        <f aca="false">IF(95&lt;5,0,IF(MAX(CP39:CU39)&gt;CU44+6+$B$18,1,0))</f>
        <v>0</v>
      </c>
      <c r="CV67" s="352" t="n">
        <f aca="false">IF(96&lt;5,0,IF(MAX(CQ39:CV39)&gt;CV44+6+$B$18,1,0))</f>
        <v>0</v>
      </c>
      <c r="CW67" s="352" t="n">
        <f aca="false">IF(97&lt;5,0,IF(MAX(CR39:CW39)&gt;CW44+6+$B$18,1,0))</f>
        <v>0</v>
      </c>
      <c r="CX67" s="352" t="n">
        <f aca="false">IF(98&lt;5,0,IF(MAX(CS39:CX39)&gt;CX44+6+$B$18,1,0))</f>
        <v>0</v>
      </c>
      <c r="CY67" s="352" t="n">
        <f aca="false">IF(99&lt;5,0,IF(MAX(CT39:CY39)&gt;CY44+6+$B$18,1,0))</f>
        <v>0</v>
      </c>
      <c r="CZ67" s="352" t="n">
        <f aca="false">IF(100&lt;5,0,IF(MAX(CU39:CZ39)&gt;CZ44+6+$B$18,1,0))</f>
        <v>0</v>
      </c>
      <c r="DA67" s="352" t="n">
        <f aca="false">IF(101&lt;5,0,IF(MAX(CV39:DA39)&gt;DA44+6+$B$18,1,0))</f>
        <v>0</v>
      </c>
      <c r="DB67" s="352" t="n">
        <f aca="false">IF(102&lt;5,0,IF(MAX(CW39:DB39)&gt;DB44+6+$B$18,1,0))</f>
        <v>0</v>
      </c>
      <c r="DC67" s="352" t="n">
        <f aca="false">IF(103&lt;5,0,IF(MAX(CX39:DC39)&gt;DC44+6+$B$18,1,0))</f>
        <v>0</v>
      </c>
      <c r="DD67" s="352" t="n">
        <f aca="false">IF(104&lt;5,0,IF(MAX(CY39:DD39)&gt;DD44+6+$B$18,1,0))</f>
        <v>0</v>
      </c>
      <c r="DE67" s="352" t="n">
        <f aca="false">IF(105&lt;5,0,IF(MAX(CZ39:DE39)&gt;DE44+6+$B$18,1,0))</f>
        <v>0</v>
      </c>
    </row>
    <row r="68" customFormat="false" ht="13.5" hidden="false" customHeight="true" outlineLevel="0" collapsed="false">
      <c r="A68" s="109" t="s">
        <v>1195</v>
      </c>
      <c r="B68" s="211" t="n">
        <f aca="false">$B$28</f>
        <v>130000</v>
      </c>
      <c r="E68" s="352" t="n">
        <f aca="false">IF(1&lt;5,0,IF(MAX(E39)&gt;E44+7+$B$18,1,0))</f>
        <v>0</v>
      </c>
      <c r="F68" s="352" t="n">
        <f aca="false">IF(2&lt;5,0,IF(MAX(E39:F39)&gt;F44+7+$B$18,1,0))</f>
        <v>0</v>
      </c>
      <c r="G68" s="352" t="n">
        <f aca="false">IF(3&lt;5,0,IF(MAX(E39:G39)&gt;G44+7+$B$18,1,0))</f>
        <v>0</v>
      </c>
      <c r="H68" s="352" t="n">
        <f aca="false">IF(4&lt;5,0,IF(MAX(E39:H39)&gt;H44+7+$B$18,1,0))</f>
        <v>0</v>
      </c>
      <c r="I68" s="352" t="n">
        <f aca="false">IF(5&lt;5,0,IF(MAX(E39:I39)&gt;I44+7+$B$18,1,0))</f>
        <v>0</v>
      </c>
      <c r="J68" s="352" t="n">
        <f aca="false">IF(6&lt;5,0,IF(MAX(E39:J39)&gt;J44+7+$B$18,1,0))</f>
        <v>0</v>
      </c>
      <c r="K68" s="352" t="n">
        <f aca="false">IF(7&lt;5,0,IF(MAX(F39:K39)&gt;K44+7+$B$18,1,0))</f>
        <v>0</v>
      </c>
      <c r="L68" s="352" t="n">
        <f aca="false">IF(8&lt;5,0,IF(MAX(G39:L39)&gt;L44+7+$B$18,1,0))</f>
        <v>0</v>
      </c>
      <c r="M68" s="352" t="n">
        <f aca="false">IF(9&lt;5,0,IF(MAX(H39:M39)&gt;M44+7+$B$18,1,0))</f>
        <v>0</v>
      </c>
      <c r="N68" s="352" t="n">
        <f aca="false">IF(10&lt;5,0,IF(MAX(I39:N39)&gt;N44+7+$B$18,1,0))</f>
        <v>0</v>
      </c>
      <c r="O68" s="352" t="n">
        <f aca="false">IF(11&lt;5,0,IF(MAX(J39:O39)&gt;O44+7+$B$18,1,0))</f>
        <v>0</v>
      </c>
      <c r="P68" s="352" t="n">
        <f aca="false">IF(12&lt;5,0,IF(MAX(K39:P39)&gt;P44+7+$B$18,1,0))</f>
        <v>0</v>
      </c>
      <c r="Q68" s="352" t="n">
        <f aca="false">IF(13&lt;5,0,IF(MAX(L39:Q39)&gt;Q44+7+$B$18,1,0))</f>
        <v>0</v>
      </c>
      <c r="R68" s="352" t="n">
        <f aca="false">IF(14&lt;5,0,IF(MAX(M39:R39)&gt;R44+7+$B$18,1,0))</f>
        <v>0</v>
      </c>
      <c r="S68" s="352" t="n">
        <f aca="false">IF(15&lt;5,0,IF(MAX(N39:S39)&gt;S44+7+$B$18,1,0))</f>
        <v>0</v>
      </c>
      <c r="T68" s="352" t="n">
        <f aca="false">IF(16&lt;5,0,IF(MAX(O39:T39)&gt;T44+7+$B$18,1,0))</f>
        <v>0</v>
      </c>
      <c r="U68" s="352" t="n">
        <f aca="false">IF(17&lt;5,0,IF(MAX(P39:U39)&gt;U44+7+$B$18,1,0))</f>
        <v>0</v>
      </c>
      <c r="V68" s="352" t="n">
        <f aca="false">IF(18&lt;5,0,IF(MAX(Q39:V39)&gt;V44+7+$B$18,1,0))</f>
        <v>0</v>
      </c>
      <c r="W68" s="352" t="n">
        <f aca="false">IF(19&lt;5,0,IF(MAX(R39:W39)&gt;W44+7+$B$18,1,0))</f>
        <v>0</v>
      </c>
      <c r="X68" s="352" t="n">
        <f aca="false">IF(20&lt;5,0,IF(MAX(S39:X39)&gt;X44+7+$B$18,1,0))</f>
        <v>0</v>
      </c>
      <c r="Y68" s="352" t="n">
        <f aca="false">IF(21&lt;5,0,IF(MAX(T39:Y39)&gt;Y44+7+$B$18,1,0))</f>
        <v>0</v>
      </c>
      <c r="Z68" s="352" t="n">
        <f aca="false">IF(22&lt;5,0,IF(MAX(U39:Z39)&gt;Z44+7+$B$18,1,0))</f>
        <v>0</v>
      </c>
      <c r="AA68" s="352" t="n">
        <f aca="false">IF(23&lt;5,0,IF(MAX(V39:AA39)&gt;AA44+7+$B$18,1,0))</f>
        <v>0</v>
      </c>
      <c r="AB68" s="352" t="n">
        <f aca="false">IF(24&lt;5,0,IF(MAX(W39:AB39)&gt;AB44+7+$B$18,1,0))</f>
        <v>0</v>
      </c>
      <c r="AC68" s="352" t="n">
        <f aca="false">IF(25&lt;5,0,IF(MAX(X39:AC39)&gt;AC44+7+$B$18,1,0))</f>
        <v>0</v>
      </c>
      <c r="AD68" s="352" t="n">
        <f aca="false">IF(26&lt;5,0,IF(MAX(Y39:AD39)&gt;AD44+7+$B$18,1,0))</f>
        <v>0</v>
      </c>
      <c r="AE68" s="352" t="n">
        <f aca="false">IF(27&lt;5,0,IF(MAX(Z39:AE39)&gt;AE44+7+$B$18,1,0))</f>
        <v>0</v>
      </c>
      <c r="AF68" s="352" t="n">
        <f aca="false">IF(28&lt;5,0,IF(MAX(AA39:AF39)&gt;AF44+7+$B$18,1,0))</f>
        <v>0</v>
      </c>
      <c r="AG68" s="352" t="n">
        <f aca="false">IF(29&lt;5,0,IF(MAX(AB39:AG39)&gt;AG44+7+$B$18,1,0))</f>
        <v>0</v>
      </c>
      <c r="AH68" s="352" t="n">
        <f aca="false">IF(30&lt;5,0,IF(MAX(AC39:AH39)&gt;AH44+7+$B$18,1,0))</f>
        <v>0</v>
      </c>
      <c r="AI68" s="352" t="n">
        <f aca="false">IF(31&lt;5,0,IF(MAX(AD39:AI39)&gt;AI44+7+$B$18,1,0))</f>
        <v>0</v>
      </c>
      <c r="AJ68" s="352" t="n">
        <f aca="false">IF(32&lt;5,0,IF(MAX(AE39:AJ39)&gt;AJ44+7+$B$18,1,0))</f>
        <v>0</v>
      </c>
      <c r="AK68" s="352" t="n">
        <f aca="false">IF(33&lt;5,0,IF(MAX(AF39:AK39)&gt;AK44+7+$B$18,1,0))</f>
        <v>0</v>
      </c>
      <c r="AL68" s="352" t="n">
        <f aca="false">IF(34&lt;5,0,IF(MAX(AG39:AL39)&gt;AL44+7+$B$18,1,0))</f>
        <v>0</v>
      </c>
      <c r="AM68" s="352" t="n">
        <f aca="false">IF(35&lt;5,0,IF(MAX(AH39:AM39)&gt;AM44+7+$B$18,1,0))</f>
        <v>0</v>
      </c>
      <c r="AN68" s="352" t="n">
        <f aca="false">IF(36&lt;5,0,IF(MAX(AI39:AN39)&gt;AN44+7+$B$18,1,0))</f>
        <v>0</v>
      </c>
      <c r="AO68" s="352" t="n">
        <f aca="false">IF(37&lt;5,0,IF(MAX(AJ39:AO39)&gt;AO44+7+$B$18,1,0))</f>
        <v>0</v>
      </c>
      <c r="AP68" s="352" t="n">
        <f aca="false">IF(38&lt;5,0,IF(MAX(AK39:AP39)&gt;AP44+7+$B$18,1,0))</f>
        <v>0</v>
      </c>
      <c r="AQ68" s="352" t="n">
        <f aca="false">IF(39&lt;5,0,IF(MAX(AL39:AQ39)&gt;AQ44+7+$B$18,1,0))</f>
        <v>0</v>
      </c>
      <c r="AR68" s="352" t="n">
        <f aca="false">IF(40&lt;5,0,IF(MAX(AM39:AR39)&gt;AR44+7+$B$18,1,0))</f>
        <v>0</v>
      </c>
      <c r="AS68" s="352" t="n">
        <f aca="false">IF(41&lt;5,0,IF(MAX(AN39:AS39)&gt;AS44+7+$B$18,1,0))</f>
        <v>0</v>
      </c>
      <c r="AT68" s="352" t="n">
        <f aca="false">IF(42&lt;5,0,IF(MAX(AO39:AT39)&gt;AT44+7+$B$18,1,0))</f>
        <v>0</v>
      </c>
      <c r="AU68" s="352" t="n">
        <f aca="false">IF(43&lt;5,0,IF(MAX(AP39:AU39)&gt;AU44+7+$B$18,1,0))</f>
        <v>0</v>
      </c>
      <c r="AV68" s="352" t="n">
        <f aca="false">IF(44&lt;5,0,IF(MAX(AQ39:AV39)&gt;AV44+7+$B$18,1,0))</f>
        <v>0</v>
      </c>
      <c r="AW68" s="352" t="n">
        <f aca="false">IF(45&lt;5,0,IF(MAX(AR39:AW39)&gt;AW44+7+$B$18,1,0))</f>
        <v>0</v>
      </c>
      <c r="AX68" s="352" t="n">
        <f aca="false">IF(46&lt;5,0,IF(MAX(AS39:AX39)&gt;AX44+7+$B$18,1,0))</f>
        <v>0</v>
      </c>
      <c r="AY68" s="352" t="n">
        <f aca="false">IF(47&lt;5,0,IF(MAX(AT39:AY39)&gt;AY44+7+$B$18,1,0))</f>
        <v>0</v>
      </c>
      <c r="AZ68" s="352" t="n">
        <f aca="false">IF(48&lt;5,0,IF(MAX(AU39:AZ39)&gt;AZ44+7+$B$18,1,0))</f>
        <v>0</v>
      </c>
      <c r="BA68" s="352" t="n">
        <f aca="false">IF(49&lt;5,0,IF(MAX(AV39:BA39)&gt;BA44+7+$B$18,1,0))</f>
        <v>0</v>
      </c>
      <c r="BB68" s="352" t="n">
        <f aca="false">IF(50&lt;5,0,IF(MAX(AW39:BB39)&gt;BB44+7+$B$18,1,0))</f>
        <v>0</v>
      </c>
      <c r="BC68" s="352" t="n">
        <f aca="false">IF(51&lt;5,0,IF(MAX(AX39:BC39)&gt;BC44+7+$B$18,1,0))</f>
        <v>0</v>
      </c>
      <c r="BD68" s="352" t="n">
        <f aca="false">IF(52&lt;5,0,IF(MAX(AY39:BD39)&gt;BD44+7+$B$18,1,0))</f>
        <v>0</v>
      </c>
      <c r="BE68" s="352" t="n">
        <f aca="false">IF(53&lt;5,0,IF(MAX(AZ39:BE39)&gt;BE44+7+$B$18,1,0))</f>
        <v>0</v>
      </c>
      <c r="BF68" s="352" t="n">
        <f aca="false">IF(54&lt;5,0,IF(MAX(BA39:BF39)&gt;BF44+7+$B$18,1,0))</f>
        <v>0</v>
      </c>
      <c r="BG68" s="352" t="n">
        <f aca="false">IF(55&lt;5,0,IF(MAX(BB39:BG39)&gt;BG44+7+$B$18,1,0))</f>
        <v>0</v>
      </c>
      <c r="BH68" s="352" t="n">
        <f aca="false">IF(56&lt;5,0,IF(MAX(BC39:BH39)&gt;BH44+7+$B$18,1,0))</f>
        <v>0</v>
      </c>
      <c r="BI68" s="352" t="n">
        <f aca="false">IF(57&lt;5,0,IF(MAX(BD39:BI39)&gt;BI44+7+$B$18,1,0))</f>
        <v>0</v>
      </c>
      <c r="BJ68" s="352" t="n">
        <f aca="false">IF(58&lt;5,0,IF(MAX(BE39:BJ39)&gt;BJ44+7+$B$18,1,0))</f>
        <v>0</v>
      </c>
      <c r="BK68" s="352" t="n">
        <f aca="false">IF(59&lt;5,0,IF(MAX(BF39:BK39)&gt;BK44+7+$B$18,1,0))</f>
        <v>0</v>
      </c>
      <c r="BL68" s="352" t="n">
        <f aca="false">IF(60&lt;5,0,IF(MAX(BG39:BL39)&gt;BL44+7+$B$18,1,0))</f>
        <v>0</v>
      </c>
      <c r="BM68" s="352" t="n">
        <f aca="false">IF(61&lt;5,0,IF(MAX(BH39:BM39)&gt;BM44+7+$B$18,1,0))</f>
        <v>0</v>
      </c>
      <c r="BN68" s="352" t="n">
        <f aca="false">IF(62&lt;5,0,IF(MAX(BI39:BN39)&gt;BN44+7+$B$18,1,0))</f>
        <v>0</v>
      </c>
      <c r="BO68" s="352" t="n">
        <f aca="false">IF(63&lt;5,0,IF(MAX(BJ39:BO39)&gt;BO44+7+$B$18,1,0))</f>
        <v>0</v>
      </c>
      <c r="BP68" s="352" t="n">
        <f aca="false">IF(64&lt;5,0,IF(MAX(BK39:BP39)&gt;BP44+7+$B$18,1,0))</f>
        <v>0</v>
      </c>
      <c r="BQ68" s="352" t="n">
        <f aca="false">IF(65&lt;5,0,IF(MAX(BL39:BQ39)&gt;BQ44+7+$B$18,1,0))</f>
        <v>0</v>
      </c>
      <c r="BR68" s="352" t="n">
        <f aca="false">IF(66&lt;5,0,IF(MAX(BM39:BR39)&gt;BR44+7+$B$18,1,0))</f>
        <v>0</v>
      </c>
      <c r="BS68" s="352" t="n">
        <f aca="false">IF(67&lt;5,0,IF(MAX(BN39:BS39)&gt;BS44+7+$B$18,1,0))</f>
        <v>0</v>
      </c>
      <c r="BT68" s="352" t="n">
        <f aca="false">IF(68&lt;5,0,IF(MAX(BO39:BT39)&gt;BT44+7+$B$18,1,0))</f>
        <v>0</v>
      </c>
      <c r="BU68" s="352" t="n">
        <f aca="false">IF(69&lt;5,0,IF(MAX(BP39:BU39)&gt;BU44+7+$B$18,1,0))</f>
        <v>0</v>
      </c>
      <c r="BV68" s="352" t="n">
        <f aca="false">IF(70&lt;5,0,IF(MAX(BQ39:BV39)&gt;BV44+7+$B$18,1,0))</f>
        <v>0</v>
      </c>
      <c r="BW68" s="352" t="n">
        <f aca="false">IF(71&lt;5,0,IF(MAX(BR39:BW39)&gt;BW44+7+$B$18,1,0))</f>
        <v>0</v>
      </c>
      <c r="BX68" s="352" t="n">
        <f aca="false">IF(72&lt;5,0,IF(MAX(BS39:BX39)&gt;BX44+7+$B$18,1,0))</f>
        <v>0</v>
      </c>
      <c r="BY68" s="352" t="n">
        <f aca="false">IF(73&lt;5,0,IF(MAX(BT39:BY39)&gt;BY44+7+$B$18,1,0))</f>
        <v>0</v>
      </c>
      <c r="BZ68" s="352" t="n">
        <f aca="false">IF(74&lt;5,0,IF(MAX(BU39:BZ39)&gt;BZ44+7+$B$18,1,0))</f>
        <v>0</v>
      </c>
      <c r="CA68" s="352" t="n">
        <f aca="false">IF(75&lt;5,0,IF(MAX(BV39:CA39)&gt;CA44+7+$B$18,1,0))</f>
        <v>0</v>
      </c>
      <c r="CB68" s="352" t="n">
        <f aca="false">IF(76&lt;5,0,IF(MAX(BW39:CB39)&gt;CB44+7+$B$18,1,0))</f>
        <v>0</v>
      </c>
      <c r="CC68" s="352" t="n">
        <f aca="false">IF(77&lt;5,0,IF(MAX(BX39:CC39)&gt;CC44+7+$B$18,1,0))</f>
        <v>0</v>
      </c>
      <c r="CD68" s="352" t="n">
        <f aca="false">IF(78&lt;5,0,IF(MAX(BY39:CD39)&gt;CD44+7+$B$18,1,0))</f>
        <v>0</v>
      </c>
      <c r="CE68" s="352" t="n">
        <f aca="false">IF(79&lt;5,0,IF(MAX(BZ39:CE39)&gt;CE44+7+$B$18,1,0))</f>
        <v>0</v>
      </c>
      <c r="CF68" s="352" t="n">
        <f aca="false">IF(80&lt;5,0,IF(MAX(CA39:CF39)&gt;CF44+7+$B$18,1,0))</f>
        <v>0</v>
      </c>
      <c r="CG68" s="352" t="n">
        <f aca="false">IF(81&lt;5,0,IF(MAX(CB39:CG39)&gt;CG44+7+$B$18,1,0))</f>
        <v>0</v>
      </c>
      <c r="CH68" s="352" t="n">
        <f aca="false">IF(82&lt;5,0,IF(MAX(CC39:CH39)&gt;CH44+7+$B$18,1,0))</f>
        <v>0</v>
      </c>
      <c r="CI68" s="352" t="n">
        <f aca="false">IF(83&lt;5,0,IF(MAX(CD39:CI39)&gt;CI44+7+$B$18,1,0))</f>
        <v>0</v>
      </c>
      <c r="CJ68" s="352" t="n">
        <f aca="false">IF(84&lt;5,0,IF(MAX(CE39:CJ39)&gt;CJ44+7+$B$18,1,0))</f>
        <v>0</v>
      </c>
      <c r="CK68" s="352" t="n">
        <f aca="false">IF(85&lt;5,0,IF(MAX(CF39:CK39)&gt;CK44+7+$B$18,1,0))</f>
        <v>0</v>
      </c>
      <c r="CL68" s="352" t="n">
        <f aca="false">IF(86&lt;5,0,IF(MAX(CG39:CL39)&gt;CL44+7+$B$18,1,0))</f>
        <v>0</v>
      </c>
      <c r="CM68" s="352" t="n">
        <f aca="false">IF(87&lt;5,0,IF(MAX(CH39:CM39)&gt;CM44+7+$B$18,1,0))</f>
        <v>0</v>
      </c>
      <c r="CN68" s="352" t="n">
        <f aca="false">IF(88&lt;5,0,IF(MAX(CI39:CN39)&gt;CN44+7+$B$18,1,0))</f>
        <v>0</v>
      </c>
      <c r="CO68" s="352" t="n">
        <f aca="false">IF(89&lt;5,0,IF(MAX(CJ39:CO39)&gt;CO44+7+$B$18,1,0))</f>
        <v>0</v>
      </c>
      <c r="CP68" s="352" t="n">
        <f aca="false">IF(90&lt;5,0,IF(MAX(CK39:CP39)&gt;CP44+7+$B$18,1,0))</f>
        <v>0</v>
      </c>
      <c r="CQ68" s="352" t="n">
        <f aca="false">IF(91&lt;5,0,IF(MAX(CL39:CQ39)&gt;CQ44+7+$B$18,1,0))</f>
        <v>0</v>
      </c>
      <c r="CR68" s="352" t="n">
        <f aca="false">IF(92&lt;5,0,IF(MAX(CM39:CR39)&gt;CR44+7+$B$18,1,0))</f>
        <v>0</v>
      </c>
      <c r="CS68" s="352" t="n">
        <f aca="false">IF(93&lt;5,0,IF(MAX(CN39:CS39)&gt;CS44+7+$B$18,1,0))</f>
        <v>0</v>
      </c>
      <c r="CT68" s="352" t="n">
        <f aca="false">IF(94&lt;5,0,IF(MAX(CO39:CT39)&gt;CT44+7+$B$18,1,0))</f>
        <v>0</v>
      </c>
      <c r="CU68" s="352" t="n">
        <f aca="false">IF(95&lt;5,0,IF(MAX(CP39:CU39)&gt;CU44+7+$B$18,1,0))</f>
        <v>0</v>
      </c>
      <c r="CV68" s="352" t="n">
        <f aca="false">IF(96&lt;5,0,IF(MAX(CQ39:CV39)&gt;CV44+7+$B$18,1,0))</f>
        <v>0</v>
      </c>
      <c r="CW68" s="352" t="n">
        <f aca="false">IF(97&lt;5,0,IF(MAX(CR39:CW39)&gt;CW44+7+$B$18,1,0))</f>
        <v>0</v>
      </c>
      <c r="CX68" s="352" t="n">
        <f aca="false">IF(98&lt;5,0,IF(MAX(CS39:CX39)&gt;CX44+7+$B$18,1,0))</f>
        <v>0</v>
      </c>
      <c r="CY68" s="352" t="n">
        <f aca="false">IF(99&lt;5,0,IF(MAX(CT39:CY39)&gt;CY44+7+$B$18,1,0))</f>
        <v>0</v>
      </c>
      <c r="CZ68" s="352" t="n">
        <f aca="false">IF(100&lt;5,0,IF(MAX(CU39:CZ39)&gt;CZ44+7+$B$18,1,0))</f>
        <v>0</v>
      </c>
      <c r="DA68" s="352" t="n">
        <f aca="false">IF(101&lt;5,0,IF(MAX(CV39:DA39)&gt;DA44+7+$B$18,1,0))</f>
        <v>0</v>
      </c>
      <c r="DB68" s="352" t="n">
        <f aca="false">IF(102&lt;5,0,IF(MAX(CW39:DB39)&gt;DB44+7+$B$18,1,0))</f>
        <v>0</v>
      </c>
      <c r="DC68" s="352" t="n">
        <f aca="false">IF(103&lt;5,0,IF(MAX(CX39:DC39)&gt;DC44+7+$B$18,1,0))</f>
        <v>0</v>
      </c>
      <c r="DD68" s="352" t="n">
        <f aca="false">IF(104&lt;5,0,IF(MAX(CY39:DD39)&gt;DD44+7+$B$18,1,0))</f>
        <v>0</v>
      </c>
      <c r="DE68" s="352"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1196</v>
      </c>
      <c r="B71" s="211" t="n">
        <f aca="false">$B$29</f>
        <v>180000</v>
      </c>
      <c r="E71" s="352" t="n">
        <f aca="false">IF(1&lt;5,0,IF(MAX(E40)&gt;E45+0+$B$18,1,0))</f>
        <v>0</v>
      </c>
      <c r="F71" s="352" t="n">
        <f aca="false">IF(2&lt;5,0,IF(MAX(E40:F40)&gt;F45+0+$B$18,1,0))</f>
        <v>0</v>
      </c>
      <c r="G71" s="352" t="n">
        <f aca="false">IF(3&lt;5,0,IF(MAX(E40:G40)&gt;G45+0+$B$18,1,0))</f>
        <v>0</v>
      </c>
      <c r="H71" s="352" t="n">
        <f aca="false">IF(4&lt;5,0,IF(MAX(E40:H40)&gt;H45+0+$B$18,1,0))</f>
        <v>0</v>
      </c>
      <c r="I71" s="352" t="n">
        <f aca="false">IF(5&lt;5,0,IF(MAX(E40:I40)&gt;I45+0+$B$18,1,0))</f>
        <v>0</v>
      </c>
      <c r="J71" s="352" t="n">
        <f aca="false">IF(6&lt;5,0,IF(MAX(E40:J40)&gt;J45+0+$B$18,1,0))</f>
        <v>0</v>
      </c>
      <c r="K71" s="352" t="n">
        <f aca="false">IF(7&lt;5,0,IF(MAX(F40:K40)&gt;K45+0+$B$18,1,0))</f>
        <v>0</v>
      </c>
      <c r="L71" s="352" t="n">
        <f aca="false">IF(8&lt;5,0,IF(MAX(G40:L40)&gt;L45+0+$B$18,1,0))</f>
        <v>0</v>
      </c>
      <c r="M71" s="352" t="n">
        <f aca="false">IF(9&lt;5,0,IF(MAX(H40:M40)&gt;M45+0+$B$18,1,0))</f>
        <v>0</v>
      </c>
      <c r="N71" s="352" t="n">
        <f aca="false">IF(10&lt;5,0,IF(MAX(I40:N40)&gt;N45+0+$B$18,1,0))</f>
        <v>0</v>
      </c>
      <c r="O71" s="352" t="n">
        <f aca="false">IF(11&lt;5,0,IF(MAX(J40:O40)&gt;O45+0+$B$18,1,0))</f>
        <v>1</v>
      </c>
      <c r="P71" s="352" t="n">
        <f aca="false">IF(12&lt;5,0,IF(MAX(K40:P40)&gt;P45+0+$B$18,1,0))</f>
        <v>1</v>
      </c>
      <c r="Q71" s="352" t="n">
        <f aca="false">IF(13&lt;5,0,IF(MAX(L40:Q40)&gt;Q45+0+$B$18,1,0))</f>
        <v>1</v>
      </c>
      <c r="R71" s="352" t="n">
        <f aca="false">IF(14&lt;5,0,IF(MAX(M40:R40)&gt;R45+0+$B$18,1,0))</f>
        <v>1</v>
      </c>
      <c r="S71" s="352" t="n">
        <f aca="false">IF(15&lt;5,0,IF(MAX(N40:S40)&gt;S45+0+$B$18,1,0))</f>
        <v>1</v>
      </c>
      <c r="T71" s="352" t="n">
        <f aca="false">IF(16&lt;5,0,IF(MAX(O40:T40)&gt;T45+0+$B$18,1,0))</f>
        <v>1</v>
      </c>
      <c r="U71" s="352" t="n">
        <f aca="false">IF(17&lt;5,0,IF(MAX(P40:U40)&gt;U45+0+$B$18,1,0))</f>
        <v>1</v>
      </c>
      <c r="V71" s="352" t="n">
        <f aca="false">IF(18&lt;5,0,IF(MAX(Q40:V40)&gt;V45+0+$B$18,1,0))</f>
        <v>1</v>
      </c>
      <c r="W71" s="352" t="n">
        <f aca="false">IF(19&lt;5,0,IF(MAX(R40:W40)&gt;W45+0+$B$18,1,0))</f>
        <v>1</v>
      </c>
      <c r="X71" s="352" t="n">
        <f aca="false">IF(20&lt;5,0,IF(MAX(S40:X40)&gt;X45+0+$B$18,1,0))</f>
        <v>1</v>
      </c>
      <c r="Y71" s="352" t="n">
        <f aca="false">IF(21&lt;5,0,IF(MAX(T40:Y40)&gt;Y45+0+$B$18,1,0))</f>
        <v>1</v>
      </c>
      <c r="Z71" s="352" t="n">
        <f aca="false">IF(22&lt;5,0,IF(MAX(U40:Z40)&gt;Z45+0+$B$18,1,0))</f>
        <v>1</v>
      </c>
      <c r="AA71" s="352" t="n">
        <f aca="false">IF(23&lt;5,0,IF(MAX(V40:AA40)&gt;AA45+0+$B$18,1,0))</f>
        <v>1</v>
      </c>
      <c r="AB71" s="352" t="n">
        <f aca="false">IF(24&lt;5,0,IF(MAX(W40:AB40)&gt;AB45+0+$B$18,1,0))</f>
        <v>1</v>
      </c>
      <c r="AC71" s="352" t="n">
        <f aca="false">IF(25&lt;5,0,IF(MAX(X40:AC40)&gt;AC45+0+$B$18,1,0))</f>
        <v>1</v>
      </c>
      <c r="AD71" s="352" t="n">
        <f aca="false">IF(26&lt;5,0,IF(MAX(Y40:AD40)&gt;AD45+0+$B$18,1,0))</f>
        <v>1</v>
      </c>
      <c r="AE71" s="352" t="n">
        <f aca="false">IF(27&lt;5,0,IF(MAX(Z40:AE40)&gt;AE45+0+$B$18,1,0))</f>
        <v>1</v>
      </c>
      <c r="AF71" s="352" t="n">
        <f aca="false">IF(28&lt;5,0,IF(MAX(AA40:AF40)&gt;AF45+0+$B$18,1,0))</f>
        <v>1</v>
      </c>
      <c r="AG71" s="352" t="n">
        <f aca="false">IF(29&lt;5,0,IF(MAX(AB40:AG40)&gt;AG45+0+$B$18,1,0))</f>
        <v>1</v>
      </c>
      <c r="AH71" s="352" t="n">
        <f aca="false">IF(30&lt;5,0,IF(MAX(AC40:AH40)&gt;AH45+0+$B$18,1,0))</f>
        <v>1</v>
      </c>
      <c r="AI71" s="352" t="n">
        <f aca="false">IF(31&lt;5,0,IF(MAX(AD40:AI40)&gt;AI45+0+$B$18,1,0))</f>
        <v>0</v>
      </c>
      <c r="AJ71" s="352" t="n">
        <f aca="false">IF(32&lt;5,0,IF(MAX(AE40:AJ40)&gt;AJ45+0+$B$18,1,0))</f>
        <v>0</v>
      </c>
      <c r="AK71" s="352" t="n">
        <f aca="false">IF(33&lt;5,0,IF(MAX(AF40:AK40)&gt;AK45+0+$B$18,1,0))</f>
        <v>0</v>
      </c>
      <c r="AL71" s="352" t="n">
        <f aca="false">IF(34&lt;5,0,IF(MAX(AG40:AL40)&gt;AL45+0+$B$18,1,0))</f>
        <v>0</v>
      </c>
      <c r="AM71" s="352" t="n">
        <f aca="false">IF(35&lt;5,0,IF(MAX(AH40:AM40)&gt;AM45+0+$B$18,1,0))</f>
        <v>0</v>
      </c>
      <c r="AN71" s="352" t="n">
        <f aca="false">IF(36&lt;5,0,IF(MAX(AI40:AN40)&gt;AN45+0+$B$18,1,0))</f>
        <v>0</v>
      </c>
      <c r="AO71" s="352" t="n">
        <f aca="false">IF(37&lt;5,0,IF(MAX(AJ40:AO40)&gt;AO45+0+$B$18,1,0))</f>
        <v>0</v>
      </c>
      <c r="AP71" s="352" t="n">
        <f aca="false">IF(38&lt;5,0,IF(MAX(AK40:AP40)&gt;AP45+0+$B$18,1,0))</f>
        <v>0</v>
      </c>
      <c r="AQ71" s="352" t="n">
        <f aca="false">IF(39&lt;5,0,IF(MAX(AL40:AQ40)&gt;AQ45+0+$B$18,1,0))</f>
        <v>0</v>
      </c>
      <c r="AR71" s="352" t="n">
        <f aca="false">IF(40&lt;5,0,IF(MAX(AM40:AR40)&gt;AR45+0+$B$18,1,0))</f>
        <v>0</v>
      </c>
      <c r="AS71" s="352" t="n">
        <f aca="false">IF(41&lt;5,0,IF(MAX(AN40:AS40)&gt;AS45+0+$B$18,1,0))</f>
        <v>0</v>
      </c>
      <c r="AT71" s="352" t="n">
        <f aca="false">IF(42&lt;5,0,IF(MAX(AO40:AT40)&gt;AT45+0+$B$18,1,0))</f>
        <v>0</v>
      </c>
      <c r="AU71" s="352" t="n">
        <f aca="false">IF(43&lt;5,0,IF(MAX(AP40:AU40)&gt;AU45+0+$B$18,1,0))</f>
        <v>0</v>
      </c>
      <c r="AV71" s="352" t="n">
        <f aca="false">IF(44&lt;5,0,IF(MAX(AQ40:AV40)&gt;AV45+0+$B$18,1,0))</f>
        <v>0</v>
      </c>
      <c r="AW71" s="352" t="n">
        <f aca="false">IF(45&lt;5,0,IF(MAX(AR40:AW40)&gt;AW45+0+$B$18,1,0))</f>
        <v>0</v>
      </c>
      <c r="AX71" s="352" t="n">
        <f aca="false">IF(46&lt;5,0,IF(MAX(AS40:AX40)&gt;AX45+0+$B$18,1,0))</f>
        <v>0</v>
      </c>
      <c r="AY71" s="352" t="n">
        <f aca="false">IF(47&lt;5,0,IF(MAX(AT40:AY40)&gt;AY45+0+$B$18,1,0))</f>
        <v>0</v>
      </c>
      <c r="AZ71" s="352" t="n">
        <f aca="false">IF(48&lt;5,0,IF(MAX(AU40:AZ40)&gt;AZ45+0+$B$18,1,0))</f>
        <v>0</v>
      </c>
      <c r="BA71" s="352" t="n">
        <f aca="false">IF(49&lt;5,0,IF(MAX(AV40:BA40)&gt;BA45+0+$B$18,1,0))</f>
        <v>0</v>
      </c>
      <c r="BB71" s="352" t="n">
        <f aca="false">IF(50&lt;5,0,IF(MAX(AW40:BB40)&gt;BB45+0+$B$18,1,0))</f>
        <v>0</v>
      </c>
      <c r="BC71" s="352" t="n">
        <f aca="false">IF(51&lt;5,0,IF(MAX(AX40:BC40)&gt;BC45+0+$B$18,1,0))</f>
        <v>0</v>
      </c>
      <c r="BD71" s="352" t="n">
        <f aca="false">IF(52&lt;5,0,IF(MAX(AY40:BD40)&gt;BD45+0+$B$18,1,0))</f>
        <v>0</v>
      </c>
      <c r="BE71" s="352" t="n">
        <f aca="false">IF(53&lt;5,0,IF(MAX(AZ40:BE40)&gt;BE45+0+$B$18,1,0))</f>
        <v>0</v>
      </c>
      <c r="BF71" s="352" t="n">
        <f aca="false">IF(54&lt;5,0,IF(MAX(BA40:BF40)&gt;BF45+0+$B$18,1,0))</f>
        <v>0</v>
      </c>
      <c r="BG71" s="352" t="n">
        <f aca="false">IF(55&lt;5,0,IF(MAX(BB40:BG40)&gt;BG45+0+$B$18,1,0))</f>
        <v>0</v>
      </c>
      <c r="BH71" s="352" t="n">
        <f aca="false">IF(56&lt;5,0,IF(MAX(BC40:BH40)&gt;BH45+0+$B$18,1,0))</f>
        <v>0</v>
      </c>
      <c r="BI71" s="352" t="n">
        <f aca="false">IF(57&lt;5,0,IF(MAX(BD40:BI40)&gt;BI45+0+$B$18,1,0))</f>
        <v>0</v>
      </c>
      <c r="BJ71" s="352" t="n">
        <f aca="false">IF(58&lt;5,0,IF(MAX(BE40:BJ40)&gt;BJ45+0+$B$18,1,0))</f>
        <v>0</v>
      </c>
      <c r="BK71" s="352" t="n">
        <f aca="false">IF(59&lt;5,0,IF(MAX(BF40:BK40)&gt;BK45+0+$B$18,1,0))</f>
        <v>0</v>
      </c>
      <c r="BL71" s="352" t="n">
        <f aca="false">IF(60&lt;5,0,IF(MAX(BG40:BL40)&gt;BL45+0+$B$18,1,0))</f>
        <v>0</v>
      </c>
      <c r="BM71" s="352" t="n">
        <f aca="false">IF(61&lt;5,0,IF(MAX(BH40:BM40)&gt;BM45+0+$B$18,1,0))</f>
        <v>0</v>
      </c>
      <c r="BN71" s="352" t="n">
        <f aca="false">IF(62&lt;5,0,IF(MAX(BI40:BN40)&gt;BN45+0+$B$18,1,0))</f>
        <v>0</v>
      </c>
      <c r="BO71" s="352" t="n">
        <f aca="false">IF(63&lt;5,0,IF(MAX(BJ40:BO40)&gt;BO45+0+$B$18,1,0))</f>
        <v>0</v>
      </c>
      <c r="BP71" s="352" t="n">
        <f aca="false">IF(64&lt;5,0,IF(MAX(BK40:BP40)&gt;BP45+0+$B$18,1,0))</f>
        <v>0</v>
      </c>
      <c r="BQ71" s="352" t="n">
        <f aca="false">IF(65&lt;5,0,IF(MAX(BL40:BQ40)&gt;BQ45+0+$B$18,1,0))</f>
        <v>0</v>
      </c>
      <c r="BR71" s="352" t="n">
        <f aca="false">IF(66&lt;5,0,IF(MAX(BM40:BR40)&gt;BR45+0+$B$18,1,0))</f>
        <v>0</v>
      </c>
      <c r="BS71" s="352" t="n">
        <f aca="false">IF(67&lt;5,0,IF(MAX(BN40:BS40)&gt;BS45+0+$B$18,1,0))</f>
        <v>0</v>
      </c>
      <c r="BT71" s="352" t="n">
        <f aca="false">IF(68&lt;5,0,IF(MAX(BO40:BT40)&gt;BT45+0+$B$18,1,0))</f>
        <v>0</v>
      </c>
      <c r="BU71" s="352" t="n">
        <f aca="false">IF(69&lt;5,0,IF(MAX(BP40:BU40)&gt;BU45+0+$B$18,1,0))</f>
        <v>0</v>
      </c>
      <c r="BV71" s="352" t="n">
        <f aca="false">IF(70&lt;5,0,IF(MAX(BQ40:BV40)&gt;BV45+0+$B$18,1,0))</f>
        <v>0</v>
      </c>
      <c r="BW71" s="352" t="n">
        <f aca="false">IF(71&lt;5,0,IF(MAX(BR40:BW40)&gt;BW45+0+$B$18,1,0))</f>
        <v>0</v>
      </c>
      <c r="BX71" s="352" t="n">
        <f aca="false">IF(72&lt;5,0,IF(MAX(BS40:BX40)&gt;BX45+0+$B$18,1,0))</f>
        <v>0</v>
      </c>
      <c r="BY71" s="352" t="n">
        <f aca="false">IF(73&lt;5,0,IF(MAX(BT40:BY40)&gt;BY45+0+$B$18,1,0))</f>
        <v>0</v>
      </c>
      <c r="BZ71" s="352" t="n">
        <f aca="false">IF(74&lt;5,0,IF(MAX(BU40:BZ40)&gt;BZ45+0+$B$18,1,0))</f>
        <v>0</v>
      </c>
      <c r="CA71" s="352" t="n">
        <f aca="false">IF(75&lt;5,0,IF(MAX(BV40:CA40)&gt;CA45+0+$B$18,1,0))</f>
        <v>0</v>
      </c>
      <c r="CB71" s="352" t="n">
        <f aca="false">IF(76&lt;5,0,IF(MAX(BW40:CB40)&gt;CB45+0+$B$18,1,0))</f>
        <v>0</v>
      </c>
      <c r="CC71" s="352" t="n">
        <f aca="false">IF(77&lt;5,0,IF(MAX(BX40:CC40)&gt;CC45+0+$B$18,1,0))</f>
        <v>0</v>
      </c>
      <c r="CD71" s="352" t="n">
        <f aca="false">IF(78&lt;5,0,IF(MAX(BY40:CD40)&gt;CD45+0+$B$18,1,0))</f>
        <v>0</v>
      </c>
      <c r="CE71" s="352" t="n">
        <f aca="false">IF(79&lt;5,0,IF(MAX(BZ40:CE40)&gt;CE45+0+$B$18,1,0))</f>
        <v>0</v>
      </c>
      <c r="CF71" s="352" t="n">
        <f aca="false">IF(80&lt;5,0,IF(MAX(CA40:CF40)&gt;CF45+0+$B$18,1,0))</f>
        <v>0</v>
      </c>
      <c r="CG71" s="352" t="n">
        <f aca="false">IF(81&lt;5,0,IF(MAX(CB40:CG40)&gt;CG45+0+$B$18,1,0))</f>
        <v>0</v>
      </c>
      <c r="CH71" s="352" t="n">
        <f aca="false">IF(82&lt;5,0,IF(MAX(CC40:CH40)&gt;CH45+0+$B$18,1,0))</f>
        <v>0</v>
      </c>
      <c r="CI71" s="352" t="n">
        <f aca="false">IF(83&lt;5,0,IF(MAX(CD40:CI40)&gt;CI45+0+$B$18,1,0))</f>
        <v>0</v>
      </c>
      <c r="CJ71" s="352" t="n">
        <f aca="false">IF(84&lt;5,0,IF(MAX(CE40:CJ40)&gt;CJ45+0+$B$18,1,0))</f>
        <v>0</v>
      </c>
      <c r="CK71" s="352" t="n">
        <f aca="false">IF(85&lt;5,0,IF(MAX(CF40:CK40)&gt;CK45+0+$B$18,1,0))</f>
        <v>0</v>
      </c>
      <c r="CL71" s="352" t="n">
        <f aca="false">IF(86&lt;5,0,IF(MAX(CG40:CL40)&gt;CL45+0+$B$18,1,0))</f>
        <v>0</v>
      </c>
      <c r="CM71" s="352" t="n">
        <f aca="false">IF(87&lt;5,0,IF(MAX(CH40:CM40)&gt;CM45+0+$B$18,1,0))</f>
        <v>0</v>
      </c>
      <c r="CN71" s="352" t="n">
        <f aca="false">IF(88&lt;5,0,IF(MAX(CI40:CN40)&gt;CN45+0+$B$18,1,0))</f>
        <v>0</v>
      </c>
      <c r="CO71" s="352" t="n">
        <f aca="false">IF(89&lt;5,0,IF(MAX(CJ40:CO40)&gt;CO45+0+$B$18,1,0))</f>
        <v>0</v>
      </c>
      <c r="CP71" s="352" t="n">
        <f aca="false">IF(90&lt;5,0,IF(MAX(CK40:CP40)&gt;CP45+0+$B$18,1,0))</f>
        <v>0</v>
      </c>
      <c r="CQ71" s="352" t="n">
        <f aca="false">IF(91&lt;5,0,IF(MAX(CL40:CQ40)&gt;CQ45+0+$B$18,1,0))</f>
        <v>0</v>
      </c>
      <c r="CR71" s="352" t="n">
        <f aca="false">IF(92&lt;5,0,IF(MAX(CM40:CR40)&gt;CR45+0+$B$18,1,0))</f>
        <v>0</v>
      </c>
      <c r="CS71" s="352" t="n">
        <f aca="false">IF(93&lt;5,0,IF(MAX(CN40:CS40)&gt;CS45+0+$B$18,1,0))</f>
        <v>0</v>
      </c>
      <c r="CT71" s="352" t="n">
        <f aca="false">IF(94&lt;5,0,IF(MAX(CO40:CT40)&gt;CT45+0+$B$18,1,0))</f>
        <v>0</v>
      </c>
      <c r="CU71" s="352" t="n">
        <f aca="false">IF(95&lt;5,0,IF(MAX(CP40:CU40)&gt;CU45+0+$B$18,1,0))</f>
        <v>0</v>
      </c>
      <c r="CV71" s="352" t="n">
        <f aca="false">IF(96&lt;5,0,IF(MAX(CQ40:CV40)&gt;CV45+0+$B$18,1,0))</f>
        <v>0</v>
      </c>
      <c r="CW71" s="352" t="n">
        <f aca="false">IF(97&lt;5,0,IF(MAX(CR40:CW40)&gt;CW45+0+$B$18,1,0))</f>
        <v>0</v>
      </c>
      <c r="CX71" s="352" t="n">
        <f aca="false">IF(98&lt;5,0,IF(MAX(CS40:CX40)&gt;CX45+0+$B$18,1,0))</f>
        <v>0</v>
      </c>
      <c r="CY71" s="352" t="n">
        <f aca="false">IF(99&lt;5,0,IF(MAX(CT40:CY40)&gt;CY45+0+$B$18,1,0))</f>
        <v>0</v>
      </c>
      <c r="CZ71" s="352" t="n">
        <f aca="false">IF(100&lt;5,0,IF(MAX(CU40:CZ40)&gt;CZ45+0+$B$18,1,0))</f>
        <v>0</v>
      </c>
      <c r="DA71" s="352" t="n">
        <f aca="false">IF(101&lt;5,0,IF(MAX(CV40:DA40)&gt;DA45+0+$B$18,1,0))</f>
        <v>0</v>
      </c>
      <c r="DB71" s="352" t="n">
        <f aca="false">IF(102&lt;5,0,IF(MAX(CW40:DB40)&gt;DB45+0+$B$18,1,0))</f>
        <v>0</v>
      </c>
      <c r="DC71" s="352" t="n">
        <f aca="false">IF(103&lt;5,0,IF(MAX(CX40:DC40)&gt;DC45+0+$B$18,1,0))</f>
        <v>0</v>
      </c>
      <c r="DD71" s="352" t="n">
        <f aca="false">IF(104&lt;5,0,IF(MAX(CY40:DD40)&gt;DD45+0+$B$18,1,0))</f>
        <v>0</v>
      </c>
      <c r="DE71" s="352" t="n">
        <f aca="false">IF(105&lt;5,0,IF(MAX(CZ40:DE40)&gt;DE45+0+$B$18,1,0))</f>
        <v>0</v>
      </c>
    </row>
    <row r="72" customFormat="false" ht="13.5" hidden="false" customHeight="true" outlineLevel="0" collapsed="false">
      <c r="A72" s="109" t="s">
        <v>1197</v>
      </c>
      <c r="B72" s="211" t="n">
        <f aca="false">$B$29</f>
        <v>180000</v>
      </c>
      <c r="E72" s="352" t="n">
        <f aca="false">IF(1&lt;5,0,IF(MAX(E40)&gt;E45+1+$B$18,1,0))</f>
        <v>0</v>
      </c>
      <c r="F72" s="352" t="n">
        <f aca="false">IF(2&lt;5,0,IF(MAX(E40:F40)&gt;F45+1+$B$18,1,0))</f>
        <v>0</v>
      </c>
      <c r="G72" s="352" t="n">
        <f aca="false">IF(3&lt;5,0,IF(MAX(E40:G40)&gt;G45+1+$B$18,1,0))</f>
        <v>0</v>
      </c>
      <c r="H72" s="352" t="n">
        <f aca="false">IF(4&lt;5,0,IF(MAX(E40:H40)&gt;H45+1+$B$18,1,0))</f>
        <v>0</v>
      </c>
      <c r="I72" s="352" t="n">
        <f aca="false">IF(5&lt;5,0,IF(MAX(E40:I40)&gt;I45+1+$B$18,1,0))</f>
        <v>0</v>
      </c>
      <c r="J72" s="352" t="n">
        <f aca="false">IF(6&lt;5,0,IF(MAX(E40:J40)&gt;J45+1+$B$18,1,0))</f>
        <v>0</v>
      </c>
      <c r="K72" s="352" t="n">
        <f aca="false">IF(7&lt;5,0,IF(MAX(F40:K40)&gt;K45+1+$B$18,1,0))</f>
        <v>0</v>
      </c>
      <c r="L72" s="352" t="n">
        <f aca="false">IF(8&lt;5,0,IF(MAX(G40:L40)&gt;L45+1+$B$18,1,0))</f>
        <v>0</v>
      </c>
      <c r="M72" s="352" t="n">
        <f aca="false">IF(9&lt;5,0,IF(MAX(H40:M40)&gt;M45+1+$B$18,1,0))</f>
        <v>0</v>
      </c>
      <c r="N72" s="352" t="n">
        <f aca="false">IF(10&lt;5,0,IF(MAX(I40:N40)&gt;N45+1+$B$18,1,0))</f>
        <v>0</v>
      </c>
      <c r="O72" s="352" t="n">
        <f aca="false">IF(11&lt;5,0,IF(MAX(J40:O40)&gt;O45+1+$B$18,1,0))</f>
        <v>0</v>
      </c>
      <c r="P72" s="352" t="n">
        <f aca="false">IF(12&lt;5,0,IF(MAX(K40:P40)&gt;P45+1+$B$18,1,0))</f>
        <v>0</v>
      </c>
      <c r="Q72" s="352" t="n">
        <f aca="false">IF(13&lt;5,0,IF(MAX(L40:Q40)&gt;Q45+1+$B$18,1,0))</f>
        <v>0</v>
      </c>
      <c r="R72" s="352" t="n">
        <f aca="false">IF(14&lt;5,0,IF(MAX(M40:R40)&gt;R45+1+$B$18,1,0))</f>
        <v>0</v>
      </c>
      <c r="S72" s="352" t="n">
        <f aca="false">IF(15&lt;5,0,IF(MAX(N40:S40)&gt;S45+1+$B$18,1,0))</f>
        <v>0</v>
      </c>
      <c r="T72" s="352" t="n">
        <f aca="false">IF(16&lt;5,0,IF(MAX(O40:T40)&gt;T45+1+$B$18,1,0))</f>
        <v>0</v>
      </c>
      <c r="U72" s="352" t="n">
        <f aca="false">IF(17&lt;5,0,IF(MAX(P40:U40)&gt;U45+1+$B$18,1,0))</f>
        <v>0</v>
      </c>
      <c r="V72" s="352" t="n">
        <f aca="false">IF(18&lt;5,0,IF(MAX(Q40:V40)&gt;V45+1+$B$18,1,0))</f>
        <v>0</v>
      </c>
      <c r="W72" s="352" t="n">
        <f aca="false">IF(19&lt;5,0,IF(MAX(R40:W40)&gt;W45+1+$B$18,1,0))</f>
        <v>0</v>
      </c>
      <c r="X72" s="352" t="n">
        <f aca="false">IF(20&lt;5,0,IF(MAX(S40:X40)&gt;X45+1+$B$18,1,0))</f>
        <v>0</v>
      </c>
      <c r="Y72" s="352" t="n">
        <f aca="false">IF(21&lt;5,0,IF(MAX(T40:Y40)&gt;Y45+1+$B$18,1,0))</f>
        <v>0</v>
      </c>
      <c r="Z72" s="352" t="n">
        <f aca="false">IF(22&lt;5,0,IF(MAX(U40:Z40)&gt;Z45+1+$B$18,1,0))</f>
        <v>0</v>
      </c>
      <c r="AA72" s="352" t="n">
        <f aca="false">IF(23&lt;5,0,IF(MAX(V40:AA40)&gt;AA45+1+$B$18,1,0))</f>
        <v>0</v>
      </c>
      <c r="AB72" s="352" t="n">
        <f aca="false">IF(24&lt;5,0,IF(MAX(W40:AB40)&gt;AB45+1+$B$18,1,0))</f>
        <v>0</v>
      </c>
      <c r="AC72" s="352" t="n">
        <f aca="false">IF(25&lt;5,0,IF(MAX(X40:AC40)&gt;AC45+1+$B$18,1,0))</f>
        <v>0</v>
      </c>
      <c r="AD72" s="352" t="n">
        <f aca="false">IF(26&lt;5,0,IF(MAX(Y40:AD40)&gt;AD45+1+$B$18,1,0))</f>
        <v>0</v>
      </c>
      <c r="AE72" s="352" t="n">
        <f aca="false">IF(27&lt;5,0,IF(MAX(Z40:AE40)&gt;AE45+1+$B$18,1,0))</f>
        <v>0</v>
      </c>
      <c r="AF72" s="352" t="n">
        <f aca="false">IF(28&lt;5,0,IF(MAX(AA40:AF40)&gt;AF45+1+$B$18,1,0))</f>
        <v>0</v>
      </c>
      <c r="AG72" s="352" t="n">
        <f aca="false">IF(29&lt;5,0,IF(MAX(AB40:AG40)&gt;AG45+1+$B$18,1,0))</f>
        <v>0</v>
      </c>
      <c r="AH72" s="352" t="n">
        <f aca="false">IF(30&lt;5,0,IF(MAX(AC40:AH40)&gt;AH45+1+$B$18,1,0))</f>
        <v>0</v>
      </c>
      <c r="AI72" s="352" t="n">
        <f aca="false">IF(31&lt;5,0,IF(MAX(AD40:AI40)&gt;AI45+1+$B$18,1,0))</f>
        <v>0</v>
      </c>
      <c r="AJ72" s="352" t="n">
        <f aca="false">IF(32&lt;5,0,IF(MAX(AE40:AJ40)&gt;AJ45+1+$B$18,1,0))</f>
        <v>0</v>
      </c>
      <c r="AK72" s="352" t="n">
        <f aca="false">IF(33&lt;5,0,IF(MAX(AF40:AK40)&gt;AK45+1+$B$18,1,0))</f>
        <v>0</v>
      </c>
      <c r="AL72" s="352" t="n">
        <f aca="false">IF(34&lt;5,0,IF(MAX(AG40:AL40)&gt;AL45+1+$B$18,1,0))</f>
        <v>0</v>
      </c>
      <c r="AM72" s="352" t="n">
        <f aca="false">IF(35&lt;5,0,IF(MAX(AH40:AM40)&gt;AM45+1+$B$18,1,0))</f>
        <v>0</v>
      </c>
      <c r="AN72" s="352" t="n">
        <f aca="false">IF(36&lt;5,0,IF(MAX(AI40:AN40)&gt;AN45+1+$B$18,1,0))</f>
        <v>0</v>
      </c>
      <c r="AO72" s="352" t="n">
        <f aca="false">IF(37&lt;5,0,IF(MAX(AJ40:AO40)&gt;AO45+1+$B$18,1,0))</f>
        <v>0</v>
      </c>
      <c r="AP72" s="352" t="n">
        <f aca="false">IF(38&lt;5,0,IF(MAX(AK40:AP40)&gt;AP45+1+$B$18,1,0))</f>
        <v>0</v>
      </c>
      <c r="AQ72" s="352" t="n">
        <f aca="false">IF(39&lt;5,0,IF(MAX(AL40:AQ40)&gt;AQ45+1+$B$18,1,0))</f>
        <v>0</v>
      </c>
      <c r="AR72" s="352" t="n">
        <f aca="false">IF(40&lt;5,0,IF(MAX(AM40:AR40)&gt;AR45+1+$B$18,1,0))</f>
        <v>0</v>
      </c>
      <c r="AS72" s="352" t="n">
        <f aca="false">IF(41&lt;5,0,IF(MAX(AN40:AS40)&gt;AS45+1+$B$18,1,0))</f>
        <v>0</v>
      </c>
      <c r="AT72" s="352" t="n">
        <f aca="false">IF(42&lt;5,0,IF(MAX(AO40:AT40)&gt;AT45+1+$B$18,1,0))</f>
        <v>0</v>
      </c>
      <c r="AU72" s="352" t="n">
        <f aca="false">IF(43&lt;5,0,IF(MAX(AP40:AU40)&gt;AU45+1+$B$18,1,0))</f>
        <v>0</v>
      </c>
      <c r="AV72" s="352" t="n">
        <f aca="false">IF(44&lt;5,0,IF(MAX(AQ40:AV40)&gt;AV45+1+$B$18,1,0))</f>
        <v>0</v>
      </c>
      <c r="AW72" s="352" t="n">
        <f aca="false">IF(45&lt;5,0,IF(MAX(AR40:AW40)&gt;AW45+1+$B$18,1,0))</f>
        <v>0</v>
      </c>
      <c r="AX72" s="352" t="n">
        <f aca="false">IF(46&lt;5,0,IF(MAX(AS40:AX40)&gt;AX45+1+$B$18,1,0))</f>
        <v>0</v>
      </c>
      <c r="AY72" s="352" t="n">
        <f aca="false">IF(47&lt;5,0,IF(MAX(AT40:AY40)&gt;AY45+1+$B$18,1,0))</f>
        <v>0</v>
      </c>
      <c r="AZ72" s="352" t="n">
        <f aca="false">IF(48&lt;5,0,IF(MAX(AU40:AZ40)&gt;AZ45+1+$B$18,1,0))</f>
        <v>0</v>
      </c>
      <c r="BA72" s="352" t="n">
        <f aca="false">IF(49&lt;5,0,IF(MAX(AV40:BA40)&gt;BA45+1+$B$18,1,0))</f>
        <v>0</v>
      </c>
      <c r="BB72" s="352" t="n">
        <f aca="false">IF(50&lt;5,0,IF(MAX(AW40:BB40)&gt;BB45+1+$B$18,1,0))</f>
        <v>0</v>
      </c>
      <c r="BC72" s="352" t="n">
        <f aca="false">IF(51&lt;5,0,IF(MAX(AX40:BC40)&gt;BC45+1+$B$18,1,0))</f>
        <v>0</v>
      </c>
      <c r="BD72" s="352" t="n">
        <f aca="false">IF(52&lt;5,0,IF(MAX(AY40:BD40)&gt;BD45+1+$B$18,1,0))</f>
        <v>0</v>
      </c>
      <c r="BE72" s="352" t="n">
        <f aca="false">IF(53&lt;5,0,IF(MAX(AZ40:BE40)&gt;BE45+1+$B$18,1,0))</f>
        <v>0</v>
      </c>
      <c r="BF72" s="352" t="n">
        <f aca="false">IF(54&lt;5,0,IF(MAX(BA40:BF40)&gt;BF45+1+$B$18,1,0))</f>
        <v>0</v>
      </c>
      <c r="BG72" s="352" t="n">
        <f aca="false">IF(55&lt;5,0,IF(MAX(BB40:BG40)&gt;BG45+1+$B$18,1,0))</f>
        <v>0</v>
      </c>
      <c r="BH72" s="352" t="n">
        <f aca="false">IF(56&lt;5,0,IF(MAX(BC40:BH40)&gt;BH45+1+$B$18,1,0))</f>
        <v>0</v>
      </c>
      <c r="BI72" s="352" t="n">
        <f aca="false">IF(57&lt;5,0,IF(MAX(BD40:BI40)&gt;BI45+1+$B$18,1,0))</f>
        <v>0</v>
      </c>
      <c r="BJ72" s="352" t="n">
        <f aca="false">IF(58&lt;5,0,IF(MAX(BE40:BJ40)&gt;BJ45+1+$B$18,1,0))</f>
        <v>0</v>
      </c>
      <c r="BK72" s="352" t="n">
        <f aca="false">IF(59&lt;5,0,IF(MAX(BF40:BK40)&gt;BK45+1+$B$18,1,0))</f>
        <v>0</v>
      </c>
      <c r="BL72" s="352" t="n">
        <f aca="false">IF(60&lt;5,0,IF(MAX(BG40:BL40)&gt;BL45+1+$B$18,1,0))</f>
        <v>0</v>
      </c>
      <c r="BM72" s="352" t="n">
        <f aca="false">IF(61&lt;5,0,IF(MAX(BH40:BM40)&gt;BM45+1+$B$18,1,0))</f>
        <v>0</v>
      </c>
      <c r="BN72" s="352" t="n">
        <f aca="false">IF(62&lt;5,0,IF(MAX(BI40:BN40)&gt;BN45+1+$B$18,1,0))</f>
        <v>0</v>
      </c>
      <c r="BO72" s="352" t="n">
        <f aca="false">IF(63&lt;5,0,IF(MAX(BJ40:BO40)&gt;BO45+1+$B$18,1,0))</f>
        <v>0</v>
      </c>
      <c r="BP72" s="352" t="n">
        <f aca="false">IF(64&lt;5,0,IF(MAX(BK40:BP40)&gt;BP45+1+$B$18,1,0))</f>
        <v>0</v>
      </c>
      <c r="BQ72" s="352" t="n">
        <f aca="false">IF(65&lt;5,0,IF(MAX(BL40:BQ40)&gt;BQ45+1+$B$18,1,0))</f>
        <v>0</v>
      </c>
      <c r="BR72" s="352" t="n">
        <f aca="false">IF(66&lt;5,0,IF(MAX(BM40:BR40)&gt;BR45+1+$B$18,1,0))</f>
        <v>0</v>
      </c>
      <c r="BS72" s="352" t="n">
        <f aca="false">IF(67&lt;5,0,IF(MAX(BN40:BS40)&gt;BS45+1+$B$18,1,0))</f>
        <v>0</v>
      </c>
      <c r="BT72" s="352" t="n">
        <f aca="false">IF(68&lt;5,0,IF(MAX(BO40:BT40)&gt;BT45+1+$B$18,1,0))</f>
        <v>0</v>
      </c>
      <c r="BU72" s="352" t="n">
        <f aca="false">IF(69&lt;5,0,IF(MAX(BP40:BU40)&gt;BU45+1+$B$18,1,0))</f>
        <v>0</v>
      </c>
      <c r="BV72" s="352" t="n">
        <f aca="false">IF(70&lt;5,0,IF(MAX(BQ40:BV40)&gt;BV45+1+$B$18,1,0))</f>
        <v>0</v>
      </c>
      <c r="BW72" s="352" t="n">
        <f aca="false">IF(71&lt;5,0,IF(MAX(BR40:BW40)&gt;BW45+1+$B$18,1,0))</f>
        <v>0</v>
      </c>
      <c r="BX72" s="352" t="n">
        <f aca="false">IF(72&lt;5,0,IF(MAX(BS40:BX40)&gt;BX45+1+$B$18,1,0))</f>
        <v>0</v>
      </c>
      <c r="BY72" s="352" t="n">
        <f aca="false">IF(73&lt;5,0,IF(MAX(BT40:BY40)&gt;BY45+1+$B$18,1,0))</f>
        <v>0</v>
      </c>
      <c r="BZ72" s="352" t="n">
        <f aca="false">IF(74&lt;5,0,IF(MAX(BU40:BZ40)&gt;BZ45+1+$B$18,1,0))</f>
        <v>0</v>
      </c>
      <c r="CA72" s="352" t="n">
        <f aca="false">IF(75&lt;5,0,IF(MAX(BV40:CA40)&gt;CA45+1+$B$18,1,0))</f>
        <v>0</v>
      </c>
      <c r="CB72" s="352" t="n">
        <f aca="false">IF(76&lt;5,0,IF(MAX(BW40:CB40)&gt;CB45+1+$B$18,1,0))</f>
        <v>0</v>
      </c>
      <c r="CC72" s="352" t="n">
        <f aca="false">IF(77&lt;5,0,IF(MAX(BX40:CC40)&gt;CC45+1+$B$18,1,0))</f>
        <v>0</v>
      </c>
      <c r="CD72" s="352" t="n">
        <f aca="false">IF(78&lt;5,0,IF(MAX(BY40:CD40)&gt;CD45+1+$B$18,1,0))</f>
        <v>0</v>
      </c>
      <c r="CE72" s="352" t="n">
        <f aca="false">IF(79&lt;5,0,IF(MAX(BZ40:CE40)&gt;CE45+1+$B$18,1,0))</f>
        <v>0</v>
      </c>
      <c r="CF72" s="352" t="n">
        <f aca="false">IF(80&lt;5,0,IF(MAX(CA40:CF40)&gt;CF45+1+$B$18,1,0))</f>
        <v>0</v>
      </c>
      <c r="CG72" s="352" t="n">
        <f aca="false">IF(81&lt;5,0,IF(MAX(CB40:CG40)&gt;CG45+1+$B$18,1,0))</f>
        <v>0</v>
      </c>
      <c r="CH72" s="352" t="n">
        <f aca="false">IF(82&lt;5,0,IF(MAX(CC40:CH40)&gt;CH45+1+$B$18,1,0))</f>
        <v>0</v>
      </c>
      <c r="CI72" s="352" t="n">
        <f aca="false">IF(83&lt;5,0,IF(MAX(CD40:CI40)&gt;CI45+1+$B$18,1,0))</f>
        <v>0</v>
      </c>
      <c r="CJ72" s="352" t="n">
        <f aca="false">IF(84&lt;5,0,IF(MAX(CE40:CJ40)&gt;CJ45+1+$B$18,1,0))</f>
        <v>0</v>
      </c>
      <c r="CK72" s="352" t="n">
        <f aca="false">IF(85&lt;5,0,IF(MAX(CF40:CK40)&gt;CK45+1+$B$18,1,0))</f>
        <v>0</v>
      </c>
      <c r="CL72" s="352" t="n">
        <f aca="false">IF(86&lt;5,0,IF(MAX(CG40:CL40)&gt;CL45+1+$B$18,1,0))</f>
        <v>0</v>
      </c>
      <c r="CM72" s="352" t="n">
        <f aca="false">IF(87&lt;5,0,IF(MAX(CH40:CM40)&gt;CM45+1+$B$18,1,0))</f>
        <v>0</v>
      </c>
      <c r="CN72" s="352" t="n">
        <f aca="false">IF(88&lt;5,0,IF(MAX(CI40:CN40)&gt;CN45+1+$B$18,1,0))</f>
        <v>0</v>
      </c>
      <c r="CO72" s="352" t="n">
        <f aca="false">IF(89&lt;5,0,IF(MAX(CJ40:CO40)&gt;CO45+1+$B$18,1,0))</f>
        <v>0</v>
      </c>
      <c r="CP72" s="352" t="n">
        <f aca="false">IF(90&lt;5,0,IF(MAX(CK40:CP40)&gt;CP45+1+$B$18,1,0))</f>
        <v>0</v>
      </c>
      <c r="CQ72" s="352" t="n">
        <f aca="false">IF(91&lt;5,0,IF(MAX(CL40:CQ40)&gt;CQ45+1+$B$18,1,0))</f>
        <v>0</v>
      </c>
      <c r="CR72" s="352" t="n">
        <f aca="false">IF(92&lt;5,0,IF(MAX(CM40:CR40)&gt;CR45+1+$B$18,1,0))</f>
        <v>0</v>
      </c>
      <c r="CS72" s="352" t="n">
        <f aca="false">IF(93&lt;5,0,IF(MAX(CN40:CS40)&gt;CS45+1+$B$18,1,0))</f>
        <v>0</v>
      </c>
      <c r="CT72" s="352" t="n">
        <f aca="false">IF(94&lt;5,0,IF(MAX(CO40:CT40)&gt;CT45+1+$B$18,1,0))</f>
        <v>0</v>
      </c>
      <c r="CU72" s="352" t="n">
        <f aca="false">IF(95&lt;5,0,IF(MAX(CP40:CU40)&gt;CU45+1+$B$18,1,0))</f>
        <v>0</v>
      </c>
      <c r="CV72" s="352" t="n">
        <f aca="false">IF(96&lt;5,0,IF(MAX(CQ40:CV40)&gt;CV45+1+$B$18,1,0))</f>
        <v>0</v>
      </c>
      <c r="CW72" s="352" t="n">
        <f aca="false">IF(97&lt;5,0,IF(MAX(CR40:CW40)&gt;CW45+1+$B$18,1,0))</f>
        <v>0</v>
      </c>
      <c r="CX72" s="352" t="n">
        <f aca="false">IF(98&lt;5,0,IF(MAX(CS40:CX40)&gt;CX45+1+$B$18,1,0))</f>
        <v>0</v>
      </c>
      <c r="CY72" s="352" t="n">
        <f aca="false">IF(99&lt;5,0,IF(MAX(CT40:CY40)&gt;CY45+1+$B$18,1,0))</f>
        <v>0</v>
      </c>
      <c r="CZ72" s="352" t="n">
        <f aca="false">IF(100&lt;5,0,IF(MAX(CU40:CZ40)&gt;CZ45+1+$B$18,1,0))</f>
        <v>0</v>
      </c>
      <c r="DA72" s="352" t="n">
        <f aca="false">IF(101&lt;5,0,IF(MAX(CV40:DA40)&gt;DA45+1+$B$18,1,0))</f>
        <v>0</v>
      </c>
      <c r="DB72" s="352" t="n">
        <f aca="false">IF(102&lt;5,0,IF(MAX(CW40:DB40)&gt;DB45+1+$B$18,1,0))</f>
        <v>0</v>
      </c>
      <c r="DC72" s="352" t="n">
        <f aca="false">IF(103&lt;5,0,IF(MAX(CX40:DC40)&gt;DC45+1+$B$18,1,0))</f>
        <v>0</v>
      </c>
      <c r="DD72" s="352" t="n">
        <f aca="false">IF(104&lt;5,0,IF(MAX(CY40:DD40)&gt;DD45+1+$B$18,1,0))</f>
        <v>0</v>
      </c>
      <c r="DE72" s="352" t="n">
        <f aca="false">IF(105&lt;5,0,IF(MAX(CZ40:DE40)&gt;DE45+1+$B$18,1,0))</f>
        <v>0</v>
      </c>
    </row>
    <row r="73" customFormat="false" ht="13.5" hidden="false" customHeight="true" outlineLevel="0" collapsed="false">
      <c r="A73" s="109" t="s">
        <v>1198</v>
      </c>
      <c r="B73" s="211" t="n">
        <f aca="false">$B$29</f>
        <v>180000</v>
      </c>
      <c r="E73" s="352" t="n">
        <f aca="false">IF(1&lt;5,0,IF(MAX(E40)&gt;E45+2+$B$18,1,0))</f>
        <v>0</v>
      </c>
      <c r="F73" s="352" t="n">
        <f aca="false">IF(2&lt;5,0,IF(MAX(E40:F40)&gt;F45+2+$B$18,1,0))</f>
        <v>0</v>
      </c>
      <c r="G73" s="352" t="n">
        <f aca="false">IF(3&lt;5,0,IF(MAX(E40:G40)&gt;G45+2+$B$18,1,0))</f>
        <v>0</v>
      </c>
      <c r="H73" s="352" t="n">
        <f aca="false">IF(4&lt;5,0,IF(MAX(E40:H40)&gt;H45+2+$B$18,1,0))</f>
        <v>0</v>
      </c>
      <c r="I73" s="352" t="n">
        <f aca="false">IF(5&lt;5,0,IF(MAX(E40:I40)&gt;I45+2+$B$18,1,0))</f>
        <v>0</v>
      </c>
      <c r="J73" s="352" t="n">
        <f aca="false">IF(6&lt;5,0,IF(MAX(E40:J40)&gt;J45+2+$B$18,1,0))</f>
        <v>0</v>
      </c>
      <c r="K73" s="352" t="n">
        <f aca="false">IF(7&lt;5,0,IF(MAX(F40:K40)&gt;K45+2+$B$18,1,0))</f>
        <v>0</v>
      </c>
      <c r="L73" s="352" t="n">
        <f aca="false">IF(8&lt;5,0,IF(MAX(G40:L40)&gt;L45+2+$B$18,1,0))</f>
        <v>0</v>
      </c>
      <c r="M73" s="352" t="n">
        <f aca="false">IF(9&lt;5,0,IF(MAX(H40:M40)&gt;M45+2+$B$18,1,0))</f>
        <v>0</v>
      </c>
      <c r="N73" s="352" t="n">
        <f aca="false">IF(10&lt;5,0,IF(MAX(I40:N40)&gt;N45+2+$B$18,1,0))</f>
        <v>0</v>
      </c>
      <c r="O73" s="352" t="n">
        <f aca="false">IF(11&lt;5,0,IF(MAX(J40:O40)&gt;O45+2+$B$18,1,0))</f>
        <v>0</v>
      </c>
      <c r="P73" s="352" t="n">
        <f aca="false">IF(12&lt;5,0,IF(MAX(K40:P40)&gt;P45+2+$B$18,1,0))</f>
        <v>0</v>
      </c>
      <c r="Q73" s="352" t="n">
        <f aca="false">IF(13&lt;5,0,IF(MAX(L40:Q40)&gt;Q45+2+$B$18,1,0))</f>
        <v>0</v>
      </c>
      <c r="R73" s="352" t="n">
        <f aca="false">IF(14&lt;5,0,IF(MAX(M40:R40)&gt;R45+2+$B$18,1,0))</f>
        <v>0</v>
      </c>
      <c r="S73" s="352" t="n">
        <f aca="false">IF(15&lt;5,0,IF(MAX(N40:S40)&gt;S45+2+$B$18,1,0))</f>
        <v>0</v>
      </c>
      <c r="T73" s="352" t="n">
        <f aca="false">IF(16&lt;5,0,IF(MAX(O40:T40)&gt;T45+2+$B$18,1,0))</f>
        <v>0</v>
      </c>
      <c r="U73" s="352" t="n">
        <f aca="false">IF(17&lt;5,0,IF(MAX(P40:U40)&gt;U45+2+$B$18,1,0))</f>
        <v>0</v>
      </c>
      <c r="V73" s="352" t="n">
        <f aca="false">IF(18&lt;5,0,IF(MAX(Q40:V40)&gt;V45+2+$B$18,1,0))</f>
        <v>0</v>
      </c>
      <c r="W73" s="352" t="n">
        <f aca="false">IF(19&lt;5,0,IF(MAX(R40:W40)&gt;W45+2+$B$18,1,0))</f>
        <v>0</v>
      </c>
      <c r="X73" s="352" t="n">
        <f aca="false">IF(20&lt;5,0,IF(MAX(S40:X40)&gt;X45+2+$B$18,1,0))</f>
        <v>0</v>
      </c>
      <c r="Y73" s="352" t="n">
        <f aca="false">IF(21&lt;5,0,IF(MAX(T40:Y40)&gt;Y45+2+$B$18,1,0))</f>
        <v>0</v>
      </c>
      <c r="Z73" s="352" t="n">
        <f aca="false">IF(22&lt;5,0,IF(MAX(U40:Z40)&gt;Z45+2+$B$18,1,0))</f>
        <v>0</v>
      </c>
      <c r="AA73" s="352" t="n">
        <f aca="false">IF(23&lt;5,0,IF(MAX(V40:AA40)&gt;AA45+2+$B$18,1,0))</f>
        <v>0</v>
      </c>
      <c r="AB73" s="352" t="n">
        <f aca="false">IF(24&lt;5,0,IF(MAX(W40:AB40)&gt;AB45+2+$B$18,1,0))</f>
        <v>0</v>
      </c>
      <c r="AC73" s="352" t="n">
        <f aca="false">IF(25&lt;5,0,IF(MAX(X40:AC40)&gt;AC45+2+$B$18,1,0))</f>
        <v>0</v>
      </c>
      <c r="AD73" s="352" t="n">
        <f aca="false">IF(26&lt;5,0,IF(MAX(Y40:AD40)&gt;AD45+2+$B$18,1,0))</f>
        <v>0</v>
      </c>
      <c r="AE73" s="352" t="n">
        <f aca="false">IF(27&lt;5,0,IF(MAX(Z40:AE40)&gt;AE45+2+$B$18,1,0))</f>
        <v>0</v>
      </c>
      <c r="AF73" s="352" t="n">
        <f aca="false">IF(28&lt;5,0,IF(MAX(AA40:AF40)&gt;AF45+2+$B$18,1,0))</f>
        <v>0</v>
      </c>
      <c r="AG73" s="352" t="n">
        <f aca="false">IF(29&lt;5,0,IF(MAX(AB40:AG40)&gt;AG45+2+$B$18,1,0))</f>
        <v>0</v>
      </c>
      <c r="AH73" s="352" t="n">
        <f aca="false">IF(30&lt;5,0,IF(MAX(AC40:AH40)&gt;AH45+2+$B$18,1,0))</f>
        <v>0</v>
      </c>
      <c r="AI73" s="352" t="n">
        <f aca="false">IF(31&lt;5,0,IF(MAX(AD40:AI40)&gt;AI45+2+$B$18,1,0))</f>
        <v>0</v>
      </c>
      <c r="AJ73" s="352" t="n">
        <f aca="false">IF(32&lt;5,0,IF(MAX(AE40:AJ40)&gt;AJ45+2+$B$18,1,0))</f>
        <v>0</v>
      </c>
      <c r="AK73" s="352" t="n">
        <f aca="false">IF(33&lt;5,0,IF(MAX(AF40:AK40)&gt;AK45+2+$B$18,1,0))</f>
        <v>0</v>
      </c>
      <c r="AL73" s="352" t="n">
        <f aca="false">IF(34&lt;5,0,IF(MAX(AG40:AL40)&gt;AL45+2+$B$18,1,0))</f>
        <v>0</v>
      </c>
      <c r="AM73" s="352" t="n">
        <f aca="false">IF(35&lt;5,0,IF(MAX(AH40:AM40)&gt;AM45+2+$B$18,1,0))</f>
        <v>0</v>
      </c>
      <c r="AN73" s="352" t="n">
        <f aca="false">IF(36&lt;5,0,IF(MAX(AI40:AN40)&gt;AN45+2+$B$18,1,0))</f>
        <v>0</v>
      </c>
      <c r="AO73" s="352" t="n">
        <f aca="false">IF(37&lt;5,0,IF(MAX(AJ40:AO40)&gt;AO45+2+$B$18,1,0))</f>
        <v>0</v>
      </c>
      <c r="AP73" s="352" t="n">
        <f aca="false">IF(38&lt;5,0,IF(MAX(AK40:AP40)&gt;AP45+2+$B$18,1,0))</f>
        <v>0</v>
      </c>
      <c r="AQ73" s="352" t="n">
        <f aca="false">IF(39&lt;5,0,IF(MAX(AL40:AQ40)&gt;AQ45+2+$B$18,1,0))</f>
        <v>0</v>
      </c>
      <c r="AR73" s="352" t="n">
        <f aca="false">IF(40&lt;5,0,IF(MAX(AM40:AR40)&gt;AR45+2+$B$18,1,0))</f>
        <v>0</v>
      </c>
      <c r="AS73" s="352" t="n">
        <f aca="false">IF(41&lt;5,0,IF(MAX(AN40:AS40)&gt;AS45+2+$B$18,1,0))</f>
        <v>0</v>
      </c>
      <c r="AT73" s="352" t="n">
        <f aca="false">IF(42&lt;5,0,IF(MAX(AO40:AT40)&gt;AT45+2+$B$18,1,0))</f>
        <v>0</v>
      </c>
      <c r="AU73" s="352" t="n">
        <f aca="false">IF(43&lt;5,0,IF(MAX(AP40:AU40)&gt;AU45+2+$B$18,1,0))</f>
        <v>0</v>
      </c>
      <c r="AV73" s="352" t="n">
        <f aca="false">IF(44&lt;5,0,IF(MAX(AQ40:AV40)&gt;AV45+2+$B$18,1,0))</f>
        <v>0</v>
      </c>
      <c r="AW73" s="352" t="n">
        <f aca="false">IF(45&lt;5,0,IF(MAX(AR40:AW40)&gt;AW45+2+$B$18,1,0))</f>
        <v>0</v>
      </c>
      <c r="AX73" s="352" t="n">
        <f aca="false">IF(46&lt;5,0,IF(MAX(AS40:AX40)&gt;AX45+2+$B$18,1,0))</f>
        <v>0</v>
      </c>
      <c r="AY73" s="352" t="n">
        <f aca="false">IF(47&lt;5,0,IF(MAX(AT40:AY40)&gt;AY45+2+$B$18,1,0))</f>
        <v>0</v>
      </c>
      <c r="AZ73" s="352" t="n">
        <f aca="false">IF(48&lt;5,0,IF(MAX(AU40:AZ40)&gt;AZ45+2+$B$18,1,0))</f>
        <v>0</v>
      </c>
      <c r="BA73" s="352" t="n">
        <f aca="false">IF(49&lt;5,0,IF(MAX(AV40:BA40)&gt;BA45+2+$B$18,1,0))</f>
        <v>0</v>
      </c>
      <c r="BB73" s="352" t="n">
        <f aca="false">IF(50&lt;5,0,IF(MAX(AW40:BB40)&gt;BB45+2+$B$18,1,0))</f>
        <v>0</v>
      </c>
      <c r="BC73" s="352" t="n">
        <f aca="false">IF(51&lt;5,0,IF(MAX(AX40:BC40)&gt;BC45+2+$B$18,1,0))</f>
        <v>0</v>
      </c>
      <c r="BD73" s="352" t="n">
        <f aca="false">IF(52&lt;5,0,IF(MAX(AY40:BD40)&gt;BD45+2+$B$18,1,0))</f>
        <v>0</v>
      </c>
      <c r="BE73" s="352" t="n">
        <f aca="false">IF(53&lt;5,0,IF(MAX(AZ40:BE40)&gt;BE45+2+$B$18,1,0))</f>
        <v>0</v>
      </c>
      <c r="BF73" s="352" t="n">
        <f aca="false">IF(54&lt;5,0,IF(MAX(BA40:BF40)&gt;BF45+2+$B$18,1,0))</f>
        <v>0</v>
      </c>
      <c r="BG73" s="352" t="n">
        <f aca="false">IF(55&lt;5,0,IF(MAX(BB40:BG40)&gt;BG45+2+$B$18,1,0))</f>
        <v>0</v>
      </c>
      <c r="BH73" s="352" t="n">
        <f aca="false">IF(56&lt;5,0,IF(MAX(BC40:BH40)&gt;BH45+2+$B$18,1,0))</f>
        <v>0</v>
      </c>
      <c r="BI73" s="352" t="n">
        <f aca="false">IF(57&lt;5,0,IF(MAX(BD40:BI40)&gt;BI45+2+$B$18,1,0))</f>
        <v>0</v>
      </c>
      <c r="BJ73" s="352" t="n">
        <f aca="false">IF(58&lt;5,0,IF(MAX(BE40:BJ40)&gt;BJ45+2+$B$18,1,0))</f>
        <v>0</v>
      </c>
      <c r="BK73" s="352" t="n">
        <f aca="false">IF(59&lt;5,0,IF(MAX(BF40:BK40)&gt;BK45+2+$B$18,1,0))</f>
        <v>0</v>
      </c>
      <c r="BL73" s="352" t="n">
        <f aca="false">IF(60&lt;5,0,IF(MAX(BG40:BL40)&gt;BL45+2+$B$18,1,0))</f>
        <v>0</v>
      </c>
      <c r="BM73" s="352" t="n">
        <f aca="false">IF(61&lt;5,0,IF(MAX(BH40:BM40)&gt;BM45+2+$B$18,1,0))</f>
        <v>0</v>
      </c>
      <c r="BN73" s="352" t="n">
        <f aca="false">IF(62&lt;5,0,IF(MAX(BI40:BN40)&gt;BN45+2+$B$18,1,0))</f>
        <v>0</v>
      </c>
      <c r="BO73" s="352" t="n">
        <f aca="false">IF(63&lt;5,0,IF(MAX(BJ40:BO40)&gt;BO45+2+$B$18,1,0))</f>
        <v>0</v>
      </c>
      <c r="BP73" s="352" t="n">
        <f aca="false">IF(64&lt;5,0,IF(MAX(BK40:BP40)&gt;BP45+2+$B$18,1,0))</f>
        <v>0</v>
      </c>
      <c r="BQ73" s="352" t="n">
        <f aca="false">IF(65&lt;5,0,IF(MAX(BL40:BQ40)&gt;BQ45+2+$B$18,1,0))</f>
        <v>0</v>
      </c>
      <c r="BR73" s="352" t="n">
        <f aca="false">IF(66&lt;5,0,IF(MAX(BM40:BR40)&gt;BR45+2+$B$18,1,0))</f>
        <v>0</v>
      </c>
      <c r="BS73" s="352" t="n">
        <f aca="false">IF(67&lt;5,0,IF(MAX(BN40:BS40)&gt;BS45+2+$B$18,1,0))</f>
        <v>0</v>
      </c>
      <c r="BT73" s="352" t="n">
        <f aca="false">IF(68&lt;5,0,IF(MAX(BO40:BT40)&gt;BT45+2+$B$18,1,0))</f>
        <v>0</v>
      </c>
      <c r="BU73" s="352" t="n">
        <f aca="false">IF(69&lt;5,0,IF(MAX(BP40:BU40)&gt;BU45+2+$B$18,1,0))</f>
        <v>0</v>
      </c>
      <c r="BV73" s="352" t="n">
        <f aca="false">IF(70&lt;5,0,IF(MAX(BQ40:BV40)&gt;BV45+2+$B$18,1,0))</f>
        <v>0</v>
      </c>
      <c r="BW73" s="352" t="n">
        <f aca="false">IF(71&lt;5,0,IF(MAX(BR40:BW40)&gt;BW45+2+$B$18,1,0))</f>
        <v>0</v>
      </c>
      <c r="BX73" s="352" t="n">
        <f aca="false">IF(72&lt;5,0,IF(MAX(BS40:BX40)&gt;BX45+2+$B$18,1,0))</f>
        <v>0</v>
      </c>
      <c r="BY73" s="352" t="n">
        <f aca="false">IF(73&lt;5,0,IF(MAX(BT40:BY40)&gt;BY45+2+$B$18,1,0))</f>
        <v>0</v>
      </c>
      <c r="BZ73" s="352" t="n">
        <f aca="false">IF(74&lt;5,0,IF(MAX(BU40:BZ40)&gt;BZ45+2+$B$18,1,0))</f>
        <v>0</v>
      </c>
      <c r="CA73" s="352" t="n">
        <f aca="false">IF(75&lt;5,0,IF(MAX(BV40:CA40)&gt;CA45+2+$B$18,1,0))</f>
        <v>0</v>
      </c>
      <c r="CB73" s="352" t="n">
        <f aca="false">IF(76&lt;5,0,IF(MAX(BW40:CB40)&gt;CB45+2+$B$18,1,0))</f>
        <v>0</v>
      </c>
      <c r="CC73" s="352" t="n">
        <f aca="false">IF(77&lt;5,0,IF(MAX(BX40:CC40)&gt;CC45+2+$B$18,1,0))</f>
        <v>0</v>
      </c>
      <c r="CD73" s="352" t="n">
        <f aca="false">IF(78&lt;5,0,IF(MAX(BY40:CD40)&gt;CD45+2+$B$18,1,0))</f>
        <v>0</v>
      </c>
      <c r="CE73" s="352" t="n">
        <f aca="false">IF(79&lt;5,0,IF(MAX(BZ40:CE40)&gt;CE45+2+$B$18,1,0))</f>
        <v>0</v>
      </c>
      <c r="CF73" s="352" t="n">
        <f aca="false">IF(80&lt;5,0,IF(MAX(CA40:CF40)&gt;CF45+2+$B$18,1,0))</f>
        <v>0</v>
      </c>
      <c r="CG73" s="352" t="n">
        <f aca="false">IF(81&lt;5,0,IF(MAX(CB40:CG40)&gt;CG45+2+$B$18,1,0))</f>
        <v>0</v>
      </c>
      <c r="CH73" s="352" t="n">
        <f aca="false">IF(82&lt;5,0,IF(MAX(CC40:CH40)&gt;CH45+2+$B$18,1,0))</f>
        <v>0</v>
      </c>
      <c r="CI73" s="352" t="n">
        <f aca="false">IF(83&lt;5,0,IF(MAX(CD40:CI40)&gt;CI45+2+$B$18,1,0))</f>
        <v>0</v>
      </c>
      <c r="CJ73" s="352" t="n">
        <f aca="false">IF(84&lt;5,0,IF(MAX(CE40:CJ40)&gt;CJ45+2+$B$18,1,0))</f>
        <v>0</v>
      </c>
      <c r="CK73" s="352" t="n">
        <f aca="false">IF(85&lt;5,0,IF(MAX(CF40:CK40)&gt;CK45+2+$B$18,1,0))</f>
        <v>0</v>
      </c>
      <c r="CL73" s="352" t="n">
        <f aca="false">IF(86&lt;5,0,IF(MAX(CG40:CL40)&gt;CL45+2+$B$18,1,0))</f>
        <v>0</v>
      </c>
      <c r="CM73" s="352" t="n">
        <f aca="false">IF(87&lt;5,0,IF(MAX(CH40:CM40)&gt;CM45+2+$B$18,1,0))</f>
        <v>0</v>
      </c>
      <c r="CN73" s="352" t="n">
        <f aca="false">IF(88&lt;5,0,IF(MAX(CI40:CN40)&gt;CN45+2+$B$18,1,0))</f>
        <v>0</v>
      </c>
      <c r="CO73" s="352" t="n">
        <f aca="false">IF(89&lt;5,0,IF(MAX(CJ40:CO40)&gt;CO45+2+$B$18,1,0))</f>
        <v>0</v>
      </c>
      <c r="CP73" s="352" t="n">
        <f aca="false">IF(90&lt;5,0,IF(MAX(CK40:CP40)&gt;CP45+2+$B$18,1,0))</f>
        <v>0</v>
      </c>
      <c r="CQ73" s="352" t="n">
        <f aca="false">IF(91&lt;5,0,IF(MAX(CL40:CQ40)&gt;CQ45+2+$B$18,1,0))</f>
        <v>0</v>
      </c>
      <c r="CR73" s="352" t="n">
        <f aca="false">IF(92&lt;5,0,IF(MAX(CM40:CR40)&gt;CR45+2+$B$18,1,0))</f>
        <v>0</v>
      </c>
      <c r="CS73" s="352" t="n">
        <f aca="false">IF(93&lt;5,0,IF(MAX(CN40:CS40)&gt;CS45+2+$B$18,1,0))</f>
        <v>0</v>
      </c>
      <c r="CT73" s="352" t="n">
        <f aca="false">IF(94&lt;5,0,IF(MAX(CO40:CT40)&gt;CT45+2+$B$18,1,0))</f>
        <v>0</v>
      </c>
      <c r="CU73" s="352" t="n">
        <f aca="false">IF(95&lt;5,0,IF(MAX(CP40:CU40)&gt;CU45+2+$B$18,1,0))</f>
        <v>0</v>
      </c>
      <c r="CV73" s="352" t="n">
        <f aca="false">IF(96&lt;5,0,IF(MAX(CQ40:CV40)&gt;CV45+2+$B$18,1,0))</f>
        <v>0</v>
      </c>
      <c r="CW73" s="352" t="n">
        <f aca="false">IF(97&lt;5,0,IF(MAX(CR40:CW40)&gt;CW45+2+$B$18,1,0))</f>
        <v>0</v>
      </c>
      <c r="CX73" s="352" t="n">
        <f aca="false">IF(98&lt;5,0,IF(MAX(CS40:CX40)&gt;CX45+2+$B$18,1,0))</f>
        <v>0</v>
      </c>
      <c r="CY73" s="352" t="n">
        <f aca="false">IF(99&lt;5,0,IF(MAX(CT40:CY40)&gt;CY45+2+$B$18,1,0))</f>
        <v>0</v>
      </c>
      <c r="CZ73" s="352" t="n">
        <f aca="false">IF(100&lt;5,0,IF(MAX(CU40:CZ40)&gt;CZ45+2+$B$18,1,0))</f>
        <v>0</v>
      </c>
      <c r="DA73" s="352" t="n">
        <f aca="false">IF(101&lt;5,0,IF(MAX(CV40:DA40)&gt;DA45+2+$B$18,1,0))</f>
        <v>0</v>
      </c>
      <c r="DB73" s="352" t="n">
        <f aca="false">IF(102&lt;5,0,IF(MAX(CW40:DB40)&gt;DB45+2+$B$18,1,0))</f>
        <v>0</v>
      </c>
      <c r="DC73" s="352" t="n">
        <f aca="false">IF(103&lt;5,0,IF(MAX(CX40:DC40)&gt;DC45+2+$B$18,1,0))</f>
        <v>0</v>
      </c>
      <c r="DD73" s="352" t="n">
        <f aca="false">IF(104&lt;5,0,IF(MAX(CY40:DD40)&gt;DD45+2+$B$18,1,0))</f>
        <v>0</v>
      </c>
      <c r="DE73" s="352" t="n">
        <f aca="false">IF(105&lt;5,0,IF(MAX(CZ40:DE40)&gt;DE45+2+$B$18,1,0))</f>
        <v>0</v>
      </c>
    </row>
    <row r="74" customFormat="false" ht="13.5" hidden="false" customHeight="true" outlineLevel="0" collapsed="false">
      <c r="A74" s="109" t="s">
        <v>1199</v>
      </c>
      <c r="B74" s="211" t="n">
        <f aca="false">$B$29</f>
        <v>180000</v>
      </c>
      <c r="E74" s="352" t="n">
        <f aca="false">IF(1&lt;5,0,IF(MAX(E40)&gt;E45+3+$B$18,1,0))</f>
        <v>0</v>
      </c>
      <c r="F74" s="352" t="n">
        <f aca="false">IF(2&lt;5,0,IF(MAX(E40:F40)&gt;F45+3+$B$18,1,0))</f>
        <v>0</v>
      </c>
      <c r="G74" s="352" t="n">
        <f aca="false">IF(3&lt;5,0,IF(MAX(E40:G40)&gt;G45+3+$B$18,1,0))</f>
        <v>0</v>
      </c>
      <c r="H74" s="352" t="n">
        <f aca="false">IF(4&lt;5,0,IF(MAX(E40:H40)&gt;H45+3+$B$18,1,0))</f>
        <v>0</v>
      </c>
      <c r="I74" s="352" t="n">
        <f aca="false">IF(5&lt;5,0,IF(MAX(E40:I40)&gt;I45+3+$B$18,1,0))</f>
        <v>0</v>
      </c>
      <c r="J74" s="352" t="n">
        <f aca="false">IF(6&lt;5,0,IF(MAX(E40:J40)&gt;J45+3+$B$18,1,0))</f>
        <v>0</v>
      </c>
      <c r="K74" s="352" t="n">
        <f aca="false">IF(7&lt;5,0,IF(MAX(F40:K40)&gt;K45+3+$B$18,1,0))</f>
        <v>0</v>
      </c>
      <c r="L74" s="352" t="n">
        <f aca="false">IF(8&lt;5,0,IF(MAX(G40:L40)&gt;L45+3+$B$18,1,0))</f>
        <v>0</v>
      </c>
      <c r="M74" s="352" t="n">
        <f aca="false">IF(9&lt;5,0,IF(MAX(H40:M40)&gt;M45+3+$B$18,1,0))</f>
        <v>0</v>
      </c>
      <c r="N74" s="352" t="n">
        <f aca="false">IF(10&lt;5,0,IF(MAX(I40:N40)&gt;N45+3+$B$18,1,0))</f>
        <v>0</v>
      </c>
      <c r="O74" s="352" t="n">
        <f aca="false">IF(11&lt;5,0,IF(MAX(J40:O40)&gt;O45+3+$B$18,1,0))</f>
        <v>0</v>
      </c>
      <c r="P74" s="352" t="n">
        <f aca="false">IF(12&lt;5,0,IF(MAX(K40:P40)&gt;P45+3+$B$18,1,0))</f>
        <v>0</v>
      </c>
      <c r="Q74" s="352" t="n">
        <f aca="false">IF(13&lt;5,0,IF(MAX(L40:Q40)&gt;Q45+3+$B$18,1,0))</f>
        <v>0</v>
      </c>
      <c r="R74" s="352" t="n">
        <f aca="false">IF(14&lt;5,0,IF(MAX(M40:R40)&gt;R45+3+$B$18,1,0))</f>
        <v>0</v>
      </c>
      <c r="S74" s="352" t="n">
        <f aca="false">IF(15&lt;5,0,IF(MAX(N40:S40)&gt;S45+3+$B$18,1,0))</f>
        <v>0</v>
      </c>
      <c r="T74" s="352" t="n">
        <f aca="false">IF(16&lt;5,0,IF(MAX(O40:T40)&gt;T45+3+$B$18,1,0))</f>
        <v>0</v>
      </c>
      <c r="U74" s="352" t="n">
        <f aca="false">IF(17&lt;5,0,IF(MAX(P40:U40)&gt;U45+3+$B$18,1,0))</f>
        <v>0</v>
      </c>
      <c r="V74" s="352" t="n">
        <f aca="false">IF(18&lt;5,0,IF(MAX(Q40:V40)&gt;V45+3+$B$18,1,0))</f>
        <v>0</v>
      </c>
      <c r="W74" s="352" t="n">
        <f aca="false">IF(19&lt;5,0,IF(MAX(R40:W40)&gt;W45+3+$B$18,1,0))</f>
        <v>0</v>
      </c>
      <c r="X74" s="352" t="n">
        <f aca="false">IF(20&lt;5,0,IF(MAX(S40:X40)&gt;X45+3+$B$18,1,0))</f>
        <v>0</v>
      </c>
      <c r="Y74" s="352" t="n">
        <f aca="false">IF(21&lt;5,0,IF(MAX(T40:Y40)&gt;Y45+3+$B$18,1,0))</f>
        <v>0</v>
      </c>
      <c r="Z74" s="352" t="n">
        <f aca="false">IF(22&lt;5,0,IF(MAX(U40:Z40)&gt;Z45+3+$B$18,1,0))</f>
        <v>0</v>
      </c>
      <c r="AA74" s="352" t="n">
        <f aca="false">IF(23&lt;5,0,IF(MAX(V40:AA40)&gt;AA45+3+$B$18,1,0))</f>
        <v>0</v>
      </c>
      <c r="AB74" s="352" t="n">
        <f aca="false">IF(24&lt;5,0,IF(MAX(W40:AB40)&gt;AB45+3+$B$18,1,0))</f>
        <v>0</v>
      </c>
      <c r="AC74" s="352" t="n">
        <f aca="false">IF(25&lt;5,0,IF(MAX(X40:AC40)&gt;AC45+3+$B$18,1,0))</f>
        <v>0</v>
      </c>
      <c r="AD74" s="352" t="n">
        <f aca="false">IF(26&lt;5,0,IF(MAX(Y40:AD40)&gt;AD45+3+$B$18,1,0))</f>
        <v>0</v>
      </c>
      <c r="AE74" s="352" t="n">
        <f aca="false">IF(27&lt;5,0,IF(MAX(Z40:AE40)&gt;AE45+3+$B$18,1,0))</f>
        <v>0</v>
      </c>
      <c r="AF74" s="352" t="n">
        <f aca="false">IF(28&lt;5,0,IF(MAX(AA40:AF40)&gt;AF45+3+$B$18,1,0))</f>
        <v>0</v>
      </c>
      <c r="AG74" s="352" t="n">
        <f aca="false">IF(29&lt;5,0,IF(MAX(AB40:AG40)&gt;AG45+3+$B$18,1,0))</f>
        <v>0</v>
      </c>
      <c r="AH74" s="352" t="n">
        <f aca="false">IF(30&lt;5,0,IF(MAX(AC40:AH40)&gt;AH45+3+$B$18,1,0))</f>
        <v>0</v>
      </c>
      <c r="AI74" s="352" t="n">
        <f aca="false">IF(31&lt;5,0,IF(MAX(AD40:AI40)&gt;AI45+3+$B$18,1,0))</f>
        <v>0</v>
      </c>
      <c r="AJ74" s="352" t="n">
        <f aca="false">IF(32&lt;5,0,IF(MAX(AE40:AJ40)&gt;AJ45+3+$B$18,1,0))</f>
        <v>0</v>
      </c>
      <c r="AK74" s="352" t="n">
        <f aca="false">IF(33&lt;5,0,IF(MAX(AF40:AK40)&gt;AK45+3+$B$18,1,0))</f>
        <v>0</v>
      </c>
      <c r="AL74" s="352" t="n">
        <f aca="false">IF(34&lt;5,0,IF(MAX(AG40:AL40)&gt;AL45+3+$B$18,1,0))</f>
        <v>0</v>
      </c>
      <c r="AM74" s="352" t="n">
        <f aca="false">IF(35&lt;5,0,IF(MAX(AH40:AM40)&gt;AM45+3+$B$18,1,0))</f>
        <v>0</v>
      </c>
      <c r="AN74" s="352" t="n">
        <f aca="false">IF(36&lt;5,0,IF(MAX(AI40:AN40)&gt;AN45+3+$B$18,1,0))</f>
        <v>0</v>
      </c>
      <c r="AO74" s="352" t="n">
        <f aca="false">IF(37&lt;5,0,IF(MAX(AJ40:AO40)&gt;AO45+3+$B$18,1,0))</f>
        <v>0</v>
      </c>
      <c r="AP74" s="352" t="n">
        <f aca="false">IF(38&lt;5,0,IF(MAX(AK40:AP40)&gt;AP45+3+$B$18,1,0))</f>
        <v>0</v>
      </c>
      <c r="AQ74" s="352" t="n">
        <f aca="false">IF(39&lt;5,0,IF(MAX(AL40:AQ40)&gt;AQ45+3+$B$18,1,0))</f>
        <v>0</v>
      </c>
      <c r="AR74" s="352" t="n">
        <f aca="false">IF(40&lt;5,0,IF(MAX(AM40:AR40)&gt;AR45+3+$B$18,1,0))</f>
        <v>0</v>
      </c>
      <c r="AS74" s="352" t="n">
        <f aca="false">IF(41&lt;5,0,IF(MAX(AN40:AS40)&gt;AS45+3+$B$18,1,0))</f>
        <v>0</v>
      </c>
      <c r="AT74" s="352" t="n">
        <f aca="false">IF(42&lt;5,0,IF(MAX(AO40:AT40)&gt;AT45+3+$B$18,1,0))</f>
        <v>0</v>
      </c>
      <c r="AU74" s="352" t="n">
        <f aca="false">IF(43&lt;5,0,IF(MAX(AP40:AU40)&gt;AU45+3+$B$18,1,0))</f>
        <v>0</v>
      </c>
      <c r="AV74" s="352" t="n">
        <f aca="false">IF(44&lt;5,0,IF(MAX(AQ40:AV40)&gt;AV45+3+$B$18,1,0))</f>
        <v>0</v>
      </c>
      <c r="AW74" s="352" t="n">
        <f aca="false">IF(45&lt;5,0,IF(MAX(AR40:AW40)&gt;AW45+3+$B$18,1,0))</f>
        <v>0</v>
      </c>
      <c r="AX74" s="352" t="n">
        <f aca="false">IF(46&lt;5,0,IF(MAX(AS40:AX40)&gt;AX45+3+$B$18,1,0))</f>
        <v>0</v>
      </c>
      <c r="AY74" s="352" t="n">
        <f aca="false">IF(47&lt;5,0,IF(MAX(AT40:AY40)&gt;AY45+3+$B$18,1,0))</f>
        <v>0</v>
      </c>
      <c r="AZ74" s="352" t="n">
        <f aca="false">IF(48&lt;5,0,IF(MAX(AU40:AZ40)&gt;AZ45+3+$B$18,1,0))</f>
        <v>0</v>
      </c>
      <c r="BA74" s="352" t="n">
        <f aca="false">IF(49&lt;5,0,IF(MAX(AV40:BA40)&gt;BA45+3+$B$18,1,0))</f>
        <v>0</v>
      </c>
      <c r="BB74" s="352" t="n">
        <f aca="false">IF(50&lt;5,0,IF(MAX(AW40:BB40)&gt;BB45+3+$B$18,1,0))</f>
        <v>0</v>
      </c>
      <c r="BC74" s="352" t="n">
        <f aca="false">IF(51&lt;5,0,IF(MAX(AX40:BC40)&gt;BC45+3+$B$18,1,0))</f>
        <v>0</v>
      </c>
      <c r="BD74" s="352" t="n">
        <f aca="false">IF(52&lt;5,0,IF(MAX(AY40:BD40)&gt;BD45+3+$B$18,1,0))</f>
        <v>0</v>
      </c>
      <c r="BE74" s="352" t="n">
        <f aca="false">IF(53&lt;5,0,IF(MAX(AZ40:BE40)&gt;BE45+3+$B$18,1,0))</f>
        <v>0</v>
      </c>
      <c r="BF74" s="352" t="n">
        <f aca="false">IF(54&lt;5,0,IF(MAX(BA40:BF40)&gt;BF45+3+$B$18,1,0))</f>
        <v>0</v>
      </c>
      <c r="BG74" s="352" t="n">
        <f aca="false">IF(55&lt;5,0,IF(MAX(BB40:BG40)&gt;BG45+3+$B$18,1,0))</f>
        <v>0</v>
      </c>
      <c r="BH74" s="352" t="n">
        <f aca="false">IF(56&lt;5,0,IF(MAX(BC40:BH40)&gt;BH45+3+$B$18,1,0))</f>
        <v>0</v>
      </c>
      <c r="BI74" s="352" t="n">
        <f aca="false">IF(57&lt;5,0,IF(MAX(BD40:BI40)&gt;BI45+3+$B$18,1,0))</f>
        <v>0</v>
      </c>
      <c r="BJ74" s="352" t="n">
        <f aca="false">IF(58&lt;5,0,IF(MAX(BE40:BJ40)&gt;BJ45+3+$B$18,1,0))</f>
        <v>0</v>
      </c>
      <c r="BK74" s="352" t="n">
        <f aca="false">IF(59&lt;5,0,IF(MAX(BF40:BK40)&gt;BK45+3+$B$18,1,0))</f>
        <v>0</v>
      </c>
      <c r="BL74" s="352" t="n">
        <f aca="false">IF(60&lt;5,0,IF(MAX(BG40:BL40)&gt;BL45+3+$B$18,1,0))</f>
        <v>0</v>
      </c>
      <c r="BM74" s="352" t="n">
        <f aca="false">IF(61&lt;5,0,IF(MAX(BH40:BM40)&gt;BM45+3+$B$18,1,0))</f>
        <v>0</v>
      </c>
      <c r="BN74" s="352" t="n">
        <f aca="false">IF(62&lt;5,0,IF(MAX(BI40:BN40)&gt;BN45+3+$B$18,1,0))</f>
        <v>0</v>
      </c>
      <c r="BO74" s="352" t="n">
        <f aca="false">IF(63&lt;5,0,IF(MAX(BJ40:BO40)&gt;BO45+3+$B$18,1,0))</f>
        <v>0</v>
      </c>
      <c r="BP74" s="352" t="n">
        <f aca="false">IF(64&lt;5,0,IF(MAX(BK40:BP40)&gt;BP45+3+$B$18,1,0))</f>
        <v>0</v>
      </c>
      <c r="BQ74" s="352" t="n">
        <f aca="false">IF(65&lt;5,0,IF(MAX(BL40:BQ40)&gt;BQ45+3+$B$18,1,0))</f>
        <v>0</v>
      </c>
      <c r="BR74" s="352" t="n">
        <f aca="false">IF(66&lt;5,0,IF(MAX(BM40:BR40)&gt;BR45+3+$B$18,1,0))</f>
        <v>0</v>
      </c>
      <c r="BS74" s="352" t="n">
        <f aca="false">IF(67&lt;5,0,IF(MAX(BN40:BS40)&gt;BS45+3+$B$18,1,0))</f>
        <v>0</v>
      </c>
      <c r="BT74" s="352" t="n">
        <f aca="false">IF(68&lt;5,0,IF(MAX(BO40:BT40)&gt;BT45+3+$B$18,1,0))</f>
        <v>0</v>
      </c>
      <c r="BU74" s="352" t="n">
        <f aca="false">IF(69&lt;5,0,IF(MAX(BP40:BU40)&gt;BU45+3+$B$18,1,0))</f>
        <v>0</v>
      </c>
      <c r="BV74" s="352" t="n">
        <f aca="false">IF(70&lt;5,0,IF(MAX(BQ40:BV40)&gt;BV45+3+$B$18,1,0))</f>
        <v>0</v>
      </c>
      <c r="BW74" s="352" t="n">
        <f aca="false">IF(71&lt;5,0,IF(MAX(BR40:BW40)&gt;BW45+3+$B$18,1,0))</f>
        <v>0</v>
      </c>
      <c r="BX74" s="352" t="n">
        <f aca="false">IF(72&lt;5,0,IF(MAX(BS40:BX40)&gt;BX45+3+$B$18,1,0))</f>
        <v>0</v>
      </c>
      <c r="BY74" s="352" t="n">
        <f aca="false">IF(73&lt;5,0,IF(MAX(BT40:BY40)&gt;BY45+3+$B$18,1,0))</f>
        <v>0</v>
      </c>
      <c r="BZ74" s="352" t="n">
        <f aca="false">IF(74&lt;5,0,IF(MAX(BU40:BZ40)&gt;BZ45+3+$B$18,1,0))</f>
        <v>0</v>
      </c>
      <c r="CA74" s="352" t="n">
        <f aca="false">IF(75&lt;5,0,IF(MAX(BV40:CA40)&gt;CA45+3+$B$18,1,0))</f>
        <v>0</v>
      </c>
      <c r="CB74" s="352" t="n">
        <f aca="false">IF(76&lt;5,0,IF(MAX(BW40:CB40)&gt;CB45+3+$B$18,1,0))</f>
        <v>0</v>
      </c>
      <c r="CC74" s="352" t="n">
        <f aca="false">IF(77&lt;5,0,IF(MAX(BX40:CC40)&gt;CC45+3+$B$18,1,0))</f>
        <v>0</v>
      </c>
      <c r="CD74" s="352" t="n">
        <f aca="false">IF(78&lt;5,0,IF(MAX(BY40:CD40)&gt;CD45+3+$B$18,1,0))</f>
        <v>0</v>
      </c>
      <c r="CE74" s="352" t="n">
        <f aca="false">IF(79&lt;5,0,IF(MAX(BZ40:CE40)&gt;CE45+3+$B$18,1,0))</f>
        <v>0</v>
      </c>
      <c r="CF74" s="352" t="n">
        <f aca="false">IF(80&lt;5,0,IF(MAX(CA40:CF40)&gt;CF45+3+$B$18,1,0))</f>
        <v>0</v>
      </c>
      <c r="CG74" s="352" t="n">
        <f aca="false">IF(81&lt;5,0,IF(MAX(CB40:CG40)&gt;CG45+3+$B$18,1,0))</f>
        <v>0</v>
      </c>
      <c r="CH74" s="352" t="n">
        <f aca="false">IF(82&lt;5,0,IF(MAX(CC40:CH40)&gt;CH45+3+$B$18,1,0))</f>
        <v>0</v>
      </c>
      <c r="CI74" s="352" t="n">
        <f aca="false">IF(83&lt;5,0,IF(MAX(CD40:CI40)&gt;CI45+3+$B$18,1,0))</f>
        <v>0</v>
      </c>
      <c r="CJ74" s="352" t="n">
        <f aca="false">IF(84&lt;5,0,IF(MAX(CE40:CJ40)&gt;CJ45+3+$B$18,1,0))</f>
        <v>0</v>
      </c>
      <c r="CK74" s="352" t="n">
        <f aca="false">IF(85&lt;5,0,IF(MAX(CF40:CK40)&gt;CK45+3+$B$18,1,0))</f>
        <v>0</v>
      </c>
      <c r="CL74" s="352" t="n">
        <f aca="false">IF(86&lt;5,0,IF(MAX(CG40:CL40)&gt;CL45+3+$B$18,1,0))</f>
        <v>0</v>
      </c>
      <c r="CM74" s="352" t="n">
        <f aca="false">IF(87&lt;5,0,IF(MAX(CH40:CM40)&gt;CM45+3+$B$18,1,0))</f>
        <v>0</v>
      </c>
      <c r="CN74" s="352" t="n">
        <f aca="false">IF(88&lt;5,0,IF(MAX(CI40:CN40)&gt;CN45+3+$B$18,1,0))</f>
        <v>0</v>
      </c>
      <c r="CO74" s="352" t="n">
        <f aca="false">IF(89&lt;5,0,IF(MAX(CJ40:CO40)&gt;CO45+3+$B$18,1,0))</f>
        <v>0</v>
      </c>
      <c r="CP74" s="352" t="n">
        <f aca="false">IF(90&lt;5,0,IF(MAX(CK40:CP40)&gt;CP45+3+$B$18,1,0))</f>
        <v>0</v>
      </c>
      <c r="CQ74" s="352" t="n">
        <f aca="false">IF(91&lt;5,0,IF(MAX(CL40:CQ40)&gt;CQ45+3+$B$18,1,0))</f>
        <v>0</v>
      </c>
      <c r="CR74" s="352" t="n">
        <f aca="false">IF(92&lt;5,0,IF(MAX(CM40:CR40)&gt;CR45+3+$B$18,1,0))</f>
        <v>0</v>
      </c>
      <c r="CS74" s="352" t="n">
        <f aca="false">IF(93&lt;5,0,IF(MAX(CN40:CS40)&gt;CS45+3+$B$18,1,0))</f>
        <v>0</v>
      </c>
      <c r="CT74" s="352" t="n">
        <f aca="false">IF(94&lt;5,0,IF(MAX(CO40:CT40)&gt;CT45+3+$B$18,1,0))</f>
        <v>0</v>
      </c>
      <c r="CU74" s="352" t="n">
        <f aca="false">IF(95&lt;5,0,IF(MAX(CP40:CU40)&gt;CU45+3+$B$18,1,0))</f>
        <v>0</v>
      </c>
      <c r="CV74" s="352" t="n">
        <f aca="false">IF(96&lt;5,0,IF(MAX(CQ40:CV40)&gt;CV45+3+$B$18,1,0))</f>
        <v>0</v>
      </c>
      <c r="CW74" s="352" t="n">
        <f aca="false">IF(97&lt;5,0,IF(MAX(CR40:CW40)&gt;CW45+3+$B$18,1,0))</f>
        <v>0</v>
      </c>
      <c r="CX74" s="352" t="n">
        <f aca="false">IF(98&lt;5,0,IF(MAX(CS40:CX40)&gt;CX45+3+$B$18,1,0))</f>
        <v>0</v>
      </c>
      <c r="CY74" s="352" t="n">
        <f aca="false">IF(99&lt;5,0,IF(MAX(CT40:CY40)&gt;CY45+3+$B$18,1,0))</f>
        <v>0</v>
      </c>
      <c r="CZ74" s="352" t="n">
        <f aca="false">IF(100&lt;5,0,IF(MAX(CU40:CZ40)&gt;CZ45+3+$B$18,1,0))</f>
        <v>0</v>
      </c>
      <c r="DA74" s="352" t="n">
        <f aca="false">IF(101&lt;5,0,IF(MAX(CV40:DA40)&gt;DA45+3+$B$18,1,0))</f>
        <v>0</v>
      </c>
      <c r="DB74" s="352" t="n">
        <f aca="false">IF(102&lt;5,0,IF(MAX(CW40:DB40)&gt;DB45+3+$B$18,1,0))</f>
        <v>0</v>
      </c>
      <c r="DC74" s="352" t="n">
        <f aca="false">IF(103&lt;5,0,IF(MAX(CX40:DC40)&gt;DC45+3+$B$18,1,0))</f>
        <v>0</v>
      </c>
      <c r="DD74" s="352" t="n">
        <f aca="false">IF(104&lt;5,0,IF(MAX(CY40:DD40)&gt;DD45+3+$B$18,1,0))</f>
        <v>0</v>
      </c>
      <c r="DE74" s="352"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1200</v>
      </c>
      <c r="B77" s="211" t="n">
        <f aca="false">$B$30</f>
        <v>80000</v>
      </c>
      <c r="E77" s="352" t="n">
        <f aca="false">IF(1&lt;5,0,IF(MAX(E37)&gt;=$B$22,1,0))</f>
        <v>0</v>
      </c>
      <c r="F77" s="352" t="n">
        <f aca="false">IF(2&lt;5,0,IF(MAX(E37:F37)&gt;=$B$22,1,0))</f>
        <v>0</v>
      </c>
      <c r="G77" s="352" t="n">
        <f aca="false">IF(3&lt;5,0,IF(MAX(E37:G37)&gt;=$B$22,1,0))</f>
        <v>0</v>
      </c>
      <c r="H77" s="352" t="n">
        <f aca="false">IF(4&lt;5,0,IF(MAX(E37:H37)&gt;=$B$22,1,0))</f>
        <v>0</v>
      </c>
      <c r="I77" s="352" t="n">
        <f aca="false">IF(5&lt;5,0,IF(MAX(E37:I37)&gt;=$B$22,1,0))</f>
        <v>0</v>
      </c>
      <c r="J77" s="352" t="n">
        <f aca="false">IF(6&lt;5,0,IF(MAX(E37:J37)&gt;=$B$22,1,0))</f>
        <v>0</v>
      </c>
      <c r="K77" s="352" t="n">
        <f aca="false">IF(7&lt;5,0,IF(MAX(F37:K37)&gt;=$B$22,1,0))</f>
        <v>0</v>
      </c>
      <c r="L77" s="352" t="n">
        <f aca="false">IF(8&lt;5,0,IF(MAX(G37:L37)&gt;=$B$22,1,0))</f>
        <v>0</v>
      </c>
      <c r="M77" s="352" t="n">
        <f aca="false">IF(9&lt;5,0,IF(MAX(H37:M37)&gt;=$B$22,1,0))</f>
        <v>0</v>
      </c>
      <c r="N77" s="352" t="n">
        <f aca="false">IF(10&lt;5,0,IF(MAX(I37:N37)&gt;=$B$22,1,0))</f>
        <v>0</v>
      </c>
      <c r="O77" s="352" t="n">
        <f aca="false">IF(11&lt;5,0,IF(MAX(J37:O37)&gt;=$B$22,1,0))</f>
        <v>1</v>
      </c>
      <c r="P77" s="352" t="n">
        <f aca="false">IF(12&lt;5,0,IF(MAX(K37:P37)&gt;=$B$22,1,0))</f>
        <v>1</v>
      </c>
      <c r="Q77" s="352" t="n">
        <f aca="false">IF(13&lt;5,0,IF(MAX(L37:Q37)&gt;=$B$22,1,0))</f>
        <v>1</v>
      </c>
      <c r="R77" s="352" t="n">
        <f aca="false">IF(14&lt;5,0,IF(MAX(M37:R37)&gt;=$B$22,1,0))</f>
        <v>1</v>
      </c>
      <c r="S77" s="352" t="n">
        <f aca="false">IF(15&lt;5,0,IF(MAX(N37:S37)&gt;=$B$22,1,0))</f>
        <v>1</v>
      </c>
      <c r="T77" s="352" t="n">
        <f aca="false">IF(16&lt;5,0,IF(MAX(O37:T37)&gt;=$B$22,1,0))</f>
        <v>1</v>
      </c>
      <c r="U77" s="352" t="n">
        <f aca="false">IF(17&lt;5,0,IF(MAX(P37:U37)&gt;=$B$22,1,0))</f>
        <v>1</v>
      </c>
      <c r="V77" s="352" t="n">
        <f aca="false">IF(18&lt;5,0,IF(MAX(Q37:V37)&gt;=$B$22,1,0))</f>
        <v>1</v>
      </c>
      <c r="W77" s="352" t="n">
        <f aca="false">IF(19&lt;5,0,IF(MAX(R37:W37)&gt;=$B$22,1,0))</f>
        <v>1</v>
      </c>
      <c r="X77" s="352" t="n">
        <f aca="false">IF(20&lt;5,0,IF(MAX(S37:X37)&gt;=$B$22,1,0))</f>
        <v>1</v>
      </c>
      <c r="Y77" s="352" t="n">
        <f aca="false">IF(21&lt;5,0,IF(MAX(T37:Y37)&gt;=$B$22,1,0))</f>
        <v>1</v>
      </c>
      <c r="Z77" s="352" t="n">
        <f aca="false">IF(22&lt;5,0,IF(MAX(U37:Z37)&gt;=$B$22,1,0))</f>
        <v>1</v>
      </c>
      <c r="AA77" s="352" t="n">
        <f aca="false">IF(23&lt;5,0,IF(MAX(V37:AA37)&gt;=$B$22,1,0))</f>
        <v>1</v>
      </c>
      <c r="AB77" s="352" t="n">
        <f aca="false">IF(24&lt;5,0,IF(MAX(W37:AB37)&gt;=$B$22,1,0))</f>
        <v>1</v>
      </c>
      <c r="AC77" s="352" t="n">
        <f aca="false">IF(25&lt;5,0,IF(MAX(X37:AC37)&gt;=$B$22,1,0))</f>
        <v>1</v>
      </c>
      <c r="AD77" s="352" t="n">
        <f aca="false">IF(26&lt;5,0,IF(MAX(Y37:AD37)&gt;=$B$22,1,0))</f>
        <v>1</v>
      </c>
      <c r="AE77" s="352" t="n">
        <f aca="false">IF(27&lt;5,0,IF(MAX(Z37:AE37)&gt;=$B$22,1,0))</f>
        <v>1</v>
      </c>
      <c r="AF77" s="352" t="n">
        <f aca="false">IF(28&lt;5,0,IF(MAX(AA37:AF37)&gt;=$B$22,1,0))</f>
        <v>1</v>
      </c>
      <c r="AG77" s="352" t="n">
        <f aca="false">IF(29&lt;5,0,IF(MAX(AB37:AG37)&gt;=$B$22,1,0))</f>
        <v>1</v>
      </c>
      <c r="AH77" s="352" t="n">
        <f aca="false">IF(30&lt;5,0,IF(MAX(AC37:AH37)&gt;=$B$22,1,0))</f>
        <v>1</v>
      </c>
      <c r="AI77" s="352" t="n">
        <f aca="false">IF(31&lt;5,0,IF(MAX(AD37:AI37)&gt;=$B$22,1,0))</f>
        <v>1</v>
      </c>
      <c r="AJ77" s="352" t="n">
        <f aca="false">IF(32&lt;5,0,IF(MAX(AE37:AJ37)&gt;=$B$22,1,0))</f>
        <v>1</v>
      </c>
      <c r="AK77" s="352" t="n">
        <f aca="false">IF(33&lt;5,0,IF(MAX(AF37:AK37)&gt;=$B$22,1,0))</f>
        <v>1</v>
      </c>
      <c r="AL77" s="352" t="n">
        <f aca="false">IF(34&lt;5,0,IF(MAX(AG37:AL37)&gt;=$B$22,1,0))</f>
        <v>0</v>
      </c>
      <c r="AM77" s="352" t="n">
        <f aca="false">IF(35&lt;5,0,IF(MAX(AH37:AM37)&gt;=$B$22,1,0))</f>
        <v>0</v>
      </c>
      <c r="AN77" s="352" t="n">
        <f aca="false">IF(36&lt;5,0,IF(MAX(AI37:AN37)&gt;=$B$22,1,0))</f>
        <v>0</v>
      </c>
      <c r="AO77" s="352" t="n">
        <f aca="false">IF(37&lt;5,0,IF(MAX(AJ37:AO37)&gt;=$B$22,1,0))</f>
        <v>0</v>
      </c>
      <c r="AP77" s="352" t="n">
        <f aca="false">IF(38&lt;5,0,IF(MAX(AK37:AP37)&gt;=$B$22,1,0))</f>
        <v>0</v>
      </c>
      <c r="AQ77" s="352" t="n">
        <f aca="false">IF(39&lt;5,0,IF(MAX(AL37:AQ37)&gt;=$B$22,1,0))</f>
        <v>0</v>
      </c>
      <c r="AR77" s="352" t="n">
        <f aca="false">IF(40&lt;5,0,IF(MAX(AM37:AR37)&gt;=$B$22,1,0))</f>
        <v>0</v>
      </c>
      <c r="AS77" s="352" t="n">
        <f aca="false">IF(41&lt;5,0,IF(MAX(AN37:AS37)&gt;=$B$22,1,0))</f>
        <v>0</v>
      </c>
      <c r="AT77" s="352" t="n">
        <f aca="false">IF(42&lt;5,0,IF(MAX(AO37:AT37)&gt;=$B$22,1,0))</f>
        <v>0</v>
      </c>
      <c r="AU77" s="352" t="n">
        <f aca="false">IF(43&lt;5,0,IF(MAX(AP37:AU37)&gt;=$B$22,1,0))</f>
        <v>0</v>
      </c>
      <c r="AV77" s="352" t="n">
        <f aca="false">IF(44&lt;5,0,IF(MAX(AQ37:AV37)&gt;=$B$22,1,0))</f>
        <v>0</v>
      </c>
      <c r="AW77" s="352" t="n">
        <f aca="false">IF(45&lt;5,0,IF(MAX(AR37:AW37)&gt;=$B$22,1,0))</f>
        <v>0</v>
      </c>
      <c r="AX77" s="352" t="n">
        <f aca="false">IF(46&lt;5,0,IF(MAX(AS37:AX37)&gt;=$B$22,1,0))</f>
        <v>0</v>
      </c>
      <c r="AY77" s="352" t="n">
        <f aca="false">IF(47&lt;5,0,IF(MAX(AT37:AY37)&gt;=$B$22,1,0))</f>
        <v>0</v>
      </c>
      <c r="AZ77" s="352" t="n">
        <f aca="false">IF(48&lt;5,0,IF(MAX(AU37:AZ37)&gt;=$B$22,1,0))</f>
        <v>0</v>
      </c>
      <c r="BA77" s="352" t="n">
        <f aca="false">IF(49&lt;5,0,IF(MAX(AV37:BA37)&gt;=$B$22,1,0))</f>
        <v>0</v>
      </c>
      <c r="BB77" s="352" t="n">
        <f aca="false">IF(50&lt;5,0,IF(MAX(AW37:BB37)&gt;=$B$22,1,0))</f>
        <v>0</v>
      </c>
      <c r="BC77" s="352" t="n">
        <f aca="false">IF(51&lt;5,0,IF(MAX(AX37:BC37)&gt;=$B$22,1,0))</f>
        <v>0</v>
      </c>
      <c r="BD77" s="352" t="n">
        <f aca="false">IF(52&lt;5,0,IF(MAX(AY37:BD37)&gt;=$B$22,1,0))</f>
        <v>0</v>
      </c>
      <c r="BE77" s="352" t="n">
        <f aca="false">IF(53&lt;5,0,IF(MAX(AZ37:BE37)&gt;=$B$22,1,0))</f>
        <v>0</v>
      </c>
      <c r="BF77" s="352" t="n">
        <f aca="false">IF(54&lt;5,0,IF(MAX(BA37:BF37)&gt;=$B$22,1,0))</f>
        <v>0</v>
      </c>
      <c r="BG77" s="352" t="n">
        <f aca="false">IF(55&lt;5,0,IF(MAX(BB37:BG37)&gt;=$B$22,1,0))</f>
        <v>0</v>
      </c>
      <c r="BH77" s="352" t="n">
        <f aca="false">IF(56&lt;5,0,IF(MAX(BC37:BH37)&gt;=$B$22,1,0))</f>
        <v>0</v>
      </c>
      <c r="BI77" s="352" t="n">
        <f aca="false">IF(57&lt;5,0,IF(MAX(BD37:BI37)&gt;=$B$22,1,0))</f>
        <v>0</v>
      </c>
      <c r="BJ77" s="352" t="n">
        <f aca="false">IF(58&lt;5,0,IF(MAX(BE37:BJ37)&gt;=$B$22,1,0))</f>
        <v>0</v>
      </c>
      <c r="BK77" s="352" t="n">
        <f aca="false">IF(59&lt;5,0,IF(MAX(BF37:BK37)&gt;=$B$22,1,0))</f>
        <v>0</v>
      </c>
      <c r="BL77" s="352" t="n">
        <f aca="false">IF(60&lt;5,0,IF(MAX(BG37:BL37)&gt;=$B$22,1,0))</f>
        <v>0</v>
      </c>
      <c r="BM77" s="352" t="n">
        <f aca="false">IF(61&lt;5,0,IF(MAX(BH37:BM37)&gt;=$B$22,1,0))</f>
        <v>0</v>
      </c>
      <c r="BN77" s="352" t="n">
        <f aca="false">IF(62&lt;5,0,IF(MAX(BI37:BN37)&gt;=$B$22,1,0))</f>
        <v>0</v>
      </c>
      <c r="BO77" s="352" t="n">
        <f aca="false">IF(63&lt;5,0,IF(MAX(BJ37:BO37)&gt;=$B$22,1,0))</f>
        <v>0</v>
      </c>
      <c r="BP77" s="352" t="n">
        <f aca="false">IF(64&lt;5,0,IF(MAX(BK37:BP37)&gt;=$B$22,1,0))</f>
        <v>0</v>
      </c>
      <c r="BQ77" s="352" t="n">
        <f aca="false">IF(65&lt;5,0,IF(MAX(BL37:BQ37)&gt;=$B$22,1,0))</f>
        <v>0</v>
      </c>
      <c r="BR77" s="352" t="n">
        <f aca="false">IF(66&lt;5,0,IF(MAX(BM37:BR37)&gt;=$B$22,1,0))</f>
        <v>0</v>
      </c>
      <c r="BS77" s="352" t="n">
        <f aca="false">IF(67&lt;5,0,IF(MAX(BN37:BS37)&gt;=$B$22,1,0))</f>
        <v>0</v>
      </c>
      <c r="BT77" s="352" t="n">
        <f aca="false">IF(68&lt;5,0,IF(MAX(BO37:BT37)&gt;=$B$22,1,0))</f>
        <v>0</v>
      </c>
      <c r="BU77" s="352" t="n">
        <f aca="false">IF(69&lt;5,0,IF(MAX(BP37:BU37)&gt;=$B$22,1,0))</f>
        <v>0</v>
      </c>
      <c r="BV77" s="352" t="n">
        <f aca="false">IF(70&lt;5,0,IF(MAX(BQ37:BV37)&gt;=$B$22,1,0))</f>
        <v>0</v>
      </c>
      <c r="BW77" s="352" t="n">
        <f aca="false">IF(71&lt;5,0,IF(MAX(BR37:BW37)&gt;=$B$22,1,0))</f>
        <v>0</v>
      </c>
      <c r="BX77" s="352" t="n">
        <f aca="false">IF(72&lt;5,0,IF(MAX(BS37:BX37)&gt;=$B$22,1,0))</f>
        <v>0</v>
      </c>
      <c r="BY77" s="352" t="n">
        <f aca="false">IF(73&lt;5,0,IF(MAX(BT37:BY37)&gt;=$B$22,1,0))</f>
        <v>0</v>
      </c>
      <c r="BZ77" s="352" t="n">
        <f aca="false">IF(74&lt;5,0,IF(MAX(BU37:BZ37)&gt;=$B$22,1,0))</f>
        <v>0</v>
      </c>
      <c r="CA77" s="352" t="n">
        <f aca="false">IF(75&lt;5,0,IF(MAX(BV37:CA37)&gt;=$B$22,1,0))</f>
        <v>0</v>
      </c>
      <c r="CB77" s="352" t="n">
        <f aca="false">IF(76&lt;5,0,IF(MAX(BW37:CB37)&gt;=$B$22,1,0))</f>
        <v>0</v>
      </c>
      <c r="CC77" s="352" t="n">
        <f aca="false">IF(77&lt;5,0,IF(MAX(BX37:CC37)&gt;=$B$22,1,0))</f>
        <v>0</v>
      </c>
      <c r="CD77" s="352" t="n">
        <f aca="false">IF(78&lt;5,0,IF(MAX(BY37:CD37)&gt;=$B$22,1,0))</f>
        <v>0</v>
      </c>
      <c r="CE77" s="352" t="n">
        <f aca="false">IF(79&lt;5,0,IF(MAX(BZ37:CE37)&gt;=$B$22,1,0))</f>
        <v>0</v>
      </c>
      <c r="CF77" s="352" t="n">
        <f aca="false">IF(80&lt;5,0,IF(MAX(CA37:CF37)&gt;=$B$22,1,0))</f>
        <v>0</v>
      </c>
      <c r="CG77" s="352" t="n">
        <f aca="false">IF(81&lt;5,0,IF(MAX(CB37:CG37)&gt;=$B$22,1,0))</f>
        <v>0</v>
      </c>
      <c r="CH77" s="352" t="n">
        <f aca="false">IF(82&lt;5,0,IF(MAX(CC37:CH37)&gt;=$B$22,1,0))</f>
        <v>0</v>
      </c>
      <c r="CI77" s="352" t="n">
        <f aca="false">IF(83&lt;5,0,IF(MAX(CD37:CI37)&gt;=$B$22,1,0))</f>
        <v>0</v>
      </c>
      <c r="CJ77" s="352" t="n">
        <f aca="false">IF(84&lt;5,0,IF(MAX(CE37:CJ37)&gt;=$B$22,1,0))</f>
        <v>0</v>
      </c>
      <c r="CK77" s="352" t="n">
        <f aca="false">IF(85&lt;5,0,IF(MAX(CF37:CK37)&gt;=$B$22,1,0))</f>
        <v>0</v>
      </c>
      <c r="CL77" s="352" t="n">
        <f aca="false">IF(86&lt;5,0,IF(MAX(CG37:CL37)&gt;=$B$22,1,0))</f>
        <v>0</v>
      </c>
      <c r="CM77" s="352" t="n">
        <f aca="false">IF(87&lt;5,0,IF(MAX(CH37:CM37)&gt;=$B$22,1,0))</f>
        <v>0</v>
      </c>
      <c r="CN77" s="352" t="n">
        <f aca="false">IF(88&lt;5,0,IF(MAX(CI37:CN37)&gt;=$B$22,1,0))</f>
        <v>0</v>
      </c>
      <c r="CO77" s="352" t="n">
        <f aca="false">IF(89&lt;5,0,IF(MAX(CJ37:CO37)&gt;=$B$22,1,0))</f>
        <v>0</v>
      </c>
      <c r="CP77" s="352" t="n">
        <f aca="false">IF(90&lt;5,0,IF(MAX(CK37:CP37)&gt;=$B$22,1,0))</f>
        <v>0</v>
      </c>
      <c r="CQ77" s="352" t="n">
        <f aca="false">IF(91&lt;5,0,IF(MAX(CL37:CQ37)&gt;=$B$22,1,0))</f>
        <v>0</v>
      </c>
      <c r="CR77" s="352" t="n">
        <f aca="false">IF(92&lt;5,0,IF(MAX(CM37:CR37)&gt;=$B$22,1,0))</f>
        <v>0</v>
      </c>
      <c r="CS77" s="352" t="n">
        <f aca="false">IF(93&lt;5,0,IF(MAX(CN37:CS37)&gt;=$B$22,1,0))</f>
        <v>0</v>
      </c>
      <c r="CT77" s="352" t="n">
        <f aca="false">IF(94&lt;5,0,IF(MAX(CO37:CT37)&gt;=$B$22,1,0))</f>
        <v>0</v>
      </c>
      <c r="CU77" s="352" t="n">
        <f aca="false">IF(95&lt;5,0,IF(MAX(CP37:CU37)&gt;=$B$22,1,0))</f>
        <v>0</v>
      </c>
      <c r="CV77" s="352" t="n">
        <f aca="false">IF(96&lt;5,0,IF(MAX(CQ37:CV37)&gt;=$B$22,1,0))</f>
        <v>0</v>
      </c>
      <c r="CW77" s="352" t="n">
        <f aca="false">IF(97&lt;5,0,IF(MAX(CR37:CW37)&gt;=$B$22,1,0))</f>
        <v>0</v>
      </c>
      <c r="CX77" s="352" t="n">
        <f aca="false">IF(98&lt;5,0,IF(MAX(CS37:CX37)&gt;=$B$22,1,0))</f>
        <v>0</v>
      </c>
      <c r="CY77" s="352" t="n">
        <f aca="false">IF(99&lt;5,0,IF(MAX(CT37:CY37)&gt;=$B$22,1,0))</f>
        <v>0</v>
      </c>
      <c r="CZ77" s="352" t="n">
        <f aca="false">IF(100&lt;5,0,IF(MAX(CU37:CZ37)&gt;=$B$22,1,0))</f>
        <v>0</v>
      </c>
      <c r="DA77" s="352" t="n">
        <f aca="false">IF(101&lt;5,0,IF(MAX(CV37:DA37)&gt;=$B$22,1,0))</f>
        <v>0</v>
      </c>
      <c r="DB77" s="352" t="n">
        <f aca="false">IF(102&lt;5,0,IF(MAX(CW37:DB37)&gt;=$B$22,1,0))</f>
        <v>0</v>
      </c>
      <c r="DC77" s="352" t="n">
        <f aca="false">IF(103&lt;5,0,IF(MAX(CX37:DC37)&gt;=$B$22,1,0))</f>
        <v>0</v>
      </c>
      <c r="DD77" s="352" t="n">
        <f aca="false">IF(104&lt;5,0,IF(MAX(CY37:DD37)&gt;=$B$22,1,0))</f>
        <v>0</v>
      </c>
      <c r="DE77" s="352" t="n">
        <f aca="false">IF(105&lt;5,0,IF(MAX(CZ37:DE37)&gt;=$B$22,1,0))</f>
        <v>0</v>
      </c>
    </row>
    <row r="78" customFormat="false" ht="13.5" hidden="false" customHeight="true" outlineLevel="0" collapsed="false">
      <c r="A78" s="109" t="s">
        <v>1201</v>
      </c>
      <c r="B78" s="211" t="n">
        <f aca="false">$B$30</f>
        <v>80000</v>
      </c>
      <c r="E78" s="352" t="n">
        <f aca="false">IF(1&lt;5,0,IF(MAX(E37)&gt;=$B$23,1,0))</f>
        <v>0</v>
      </c>
      <c r="F78" s="352" t="n">
        <f aca="false">IF(2&lt;5,0,IF(MAX(E37:F37)&gt;=$B$23,1,0))</f>
        <v>0</v>
      </c>
      <c r="G78" s="352" t="n">
        <f aca="false">IF(3&lt;5,0,IF(MAX(E37:G37)&gt;=$B$23,1,0))</f>
        <v>0</v>
      </c>
      <c r="H78" s="352" t="n">
        <f aca="false">IF(4&lt;5,0,IF(MAX(E37:H37)&gt;=$B$23,1,0))</f>
        <v>0</v>
      </c>
      <c r="I78" s="352" t="n">
        <f aca="false">IF(5&lt;5,0,IF(MAX(E37:I37)&gt;=$B$23,1,0))</f>
        <v>0</v>
      </c>
      <c r="J78" s="352" t="n">
        <f aca="false">IF(6&lt;5,0,IF(MAX(E37:J37)&gt;=$B$23,1,0))</f>
        <v>0</v>
      </c>
      <c r="K78" s="352" t="n">
        <f aca="false">IF(7&lt;5,0,IF(MAX(F37:K37)&gt;=$B$23,1,0))</f>
        <v>0</v>
      </c>
      <c r="L78" s="352" t="n">
        <f aca="false">IF(8&lt;5,0,IF(MAX(G37:L37)&gt;=$B$23,1,0))</f>
        <v>0</v>
      </c>
      <c r="M78" s="352" t="n">
        <f aca="false">IF(9&lt;5,0,IF(MAX(H37:M37)&gt;=$B$23,1,0))</f>
        <v>0</v>
      </c>
      <c r="N78" s="352" t="n">
        <f aca="false">IF(10&lt;5,0,IF(MAX(I37:N37)&gt;=$B$23,1,0))</f>
        <v>0</v>
      </c>
      <c r="O78" s="352" t="n">
        <f aca="false">IF(11&lt;5,0,IF(MAX(J37:O37)&gt;=$B$23,1,0))</f>
        <v>0</v>
      </c>
      <c r="P78" s="352" t="n">
        <f aca="false">IF(12&lt;5,0,IF(MAX(K37:P37)&gt;=$B$23,1,0))</f>
        <v>0</v>
      </c>
      <c r="Q78" s="352" t="n">
        <f aca="false">IF(13&lt;5,0,IF(MAX(L37:Q37)&gt;=$B$23,1,0))</f>
        <v>0</v>
      </c>
      <c r="R78" s="352" t="n">
        <f aca="false">IF(14&lt;5,0,IF(MAX(M37:R37)&gt;=$B$23,1,0))</f>
        <v>1</v>
      </c>
      <c r="S78" s="352" t="n">
        <f aca="false">IF(15&lt;5,0,IF(MAX(N37:S37)&gt;=$B$23,1,0))</f>
        <v>1</v>
      </c>
      <c r="T78" s="352" t="n">
        <f aca="false">IF(16&lt;5,0,IF(MAX(O37:T37)&gt;=$B$23,1,0))</f>
        <v>1</v>
      </c>
      <c r="U78" s="352" t="n">
        <f aca="false">IF(17&lt;5,0,IF(MAX(P37:U37)&gt;=$B$23,1,0))</f>
        <v>1</v>
      </c>
      <c r="V78" s="352" t="n">
        <f aca="false">IF(18&lt;5,0,IF(MAX(Q37:V37)&gt;=$B$23,1,0))</f>
        <v>1</v>
      </c>
      <c r="W78" s="352" t="n">
        <f aca="false">IF(19&lt;5,0,IF(MAX(R37:W37)&gt;=$B$23,1,0))</f>
        <v>1</v>
      </c>
      <c r="X78" s="352" t="n">
        <f aca="false">IF(20&lt;5,0,IF(MAX(S37:X37)&gt;=$B$23,1,0))</f>
        <v>1</v>
      </c>
      <c r="Y78" s="352" t="n">
        <f aca="false">IF(21&lt;5,0,IF(MAX(T37:Y37)&gt;=$B$23,1,0))</f>
        <v>1</v>
      </c>
      <c r="Z78" s="352" t="n">
        <f aca="false">IF(22&lt;5,0,IF(MAX(U37:Z37)&gt;=$B$23,1,0))</f>
        <v>1</v>
      </c>
      <c r="AA78" s="352" t="n">
        <f aca="false">IF(23&lt;5,0,IF(MAX(V37:AA37)&gt;=$B$23,1,0))</f>
        <v>1</v>
      </c>
      <c r="AB78" s="352" t="n">
        <f aca="false">IF(24&lt;5,0,IF(MAX(W37:AB37)&gt;=$B$23,1,0))</f>
        <v>1</v>
      </c>
      <c r="AC78" s="352" t="n">
        <f aca="false">IF(25&lt;5,0,IF(MAX(X37:AC37)&gt;=$B$23,1,0))</f>
        <v>0</v>
      </c>
      <c r="AD78" s="352" t="n">
        <f aca="false">IF(26&lt;5,0,IF(MAX(Y37:AD37)&gt;=$B$23,1,0))</f>
        <v>0</v>
      </c>
      <c r="AE78" s="352" t="n">
        <f aca="false">IF(27&lt;5,0,IF(MAX(Z37:AE37)&gt;=$B$23,1,0))</f>
        <v>0</v>
      </c>
      <c r="AF78" s="352" t="n">
        <f aca="false">IF(28&lt;5,0,IF(MAX(AA37:AF37)&gt;=$B$23,1,0))</f>
        <v>0</v>
      </c>
      <c r="AG78" s="352" t="n">
        <f aca="false">IF(29&lt;5,0,IF(MAX(AB37:AG37)&gt;=$B$23,1,0))</f>
        <v>0</v>
      </c>
      <c r="AH78" s="352" t="n">
        <f aca="false">IF(30&lt;5,0,IF(MAX(AC37:AH37)&gt;=$B$23,1,0))</f>
        <v>0</v>
      </c>
      <c r="AI78" s="352" t="n">
        <f aca="false">IF(31&lt;5,0,IF(MAX(AD37:AI37)&gt;=$B$23,1,0))</f>
        <v>0</v>
      </c>
      <c r="AJ78" s="352" t="n">
        <f aca="false">IF(32&lt;5,0,IF(MAX(AE37:AJ37)&gt;=$B$23,1,0))</f>
        <v>0</v>
      </c>
      <c r="AK78" s="352" t="n">
        <f aca="false">IF(33&lt;5,0,IF(MAX(AF37:AK37)&gt;=$B$23,1,0))</f>
        <v>0</v>
      </c>
      <c r="AL78" s="352" t="n">
        <f aca="false">IF(34&lt;5,0,IF(MAX(AG37:AL37)&gt;=$B$23,1,0))</f>
        <v>0</v>
      </c>
      <c r="AM78" s="352" t="n">
        <f aca="false">IF(35&lt;5,0,IF(MAX(AH37:AM37)&gt;=$B$23,1,0))</f>
        <v>0</v>
      </c>
      <c r="AN78" s="352" t="n">
        <f aca="false">IF(36&lt;5,0,IF(MAX(AI37:AN37)&gt;=$B$23,1,0))</f>
        <v>0</v>
      </c>
      <c r="AO78" s="352" t="n">
        <f aca="false">IF(37&lt;5,0,IF(MAX(AJ37:AO37)&gt;=$B$23,1,0))</f>
        <v>0</v>
      </c>
      <c r="AP78" s="352" t="n">
        <f aca="false">IF(38&lt;5,0,IF(MAX(AK37:AP37)&gt;=$B$23,1,0))</f>
        <v>0</v>
      </c>
      <c r="AQ78" s="352" t="n">
        <f aca="false">IF(39&lt;5,0,IF(MAX(AL37:AQ37)&gt;=$B$23,1,0))</f>
        <v>0</v>
      </c>
      <c r="AR78" s="352" t="n">
        <f aca="false">IF(40&lt;5,0,IF(MAX(AM37:AR37)&gt;=$B$23,1,0))</f>
        <v>0</v>
      </c>
      <c r="AS78" s="352" t="n">
        <f aca="false">IF(41&lt;5,0,IF(MAX(AN37:AS37)&gt;=$B$23,1,0))</f>
        <v>0</v>
      </c>
      <c r="AT78" s="352" t="n">
        <f aca="false">IF(42&lt;5,0,IF(MAX(AO37:AT37)&gt;=$B$23,1,0))</f>
        <v>0</v>
      </c>
      <c r="AU78" s="352" t="n">
        <f aca="false">IF(43&lt;5,0,IF(MAX(AP37:AU37)&gt;=$B$23,1,0))</f>
        <v>0</v>
      </c>
      <c r="AV78" s="352" t="n">
        <f aca="false">IF(44&lt;5,0,IF(MAX(AQ37:AV37)&gt;=$B$23,1,0))</f>
        <v>0</v>
      </c>
      <c r="AW78" s="352" t="n">
        <f aca="false">IF(45&lt;5,0,IF(MAX(AR37:AW37)&gt;=$B$23,1,0))</f>
        <v>0</v>
      </c>
      <c r="AX78" s="352" t="n">
        <f aca="false">IF(46&lt;5,0,IF(MAX(AS37:AX37)&gt;=$B$23,1,0))</f>
        <v>0</v>
      </c>
      <c r="AY78" s="352" t="n">
        <f aca="false">IF(47&lt;5,0,IF(MAX(AT37:AY37)&gt;=$B$23,1,0))</f>
        <v>0</v>
      </c>
      <c r="AZ78" s="352" t="n">
        <f aca="false">IF(48&lt;5,0,IF(MAX(AU37:AZ37)&gt;=$B$23,1,0))</f>
        <v>0</v>
      </c>
      <c r="BA78" s="352" t="n">
        <f aca="false">IF(49&lt;5,0,IF(MAX(AV37:BA37)&gt;=$B$23,1,0))</f>
        <v>0</v>
      </c>
      <c r="BB78" s="352" t="n">
        <f aca="false">IF(50&lt;5,0,IF(MAX(AW37:BB37)&gt;=$B$23,1,0))</f>
        <v>0</v>
      </c>
      <c r="BC78" s="352" t="n">
        <f aca="false">IF(51&lt;5,0,IF(MAX(AX37:BC37)&gt;=$B$23,1,0))</f>
        <v>0</v>
      </c>
      <c r="BD78" s="352" t="n">
        <f aca="false">IF(52&lt;5,0,IF(MAX(AY37:BD37)&gt;=$B$23,1,0))</f>
        <v>0</v>
      </c>
      <c r="BE78" s="352" t="n">
        <f aca="false">IF(53&lt;5,0,IF(MAX(AZ37:BE37)&gt;=$B$23,1,0))</f>
        <v>0</v>
      </c>
      <c r="BF78" s="352" t="n">
        <f aca="false">IF(54&lt;5,0,IF(MAX(BA37:BF37)&gt;=$B$23,1,0))</f>
        <v>0</v>
      </c>
      <c r="BG78" s="352" t="n">
        <f aca="false">IF(55&lt;5,0,IF(MAX(BB37:BG37)&gt;=$B$23,1,0))</f>
        <v>0</v>
      </c>
      <c r="BH78" s="352" t="n">
        <f aca="false">IF(56&lt;5,0,IF(MAX(BC37:BH37)&gt;=$B$23,1,0))</f>
        <v>0</v>
      </c>
      <c r="BI78" s="352" t="n">
        <f aca="false">IF(57&lt;5,0,IF(MAX(BD37:BI37)&gt;=$B$23,1,0))</f>
        <v>0</v>
      </c>
      <c r="BJ78" s="352" t="n">
        <f aca="false">IF(58&lt;5,0,IF(MAX(BE37:BJ37)&gt;=$B$23,1,0))</f>
        <v>0</v>
      </c>
      <c r="BK78" s="352" t="n">
        <f aca="false">IF(59&lt;5,0,IF(MAX(BF37:BK37)&gt;=$B$23,1,0))</f>
        <v>0</v>
      </c>
      <c r="BL78" s="352" t="n">
        <f aca="false">IF(60&lt;5,0,IF(MAX(BG37:BL37)&gt;=$B$23,1,0))</f>
        <v>0</v>
      </c>
      <c r="BM78" s="352" t="n">
        <f aca="false">IF(61&lt;5,0,IF(MAX(BH37:BM37)&gt;=$B$23,1,0))</f>
        <v>0</v>
      </c>
      <c r="BN78" s="352" t="n">
        <f aca="false">IF(62&lt;5,0,IF(MAX(BI37:BN37)&gt;=$B$23,1,0))</f>
        <v>0</v>
      </c>
      <c r="BO78" s="352" t="n">
        <f aca="false">IF(63&lt;5,0,IF(MAX(BJ37:BO37)&gt;=$B$23,1,0))</f>
        <v>0</v>
      </c>
      <c r="BP78" s="352" t="n">
        <f aca="false">IF(64&lt;5,0,IF(MAX(BK37:BP37)&gt;=$B$23,1,0))</f>
        <v>0</v>
      </c>
      <c r="BQ78" s="352" t="n">
        <f aca="false">IF(65&lt;5,0,IF(MAX(BL37:BQ37)&gt;=$B$23,1,0))</f>
        <v>0</v>
      </c>
      <c r="BR78" s="352" t="n">
        <f aca="false">IF(66&lt;5,0,IF(MAX(BM37:BR37)&gt;=$B$23,1,0))</f>
        <v>0</v>
      </c>
      <c r="BS78" s="352" t="n">
        <f aca="false">IF(67&lt;5,0,IF(MAX(BN37:BS37)&gt;=$B$23,1,0))</f>
        <v>0</v>
      </c>
      <c r="BT78" s="352" t="n">
        <f aca="false">IF(68&lt;5,0,IF(MAX(BO37:BT37)&gt;=$B$23,1,0))</f>
        <v>0</v>
      </c>
      <c r="BU78" s="352" t="n">
        <f aca="false">IF(69&lt;5,0,IF(MAX(BP37:BU37)&gt;=$B$23,1,0))</f>
        <v>0</v>
      </c>
      <c r="BV78" s="352" t="n">
        <f aca="false">IF(70&lt;5,0,IF(MAX(BQ37:BV37)&gt;=$B$23,1,0))</f>
        <v>0</v>
      </c>
      <c r="BW78" s="352" t="n">
        <f aca="false">IF(71&lt;5,0,IF(MAX(BR37:BW37)&gt;=$B$23,1,0))</f>
        <v>0</v>
      </c>
      <c r="BX78" s="352" t="n">
        <f aca="false">IF(72&lt;5,0,IF(MAX(BS37:BX37)&gt;=$B$23,1,0))</f>
        <v>0</v>
      </c>
      <c r="BY78" s="352" t="n">
        <f aca="false">IF(73&lt;5,0,IF(MAX(BT37:BY37)&gt;=$B$23,1,0))</f>
        <v>0</v>
      </c>
      <c r="BZ78" s="352" t="n">
        <f aca="false">IF(74&lt;5,0,IF(MAX(BU37:BZ37)&gt;=$B$23,1,0))</f>
        <v>0</v>
      </c>
      <c r="CA78" s="352" t="n">
        <f aca="false">IF(75&lt;5,0,IF(MAX(BV37:CA37)&gt;=$B$23,1,0))</f>
        <v>0</v>
      </c>
      <c r="CB78" s="352" t="n">
        <f aca="false">IF(76&lt;5,0,IF(MAX(BW37:CB37)&gt;=$B$23,1,0))</f>
        <v>0</v>
      </c>
      <c r="CC78" s="352" t="n">
        <f aca="false">IF(77&lt;5,0,IF(MAX(BX37:CC37)&gt;=$B$23,1,0))</f>
        <v>0</v>
      </c>
      <c r="CD78" s="352" t="n">
        <f aca="false">IF(78&lt;5,0,IF(MAX(BY37:CD37)&gt;=$B$23,1,0))</f>
        <v>0</v>
      </c>
      <c r="CE78" s="352" t="n">
        <f aca="false">IF(79&lt;5,0,IF(MAX(BZ37:CE37)&gt;=$B$23,1,0))</f>
        <v>0</v>
      </c>
      <c r="CF78" s="352" t="n">
        <f aca="false">IF(80&lt;5,0,IF(MAX(CA37:CF37)&gt;=$B$23,1,0))</f>
        <v>0</v>
      </c>
      <c r="CG78" s="352" t="n">
        <f aca="false">IF(81&lt;5,0,IF(MAX(CB37:CG37)&gt;=$B$23,1,0))</f>
        <v>0</v>
      </c>
      <c r="CH78" s="352" t="n">
        <f aca="false">IF(82&lt;5,0,IF(MAX(CC37:CH37)&gt;=$B$23,1,0))</f>
        <v>0</v>
      </c>
      <c r="CI78" s="352" t="n">
        <f aca="false">IF(83&lt;5,0,IF(MAX(CD37:CI37)&gt;=$B$23,1,0))</f>
        <v>0</v>
      </c>
      <c r="CJ78" s="352" t="n">
        <f aca="false">IF(84&lt;5,0,IF(MAX(CE37:CJ37)&gt;=$B$23,1,0))</f>
        <v>0</v>
      </c>
      <c r="CK78" s="352" t="n">
        <f aca="false">IF(85&lt;5,0,IF(MAX(CF37:CK37)&gt;=$B$23,1,0))</f>
        <v>0</v>
      </c>
      <c r="CL78" s="352" t="n">
        <f aca="false">IF(86&lt;5,0,IF(MAX(CG37:CL37)&gt;=$B$23,1,0))</f>
        <v>0</v>
      </c>
      <c r="CM78" s="352" t="n">
        <f aca="false">IF(87&lt;5,0,IF(MAX(CH37:CM37)&gt;=$B$23,1,0))</f>
        <v>0</v>
      </c>
      <c r="CN78" s="352" t="n">
        <f aca="false">IF(88&lt;5,0,IF(MAX(CI37:CN37)&gt;=$B$23,1,0))</f>
        <v>0</v>
      </c>
      <c r="CO78" s="352" t="n">
        <f aca="false">IF(89&lt;5,0,IF(MAX(CJ37:CO37)&gt;=$B$23,1,0))</f>
        <v>0</v>
      </c>
      <c r="CP78" s="352" t="n">
        <f aca="false">IF(90&lt;5,0,IF(MAX(CK37:CP37)&gt;=$B$23,1,0))</f>
        <v>0</v>
      </c>
      <c r="CQ78" s="352" t="n">
        <f aca="false">IF(91&lt;5,0,IF(MAX(CL37:CQ37)&gt;=$B$23,1,0))</f>
        <v>0</v>
      </c>
      <c r="CR78" s="352" t="n">
        <f aca="false">IF(92&lt;5,0,IF(MAX(CM37:CR37)&gt;=$B$23,1,0))</f>
        <v>0</v>
      </c>
      <c r="CS78" s="352" t="n">
        <f aca="false">IF(93&lt;5,0,IF(MAX(CN37:CS37)&gt;=$B$23,1,0))</f>
        <v>0</v>
      </c>
      <c r="CT78" s="352" t="n">
        <f aca="false">IF(94&lt;5,0,IF(MAX(CO37:CT37)&gt;=$B$23,1,0))</f>
        <v>0</v>
      </c>
      <c r="CU78" s="352" t="n">
        <f aca="false">IF(95&lt;5,0,IF(MAX(CP37:CU37)&gt;=$B$23,1,0))</f>
        <v>0</v>
      </c>
      <c r="CV78" s="352" t="n">
        <f aca="false">IF(96&lt;5,0,IF(MAX(CQ37:CV37)&gt;=$B$23,1,0))</f>
        <v>0</v>
      </c>
      <c r="CW78" s="352" t="n">
        <f aca="false">IF(97&lt;5,0,IF(MAX(CR37:CW37)&gt;=$B$23,1,0))</f>
        <v>0</v>
      </c>
      <c r="CX78" s="352" t="n">
        <f aca="false">IF(98&lt;5,0,IF(MAX(CS37:CX37)&gt;=$B$23,1,0))</f>
        <v>0</v>
      </c>
      <c r="CY78" s="352" t="n">
        <f aca="false">IF(99&lt;5,0,IF(MAX(CT37:CY37)&gt;=$B$23,1,0))</f>
        <v>0</v>
      </c>
      <c r="CZ78" s="352" t="n">
        <f aca="false">IF(100&lt;5,0,IF(MAX(CU37:CZ37)&gt;=$B$23,1,0))</f>
        <v>0</v>
      </c>
      <c r="DA78" s="352" t="n">
        <f aca="false">IF(101&lt;5,0,IF(MAX(CV37:DA37)&gt;=$B$23,1,0))</f>
        <v>0</v>
      </c>
      <c r="DB78" s="352" t="n">
        <f aca="false">IF(102&lt;5,0,IF(MAX(CW37:DB37)&gt;=$B$23,1,0))</f>
        <v>0</v>
      </c>
      <c r="DC78" s="352" t="n">
        <f aca="false">IF(103&lt;5,0,IF(MAX(CX37:DC37)&gt;=$B$23,1,0))</f>
        <v>0</v>
      </c>
      <c r="DD78" s="352" t="n">
        <f aca="false">IF(104&lt;5,0,IF(MAX(CY37:DD37)&gt;=$B$23,1,0))</f>
        <v>0</v>
      </c>
      <c r="DE78" s="352" t="n">
        <f aca="false">IF(105&lt;5,0,IF(MAX(CZ37:DE37)&gt;=$B$23,1,0))</f>
        <v>0</v>
      </c>
    </row>
    <row r="80" customFormat="false" ht="13.5" hidden="false" customHeight="true" outlineLevel="0" collapsed="false">
      <c r="A80" s="209" t="s">
        <v>1202</v>
      </c>
      <c r="B80" s="210"/>
      <c r="C80" s="210"/>
      <c r="D80" s="210"/>
      <c r="E80" s="210"/>
      <c r="F80" s="210"/>
    </row>
    <row r="81" customFormat="false" ht="13.5" hidden="false" customHeight="true" outlineLevel="0" collapsed="false">
      <c r="A81" s="109" t="s">
        <v>1203</v>
      </c>
      <c r="E81" s="353" t="n">
        <f aca="false">(SUMPRODUCT($B$49:$B$58,E49:E58)+SUMPRODUCT($B$61:$B$68,E61:E68)+SUMPRODUCT($B$71:$B$74,E71:E74)+SUMPRODUCT($B$77:$B$78,E77:E78)+SUMPRODUCT($B$99:$B$104,E99:E104))/12</f>
        <v>0</v>
      </c>
      <c r="F81" s="353" t="n">
        <f aca="false">(SUMPRODUCT($B$49:$B$58,F49:F58)+SUMPRODUCT($B$61:$B$68,F61:F68)+SUMPRODUCT($B$71:$B$74,F71:F74)+SUMPRODUCT($B$77:$B$78,F77:F78)+SUMPRODUCT($B$99:$B$104,F99:F104))/12</f>
        <v>0</v>
      </c>
      <c r="G81" s="353" t="n">
        <f aca="false">(SUMPRODUCT($B$49:$B$58,G49:G58)+SUMPRODUCT($B$61:$B$68,G61:G68)+SUMPRODUCT($B$71:$B$74,G71:G74)+SUMPRODUCT($B$77:$B$78,G77:G78)+SUMPRODUCT($B$99:$B$104,G99:G104))/12</f>
        <v>0</v>
      </c>
      <c r="H81" s="353" t="n">
        <f aca="false">(SUMPRODUCT($B$49:$B$58,H49:H58)+SUMPRODUCT($B$61:$B$68,H61:H68)+SUMPRODUCT($B$71:$B$74,H71:H74)+SUMPRODUCT($B$77:$B$78,H77:H78)+SUMPRODUCT($B$99:$B$104,H99:H104))/12</f>
        <v>0</v>
      </c>
      <c r="I81" s="353" t="n">
        <f aca="false">(SUMPRODUCT($B$49:$B$58,I49:I58)+SUMPRODUCT($B$61:$B$68,I61:I68)+SUMPRODUCT($B$71:$B$74,I71:I74)+SUMPRODUCT($B$77:$B$78,I77:I78)+SUMPRODUCT($B$99:$B$104,I99:I104))/12</f>
        <v>10833.3333333333</v>
      </c>
      <c r="J81" s="353" t="n">
        <f aca="false">(SUMPRODUCT($B$49:$B$58,J49:J58)+SUMPRODUCT($B$61:$B$68,J61:J68)+SUMPRODUCT($B$71:$B$74,J71:J74)+SUMPRODUCT($B$77:$B$78,J77:J78)+SUMPRODUCT($B$99:$B$104,J99:J104))/12</f>
        <v>0</v>
      </c>
      <c r="K81" s="353" t="n">
        <f aca="false">(SUMPRODUCT($B$49:$B$58,K49:K58)+SUMPRODUCT($B$61:$B$68,K61:K68)+SUMPRODUCT($B$71:$B$74,K71:K74)+SUMPRODUCT($B$77:$B$78,K77:K78)+SUMPRODUCT($B$99:$B$104,K99:K104))/12</f>
        <v>0</v>
      </c>
      <c r="L81" s="353" t="n">
        <f aca="false">(SUMPRODUCT($B$49:$B$58,L49:L58)+SUMPRODUCT($B$61:$B$68,L61:L68)+SUMPRODUCT($B$71:$B$74,L71:L74)+SUMPRODUCT($B$77:$B$78,L77:L78)+SUMPRODUCT($B$99:$B$104,L99:L104))/12</f>
        <v>0</v>
      </c>
      <c r="M81" s="353" t="n">
        <f aca="false">(SUMPRODUCT($B$49:$B$58,M49:M58)+SUMPRODUCT($B$61:$B$68,M61:M68)+SUMPRODUCT($B$71:$B$74,M71:M74)+SUMPRODUCT($B$77:$B$78,M77:M78)+SUMPRODUCT($B$99:$B$104,M99:M104))/12</f>
        <v>47916.6666666667</v>
      </c>
      <c r="N81" s="353" t="n">
        <f aca="false">(SUMPRODUCT($B$49:$B$58,N49:N58)+SUMPRODUCT($B$61:$B$68,N61:N68)+SUMPRODUCT($B$71:$B$74,N71:N74)+SUMPRODUCT($B$77:$B$78,N77:N78)+SUMPRODUCT($B$99:$B$104,N99:N104))/12</f>
        <v>47916.6666666667</v>
      </c>
      <c r="O81" s="353" t="n">
        <f aca="false">(SUMPRODUCT($B$49:$B$58,O49:O58)+SUMPRODUCT($B$61:$B$68,O61:O68)+SUMPRODUCT($B$71:$B$74,O71:O74)+SUMPRODUCT($B$77:$B$78,O77:O78)+SUMPRODUCT($B$99:$B$104,O99:O104))/12</f>
        <v>93333.3333333333</v>
      </c>
      <c r="P81" s="353" t="n">
        <f aca="false">(SUMPRODUCT($B$49:$B$58,P49:P58)+SUMPRODUCT($B$61:$B$68,P61:P68)+SUMPRODUCT($B$71:$B$74,P71:P74)+SUMPRODUCT($B$77:$B$78,P77:P78)+SUMPRODUCT($B$99:$B$104,P99:P104))/12</f>
        <v>93333.3333333333</v>
      </c>
      <c r="Q81" s="353" t="n">
        <f aca="false">(SUMPRODUCT($B$49:$B$58,Q49:Q58)+SUMPRODUCT($B$61:$B$68,Q61:Q68)+SUMPRODUCT($B$71:$B$74,Q71:Q74)+SUMPRODUCT($B$77:$B$78,Q77:Q78)+SUMPRODUCT($B$99:$B$104,Q99:Q104))/12</f>
        <v>106666.666666667</v>
      </c>
      <c r="R81" s="353" t="n">
        <f aca="false">(SUMPRODUCT($B$49:$B$58,R49:R58)+SUMPRODUCT($B$61:$B$68,R61:R68)+SUMPRODUCT($B$71:$B$74,R71:R74)+SUMPRODUCT($B$77:$B$78,R77:R78)+SUMPRODUCT($B$99:$B$104,R99:R104))/12</f>
        <v>137083.333333333</v>
      </c>
      <c r="S81" s="353" t="n">
        <f aca="false">(SUMPRODUCT($B$49:$B$58,S49:S58)+SUMPRODUCT($B$61:$B$68,S61:S68)+SUMPRODUCT($B$71:$B$74,S71:S74)+SUMPRODUCT($B$77:$B$78,S77:S78)+SUMPRODUCT($B$99:$B$104,S99:S104))/12</f>
        <v>158333.333333333</v>
      </c>
      <c r="T81" s="353" t="n">
        <f aca="false">(SUMPRODUCT($B$49:$B$58,T49:T58)+SUMPRODUCT($B$61:$B$68,T61:T68)+SUMPRODUCT($B$71:$B$74,T71:T74)+SUMPRODUCT($B$77:$B$78,T77:T78)+SUMPRODUCT($B$99:$B$104,T99:T104))/12</f>
        <v>158333.333333333</v>
      </c>
      <c r="U81" s="353" t="n">
        <f aca="false">(SUMPRODUCT($B$49:$B$58,U49:U58)+SUMPRODUCT($B$61:$B$68,U61:U68)+SUMPRODUCT($B$71:$B$74,U71:U74)+SUMPRODUCT($B$77:$B$78,U77:U78)+SUMPRODUCT($B$99:$B$104,U99:U104))/12</f>
        <v>158333.333333333</v>
      </c>
      <c r="V81" s="353" t="n">
        <f aca="false">(SUMPRODUCT($B$49:$B$58,V49:V58)+SUMPRODUCT($B$61:$B$68,V61:V68)+SUMPRODUCT($B$71:$B$74,V71:V74)+SUMPRODUCT($B$77:$B$78,V77:V78)+SUMPRODUCT($B$99:$B$104,V99:V104))/12</f>
        <v>158333.333333333</v>
      </c>
      <c r="W81" s="353" t="n">
        <f aca="false">(SUMPRODUCT($B$49:$B$58,W49:W58)+SUMPRODUCT($B$61:$B$68,W61:W68)+SUMPRODUCT($B$71:$B$74,W71:W74)+SUMPRODUCT($B$77:$B$78,W77:W78)+SUMPRODUCT($B$99:$B$104,W99:W104))/12</f>
        <v>158333.333333333</v>
      </c>
      <c r="X81" s="353" t="n">
        <f aca="false">(SUMPRODUCT($B$49:$B$58,X49:X58)+SUMPRODUCT($B$61:$B$68,X61:X68)+SUMPRODUCT($B$71:$B$74,X71:X74)+SUMPRODUCT($B$77:$B$78,X77:X78)+SUMPRODUCT($B$99:$B$104,X99:X104))/12</f>
        <v>158333.333333333</v>
      </c>
      <c r="Y81" s="353" t="n">
        <f aca="false">(SUMPRODUCT($B$49:$B$58,Y49:Y58)+SUMPRODUCT($B$61:$B$68,Y61:Y68)+SUMPRODUCT($B$71:$B$74,Y71:Y74)+SUMPRODUCT($B$77:$B$78,Y77:Y78)+SUMPRODUCT($B$99:$B$104,Y99:Y104))/12</f>
        <v>158333.333333333</v>
      </c>
      <c r="Z81" s="353" t="n">
        <f aca="false">(SUMPRODUCT($B$49:$B$58,Z49:Z58)+SUMPRODUCT($B$61:$B$68,Z61:Z68)+SUMPRODUCT($B$71:$B$74,Z71:Z74)+SUMPRODUCT($B$77:$B$78,Z77:Z78)+SUMPRODUCT($B$99:$B$104,Z99:Z104))/12</f>
        <v>158333.333333333</v>
      </c>
      <c r="AA81" s="353" t="n">
        <f aca="false">(SUMPRODUCT($B$49:$B$58,AA49:AA58)+SUMPRODUCT($B$61:$B$68,AA61:AA68)+SUMPRODUCT($B$71:$B$74,AA71:AA74)+SUMPRODUCT($B$77:$B$78,AA77:AA78)+SUMPRODUCT($B$99:$B$104,AA99:AA104))/12</f>
        <v>158333.333333333</v>
      </c>
      <c r="AB81" s="353" t="n">
        <f aca="false">(SUMPRODUCT($B$49:$B$58,AB49:AB58)+SUMPRODUCT($B$61:$B$68,AB61:AB68)+SUMPRODUCT($B$71:$B$74,AB71:AB74)+SUMPRODUCT($B$77:$B$78,AB77:AB78)+SUMPRODUCT($B$99:$B$104,AB99:AB104))/12</f>
        <v>158333.333333333</v>
      </c>
      <c r="AC81" s="353" t="n">
        <f aca="false">(SUMPRODUCT($B$49:$B$58,AC49:AC58)+SUMPRODUCT($B$61:$B$68,AC61:AC68)+SUMPRODUCT($B$71:$B$74,AC71:AC74)+SUMPRODUCT($B$77:$B$78,AC77:AC78)+SUMPRODUCT($B$99:$B$104,AC99:AC104))/12</f>
        <v>141250</v>
      </c>
      <c r="AD81" s="353" t="n">
        <f aca="false">(SUMPRODUCT($B$49:$B$58,AD49:AD58)+SUMPRODUCT($B$61:$B$68,AD61:AD68)+SUMPRODUCT($B$71:$B$74,AD71:AD74)+SUMPRODUCT($B$77:$B$78,AD77:AD78)+SUMPRODUCT($B$99:$B$104,AD99:AD104))/12</f>
        <v>117083.333333333</v>
      </c>
      <c r="AE81" s="353" t="n">
        <f aca="false">(SUMPRODUCT($B$49:$B$58,AE49:AE58)+SUMPRODUCT($B$61:$B$68,AE61:AE68)+SUMPRODUCT($B$71:$B$74,AE71:AE74)+SUMPRODUCT($B$77:$B$78,AE77:AE78)+SUMPRODUCT($B$99:$B$104,AE99:AE104))/12</f>
        <v>117083.333333333</v>
      </c>
      <c r="AF81" s="353" t="n">
        <f aca="false">(SUMPRODUCT($B$49:$B$58,AF49:AF58)+SUMPRODUCT($B$61:$B$68,AF61:AF68)+SUMPRODUCT($B$71:$B$74,AF71:AF74)+SUMPRODUCT($B$77:$B$78,AF77:AF78)+SUMPRODUCT($B$99:$B$104,AF99:AF104))/12</f>
        <v>117083.333333333</v>
      </c>
      <c r="AG81" s="353" t="n">
        <f aca="false">(SUMPRODUCT($B$49:$B$58,AG49:AG58)+SUMPRODUCT($B$61:$B$68,AG61:AG68)+SUMPRODUCT($B$71:$B$74,AG71:AG74)+SUMPRODUCT($B$77:$B$78,AG77:AG78)+SUMPRODUCT($B$99:$B$104,AG99:AG104))/12</f>
        <v>117083.333333333</v>
      </c>
      <c r="AH81" s="353" t="n">
        <f aca="false">(SUMPRODUCT($B$49:$B$58,AH49:AH58)+SUMPRODUCT($B$61:$B$68,AH61:AH68)+SUMPRODUCT($B$71:$B$74,AH71:AH74)+SUMPRODUCT($B$77:$B$78,AH77:AH78)+SUMPRODUCT($B$99:$B$104,AH99:AH104))/12</f>
        <v>103750</v>
      </c>
      <c r="AI81" s="353" t="n">
        <f aca="false">(SUMPRODUCT($B$49:$B$58,AI49:AI58)+SUMPRODUCT($B$61:$B$68,AI61:AI68)+SUMPRODUCT($B$71:$B$74,AI71:AI74)+SUMPRODUCT($B$77:$B$78,AI77:AI78)+SUMPRODUCT($B$99:$B$104,AI99:AI104))/12</f>
        <v>88750</v>
      </c>
      <c r="AJ81" s="353" t="n">
        <f aca="false">(SUMPRODUCT($B$49:$B$58,AJ49:AJ58)+SUMPRODUCT($B$61:$B$68,AJ61:AJ68)+SUMPRODUCT($B$71:$B$74,AJ71:AJ74)+SUMPRODUCT($B$77:$B$78,AJ77:AJ78)+SUMPRODUCT($B$99:$B$104,AJ99:AJ104))/12</f>
        <v>88750</v>
      </c>
      <c r="AK81" s="353" t="n">
        <f aca="false">(SUMPRODUCT($B$49:$B$58,AK49:AK58)+SUMPRODUCT($B$61:$B$68,AK61:AK68)+SUMPRODUCT($B$71:$B$74,AK71:AK74)+SUMPRODUCT($B$77:$B$78,AK77:AK78)+SUMPRODUCT($B$99:$B$104,AK99:AK104))/12</f>
        <v>88750</v>
      </c>
      <c r="AL81" s="353" t="n">
        <f aca="false">(SUMPRODUCT($B$49:$B$58,AL49:AL58)+SUMPRODUCT($B$61:$B$68,AL61:AL68)+SUMPRODUCT($B$71:$B$74,AL71:AL74)+SUMPRODUCT($B$77:$B$78,AL77:AL78)+SUMPRODUCT($B$99:$B$104,AL99:AL104))/12</f>
        <v>82083.3333333333</v>
      </c>
      <c r="AM81" s="353" t="n">
        <f aca="false">(SUMPRODUCT($B$49:$B$58,AM49:AM58)+SUMPRODUCT($B$61:$B$68,AM61:AM68)+SUMPRODUCT($B$71:$B$74,AM71:AM74)+SUMPRODUCT($B$77:$B$78,AM77:AM78)+SUMPRODUCT($B$99:$B$104,AM99:AM104))/12</f>
        <v>45000</v>
      </c>
      <c r="AN81" s="353" t="n">
        <f aca="false">(SUMPRODUCT($B$49:$B$58,AN49:AN58)+SUMPRODUCT($B$61:$B$68,AN61:AN68)+SUMPRODUCT($B$71:$B$74,AN71:AN74)+SUMPRODUCT($B$77:$B$78,AN77:AN78)+SUMPRODUCT($B$99:$B$104,AN99:AN104))/12</f>
        <v>31666.6666666667</v>
      </c>
      <c r="AO81" s="353" t="n">
        <f aca="false">(SUMPRODUCT($B$49:$B$58,AO49:AO58)+SUMPRODUCT($B$61:$B$68,AO61:AO68)+SUMPRODUCT($B$71:$B$74,AO71:AO74)+SUMPRODUCT($B$77:$B$78,AO77:AO78)+SUMPRODUCT($B$99:$B$104,AO99:AO104))/12</f>
        <v>10416.6666666667</v>
      </c>
      <c r="AP81" s="353" t="n">
        <f aca="false">(SUMPRODUCT($B$49:$B$58,AP49:AP58)+SUMPRODUCT($B$61:$B$68,AP61:AP68)+SUMPRODUCT($B$71:$B$74,AP71:AP74)+SUMPRODUCT($B$77:$B$78,AP77:AP78)+SUMPRODUCT($B$99:$B$104,AP99:AP104))/12</f>
        <v>10416.6666666667</v>
      </c>
      <c r="AQ81" s="353" t="n">
        <f aca="false">(SUMPRODUCT($B$49:$B$58,AQ49:AQ58)+SUMPRODUCT($B$61:$B$68,AQ61:AQ68)+SUMPRODUCT($B$71:$B$74,AQ71:AQ74)+SUMPRODUCT($B$77:$B$78,AQ77:AQ78)+SUMPRODUCT($B$99:$B$104,AQ99:AQ104))/12</f>
        <v>0</v>
      </c>
      <c r="AR81" s="353" t="n">
        <f aca="false">(SUMPRODUCT($B$49:$B$58,AR49:AR58)+SUMPRODUCT($B$61:$B$68,AR61:AR68)+SUMPRODUCT($B$71:$B$74,AR71:AR74)+SUMPRODUCT($B$77:$B$78,AR77:AR78)+SUMPRODUCT($B$99:$B$104,AR99:AR104))/12</f>
        <v>0</v>
      </c>
      <c r="AS81" s="353" t="n">
        <f aca="false">(SUMPRODUCT($B$49:$B$58,AS49:AS58)+SUMPRODUCT($B$61:$B$68,AS61:AS68)+SUMPRODUCT($B$71:$B$74,AS71:AS74)+SUMPRODUCT($B$77:$B$78,AS77:AS78)+SUMPRODUCT($B$99:$B$104,AS99:AS104))/12</f>
        <v>0</v>
      </c>
      <c r="AT81" s="353" t="n">
        <f aca="false">(SUMPRODUCT($B$49:$B$58,AT49:AT58)+SUMPRODUCT($B$61:$B$68,AT61:AT68)+SUMPRODUCT($B$71:$B$74,AT71:AT74)+SUMPRODUCT($B$77:$B$78,AT77:AT78)+SUMPRODUCT($B$99:$B$104,AT99:AT104))/12</f>
        <v>0</v>
      </c>
      <c r="AU81" s="353" t="n">
        <f aca="false">(SUMPRODUCT($B$49:$B$58,AU49:AU58)+SUMPRODUCT($B$61:$B$68,AU61:AU68)+SUMPRODUCT($B$71:$B$74,AU71:AU74)+SUMPRODUCT($B$77:$B$78,AU77:AU78)+SUMPRODUCT($B$99:$B$104,AU99:AU104))/12</f>
        <v>0</v>
      </c>
      <c r="AV81" s="353" t="n">
        <f aca="false">(SUMPRODUCT($B$49:$B$58,AV49:AV58)+SUMPRODUCT($B$61:$B$68,AV61:AV68)+SUMPRODUCT($B$71:$B$74,AV71:AV74)+SUMPRODUCT($B$77:$B$78,AV77:AV78)+SUMPRODUCT($B$99:$B$104,AV99:AV104))/12</f>
        <v>0</v>
      </c>
      <c r="AW81" s="353" t="n">
        <f aca="false">(SUMPRODUCT($B$49:$B$58,AW49:AW58)+SUMPRODUCT($B$61:$B$68,AW61:AW68)+SUMPRODUCT($B$71:$B$74,AW71:AW74)+SUMPRODUCT($B$77:$B$78,AW77:AW78)+SUMPRODUCT($B$99:$B$104,AW99:AW104))/12</f>
        <v>0</v>
      </c>
      <c r="AX81" s="353" t="n">
        <f aca="false">(SUMPRODUCT($B$49:$B$58,AX49:AX58)+SUMPRODUCT($B$61:$B$68,AX61:AX68)+SUMPRODUCT($B$71:$B$74,AX71:AX74)+SUMPRODUCT($B$77:$B$78,AX77:AX78)+SUMPRODUCT($B$99:$B$104,AX99:AX104))/12</f>
        <v>0</v>
      </c>
      <c r="AY81" s="353" t="n">
        <f aca="false">(SUMPRODUCT($B$49:$B$58,AY49:AY58)+SUMPRODUCT($B$61:$B$68,AY61:AY68)+SUMPRODUCT($B$71:$B$74,AY71:AY74)+SUMPRODUCT($B$77:$B$78,AY77:AY78)+SUMPRODUCT($B$99:$B$104,AY99:AY104))/12</f>
        <v>0</v>
      </c>
      <c r="AZ81" s="353" t="n">
        <f aca="false">(SUMPRODUCT($B$49:$B$58,AZ49:AZ58)+SUMPRODUCT($B$61:$B$68,AZ61:AZ68)+SUMPRODUCT($B$71:$B$74,AZ71:AZ74)+SUMPRODUCT($B$77:$B$78,AZ77:AZ78)+SUMPRODUCT($B$99:$B$104,AZ99:AZ104))/12</f>
        <v>0</v>
      </c>
      <c r="BA81" s="353" t="n">
        <f aca="false">(SUMPRODUCT($B$49:$B$58,BA49:BA58)+SUMPRODUCT($B$61:$B$68,BA61:BA68)+SUMPRODUCT($B$71:$B$74,BA71:BA74)+SUMPRODUCT($B$77:$B$78,BA77:BA78)+SUMPRODUCT($B$99:$B$104,BA99:BA104))/12</f>
        <v>0</v>
      </c>
      <c r="BB81" s="353" t="n">
        <f aca="false">(SUMPRODUCT($B$49:$B$58,BB49:BB58)+SUMPRODUCT($B$61:$B$68,BB61:BB68)+SUMPRODUCT($B$71:$B$74,BB71:BB74)+SUMPRODUCT($B$77:$B$78,BB77:BB78)+SUMPRODUCT($B$99:$B$104,BB99:BB104))/12</f>
        <v>0</v>
      </c>
      <c r="BC81" s="353" t="n">
        <f aca="false">(SUMPRODUCT($B$49:$B$58,BC49:BC58)+SUMPRODUCT($B$61:$B$68,BC61:BC68)+SUMPRODUCT($B$71:$B$74,BC71:BC74)+SUMPRODUCT($B$77:$B$78,BC77:BC78)+SUMPRODUCT($B$99:$B$104,BC99:BC104))/12</f>
        <v>0</v>
      </c>
      <c r="BD81" s="353" t="n">
        <f aca="false">(SUMPRODUCT($B$49:$B$58,BD49:BD58)+SUMPRODUCT($B$61:$B$68,BD61:BD68)+SUMPRODUCT($B$71:$B$74,BD71:BD74)+SUMPRODUCT($B$77:$B$78,BD77:BD78)+SUMPRODUCT($B$99:$B$104,BD99:BD104))/12</f>
        <v>0</v>
      </c>
      <c r="BE81" s="353" t="n">
        <f aca="false">(SUMPRODUCT($B$49:$B$58,BE49:BE58)+SUMPRODUCT($B$61:$B$68,BE61:BE68)+SUMPRODUCT($B$71:$B$74,BE71:BE74)+SUMPRODUCT($B$77:$B$78,BE77:BE78)+SUMPRODUCT($B$99:$B$104,BE99:BE104))/12</f>
        <v>0</v>
      </c>
      <c r="BF81" s="353" t="n">
        <f aca="false">(SUMPRODUCT($B$49:$B$58,BF49:BF58)+SUMPRODUCT($B$61:$B$68,BF61:BF68)+SUMPRODUCT($B$71:$B$74,BF71:BF74)+SUMPRODUCT($B$77:$B$78,BF77:BF78)+SUMPRODUCT($B$99:$B$104,BF99:BF104))/12</f>
        <v>0</v>
      </c>
      <c r="BG81" s="353" t="n">
        <f aca="false">(SUMPRODUCT($B$49:$B$58,BG49:BG58)+SUMPRODUCT($B$61:$B$68,BG61:BG68)+SUMPRODUCT($B$71:$B$74,BG71:BG74)+SUMPRODUCT($B$77:$B$78,BG77:BG78)+SUMPRODUCT($B$99:$B$104,BG99:BG104))/12</f>
        <v>0</v>
      </c>
      <c r="BH81" s="353" t="n">
        <f aca="false">(SUMPRODUCT($B$49:$B$58,BH49:BH58)+SUMPRODUCT($B$61:$B$68,BH61:BH68)+SUMPRODUCT($B$71:$B$74,BH71:BH74)+SUMPRODUCT($B$77:$B$78,BH77:BH78)+SUMPRODUCT($B$99:$B$104,BH99:BH104))/12</f>
        <v>0</v>
      </c>
      <c r="BI81" s="353" t="n">
        <f aca="false">(SUMPRODUCT($B$49:$B$58,BI49:BI58)+SUMPRODUCT($B$61:$B$68,BI61:BI68)+SUMPRODUCT($B$71:$B$74,BI71:BI74)+SUMPRODUCT($B$77:$B$78,BI77:BI78)+SUMPRODUCT($B$99:$B$104,BI99:BI104))/12</f>
        <v>0</v>
      </c>
      <c r="BJ81" s="353" t="n">
        <f aca="false">(SUMPRODUCT($B$49:$B$58,BJ49:BJ58)+SUMPRODUCT($B$61:$B$68,BJ61:BJ68)+SUMPRODUCT($B$71:$B$74,BJ71:BJ74)+SUMPRODUCT($B$77:$B$78,BJ77:BJ78)+SUMPRODUCT($B$99:$B$104,BJ99:BJ104))/12</f>
        <v>0</v>
      </c>
      <c r="BK81" s="353" t="n">
        <f aca="false">(SUMPRODUCT($B$49:$B$58,BK49:BK58)+SUMPRODUCT($B$61:$B$68,BK61:BK68)+SUMPRODUCT($B$71:$B$74,BK71:BK74)+SUMPRODUCT($B$77:$B$78,BK77:BK78)+SUMPRODUCT($B$99:$B$104,BK99:BK104))/12</f>
        <v>0</v>
      </c>
      <c r="BL81" s="353" t="n">
        <f aca="false">(SUMPRODUCT($B$49:$B$58,BL49:BL58)+SUMPRODUCT($B$61:$B$68,BL61:BL68)+SUMPRODUCT($B$71:$B$74,BL71:BL74)+SUMPRODUCT($B$77:$B$78,BL77:BL78)+SUMPRODUCT($B$99:$B$104,BL99:BL104))/12</f>
        <v>0</v>
      </c>
      <c r="BM81" s="353" t="n">
        <f aca="false">(SUMPRODUCT($B$49:$B$58,BM49:BM58)+SUMPRODUCT($B$61:$B$68,BM61:BM68)+SUMPRODUCT($B$71:$B$74,BM71:BM74)+SUMPRODUCT($B$77:$B$78,BM77:BM78)+SUMPRODUCT($B$99:$B$104,BM99:BM104))/12</f>
        <v>0</v>
      </c>
      <c r="BN81" s="353" t="n">
        <f aca="false">(SUMPRODUCT($B$49:$B$58,BN49:BN58)+SUMPRODUCT($B$61:$B$68,BN61:BN68)+SUMPRODUCT($B$71:$B$74,BN71:BN74)+SUMPRODUCT($B$77:$B$78,BN77:BN78)+SUMPRODUCT($B$99:$B$104,BN99:BN104))/12</f>
        <v>0</v>
      </c>
      <c r="BO81" s="353" t="n">
        <f aca="false">(SUMPRODUCT($B$49:$B$58,BO49:BO58)+SUMPRODUCT($B$61:$B$68,BO61:BO68)+SUMPRODUCT($B$71:$B$74,BO71:BO74)+SUMPRODUCT($B$77:$B$78,BO77:BO78)+SUMPRODUCT($B$99:$B$104,BO99:BO104))/12</f>
        <v>0</v>
      </c>
      <c r="BP81" s="353" t="n">
        <f aca="false">(SUMPRODUCT($B$49:$B$58,BP49:BP58)+SUMPRODUCT($B$61:$B$68,BP61:BP68)+SUMPRODUCT($B$71:$B$74,BP71:BP74)+SUMPRODUCT($B$77:$B$78,BP77:BP78)+SUMPRODUCT($B$99:$B$104,BP99:BP104))/12</f>
        <v>0</v>
      </c>
      <c r="BQ81" s="353" t="n">
        <f aca="false">(SUMPRODUCT($B$49:$B$58,BQ49:BQ58)+SUMPRODUCT($B$61:$B$68,BQ61:BQ68)+SUMPRODUCT($B$71:$B$74,BQ71:BQ74)+SUMPRODUCT($B$77:$B$78,BQ77:BQ78)+SUMPRODUCT($B$99:$B$104,BQ99:BQ104))/12</f>
        <v>0</v>
      </c>
      <c r="BR81" s="353" t="n">
        <f aca="false">(SUMPRODUCT($B$49:$B$58,BR49:BR58)+SUMPRODUCT($B$61:$B$68,BR61:BR68)+SUMPRODUCT($B$71:$B$74,BR71:BR74)+SUMPRODUCT($B$77:$B$78,BR77:BR78)+SUMPRODUCT($B$99:$B$104,BR99:BR104))/12</f>
        <v>0</v>
      </c>
      <c r="BS81" s="353" t="n">
        <f aca="false">(SUMPRODUCT($B$49:$B$58,BS49:BS58)+SUMPRODUCT($B$61:$B$68,BS61:BS68)+SUMPRODUCT($B$71:$B$74,BS71:BS74)+SUMPRODUCT($B$77:$B$78,BS77:BS78)+SUMPRODUCT($B$99:$B$104,BS99:BS104))/12</f>
        <v>0</v>
      </c>
      <c r="BT81" s="353" t="n">
        <f aca="false">(SUMPRODUCT($B$49:$B$58,BT49:BT58)+SUMPRODUCT($B$61:$B$68,BT61:BT68)+SUMPRODUCT($B$71:$B$74,BT71:BT74)+SUMPRODUCT($B$77:$B$78,BT77:BT78)+SUMPRODUCT($B$99:$B$104,BT99:BT104))/12</f>
        <v>0</v>
      </c>
      <c r="BU81" s="353" t="n">
        <f aca="false">(SUMPRODUCT($B$49:$B$58,BU49:BU58)+SUMPRODUCT($B$61:$B$68,BU61:BU68)+SUMPRODUCT($B$71:$B$74,BU71:BU74)+SUMPRODUCT($B$77:$B$78,BU77:BU78)+SUMPRODUCT($B$99:$B$104,BU99:BU104))/12</f>
        <v>0</v>
      </c>
      <c r="BV81" s="353" t="n">
        <f aca="false">(SUMPRODUCT($B$49:$B$58,BV49:BV58)+SUMPRODUCT($B$61:$B$68,BV61:BV68)+SUMPRODUCT($B$71:$B$74,BV71:BV74)+SUMPRODUCT($B$77:$B$78,BV77:BV78)+SUMPRODUCT($B$99:$B$104,BV99:BV104))/12</f>
        <v>0</v>
      </c>
      <c r="BW81" s="353" t="n">
        <f aca="false">(SUMPRODUCT($B$49:$B$58,BW49:BW58)+SUMPRODUCT($B$61:$B$68,BW61:BW68)+SUMPRODUCT($B$71:$B$74,BW71:BW74)+SUMPRODUCT($B$77:$B$78,BW77:BW78)+SUMPRODUCT($B$99:$B$104,BW99:BW104))/12</f>
        <v>0</v>
      </c>
      <c r="BX81" s="353" t="n">
        <f aca="false">(SUMPRODUCT($B$49:$B$58,BX49:BX58)+SUMPRODUCT($B$61:$B$68,BX61:BX68)+SUMPRODUCT($B$71:$B$74,BX71:BX74)+SUMPRODUCT($B$77:$B$78,BX77:BX78)+SUMPRODUCT($B$99:$B$104,BX99:BX104))/12</f>
        <v>0</v>
      </c>
      <c r="BY81" s="353" t="n">
        <f aca="false">(SUMPRODUCT($B$49:$B$58,BY49:BY58)+SUMPRODUCT($B$61:$B$68,BY61:BY68)+SUMPRODUCT($B$71:$B$74,BY71:BY74)+SUMPRODUCT($B$77:$B$78,BY77:BY78)+SUMPRODUCT($B$99:$B$104,BY99:BY104))/12</f>
        <v>0</v>
      </c>
      <c r="BZ81" s="353" t="n">
        <f aca="false">(SUMPRODUCT($B$49:$B$58,BZ49:BZ58)+SUMPRODUCT($B$61:$B$68,BZ61:BZ68)+SUMPRODUCT($B$71:$B$74,BZ71:BZ74)+SUMPRODUCT($B$77:$B$78,BZ77:BZ78)+SUMPRODUCT($B$99:$B$104,BZ99:BZ104))/12</f>
        <v>0</v>
      </c>
      <c r="CA81" s="353" t="n">
        <f aca="false">(SUMPRODUCT($B$49:$B$58,CA49:CA58)+SUMPRODUCT($B$61:$B$68,CA61:CA68)+SUMPRODUCT($B$71:$B$74,CA71:CA74)+SUMPRODUCT($B$77:$B$78,CA77:CA78)+SUMPRODUCT($B$99:$B$104,CA99:CA104))/12</f>
        <v>0</v>
      </c>
      <c r="CB81" s="353" t="n">
        <f aca="false">(SUMPRODUCT($B$49:$B$58,CB49:CB58)+SUMPRODUCT($B$61:$B$68,CB61:CB68)+SUMPRODUCT($B$71:$B$74,CB71:CB74)+SUMPRODUCT($B$77:$B$78,CB77:CB78)+SUMPRODUCT($B$99:$B$104,CB99:CB104))/12</f>
        <v>0</v>
      </c>
      <c r="CC81" s="353" t="n">
        <f aca="false">(SUMPRODUCT($B$49:$B$58,CC49:CC58)+SUMPRODUCT($B$61:$B$68,CC61:CC68)+SUMPRODUCT($B$71:$B$74,CC71:CC74)+SUMPRODUCT($B$77:$B$78,CC77:CC78)+SUMPRODUCT($B$99:$B$104,CC99:CC104))/12</f>
        <v>0</v>
      </c>
      <c r="CD81" s="353" t="n">
        <f aca="false">(SUMPRODUCT($B$49:$B$58,CD49:CD58)+SUMPRODUCT($B$61:$B$68,CD61:CD68)+SUMPRODUCT($B$71:$B$74,CD71:CD74)+SUMPRODUCT($B$77:$B$78,CD77:CD78)+SUMPRODUCT($B$99:$B$104,CD99:CD104))/12</f>
        <v>0</v>
      </c>
      <c r="CE81" s="353" t="n">
        <f aca="false">(SUMPRODUCT($B$49:$B$58,CE49:CE58)+SUMPRODUCT($B$61:$B$68,CE61:CE68)+SUMPRODUCT($B$71:$B$74,CE71:CE74)+SUMPRODUCT($B$77:$B$78,CE77:CE78)+SUMPRODUCT($B$99:$B$104,CE99:CE104))/12</f>
        <v>0</v>
      </c>
      <c r="CF81" s="353" t="n">
        <f aca="false">(SUMPRODUCT($B$49:$B$58,CF49:CF58)+SUMPRODUCT($B$61:$B$68,CF61:CF68)+SUMPRODUCT($B$71:$B$74,CF71:CF74)+SUMPRODUCT($B$77:$B$78,CF77:CF78)+SUMPRODUCT($B$99:$B$104,CF99:CF104))/12</f>
        <v>0</v>
      </c>
      <c r="CG81" s="353" t="n">
        <f aca="false">(SUMPRODUCT($B$49:$B$58,CG49:CG58)+SUMPRODUCT($B$61:$B$68,CG61:CG68)+SUMPRODUCT($B$71:$B$74,CG71:CG74)+SUMPRODUCT($B$77:$B$78,CG77:CG78)+SUMPRODUCT($B$99:$B$104,CG99:CG104))/12</f>
        <v>0</v>
      </c>
      <c r="CH81" s="353" t="n">
        <f aca="false">(SUMPRODUCT($B$49:$B$58,CH49:CH58)+SUMPRODUCT($B$61:$B$68,CH61:CH68)+SUMPRODUCT($B$71:$B$74,CH71:CH74)+SUMPRODUCT($B$77:$B$78,CH77:CH78)+SUMPRODUCT($B$99:$B$104,CH99:CH104))/12</f>
        <v>0</v>
      </c>
      <c r="CI81" s="353" t="n">
        <f aca="false">(SUMPRODUCT($B$49:$B$58,CI49:CI58)+SUMPRODUCT($B$61:$B$68,CI61:CI68)+SUMPRODUCT($B$71:$B$74,CI71:CI74)+SUMPRODUCT($B$77:$B$78,CI77:CI78)+SUMPRODUCT($B$99:$B$104,CI99:CI104))/12</f>
        <v>0</v>
      </c>
      <c r="CJ81" s="353" t="n">
        <f aca="false">(SUMPRODUCT($B$49:$B$58,CJ49:CJ58)+SUMPRODUCT($B$61:$B$68,CJ61:CJ68)+SUMPRODUCT($B$71:$B$74,CJ71:CJ74)+SUMPRODUCT($B$77:$B$78,CJ77:CJ78)+SUMPRODUCT($B$99:$B$104,CJ99:CJ104))/12</f>
        <v>0</v>
      </c>
      <c r="CK81" s="353" t="n">
        <f aca="false">(SUMPRODUCT($B$49:$B$58,CK49:CK58)+SUMPRODUCT($B$61:$B$68,CK61:CK68)+SUMPRODUCT($B$71:$B$74,CK71:CK74)+SUMPRODUCT($B$77:$B$78,CK77:CK78)+SUMPRODUCT($B$99:$B$104,CK99:CK104))/12</f>
        <v>0</v>
      </c>
      <c r="CL81" s="353" t="n">
        <f aca="false">(SUMPRODUCT($B$49:$B$58,CL49:CL58)+SUMPRODUCT($B$61:$B$68,CL61:CL68)+SUMPRODUCT($B$71:$B$74,CL71:CL74)+SUMPRODUCT($B$77:$B$78,CL77:CL78)+SUMPRODUCT($B$99:$B$104,CL99:CL104))/12</f>
        <v>0</v>
      </c>
      <c r="CM81" s="353" t="n">
        <f aca="false">(SUMPRODUCT($B$49:$B$58,CM49:CM58)+SUMPRODUCT($B$61:$B$68,CM61:CM68)+SUMPRODUCT($B$71:$B$74,CM71:CM74)+SUMPRODUCT($B$77:$B$78,CM77:CM78)+SUMPRODUCT($B$99:$B$104,CM99:CM104))/12</f>
        <v>0</v>
      </c>
      <c r="CN81" s="353" t="n">
        <f aca="false">(SUMPRODUCT($B$49:$B$58,CN49:CN58)+SUMPRODUCT($B$61:$B$68,CN61:CN68)+SUMPRODUCT($B$71:$B$74,CN71:CN74)+SUMPRODUCT($B$77:$B$78,CN77:CN78)+SUMPRODUCT($B$99:$B$104,CN99:CN104))/12</f>
        <v>0</v>
      </c>
      <c r="CO81" s="353" t="n">
        <f aca="false">(SUMPRODUCT($B$49:$B$58,CO49:CO58)+SUMPRODUCT($B$61:$B$68,CO61:CO68)+SUMPRODUCT($B$71:$B$74,CO71:CO74)+SUMPRODUCT($B$77:$B$78,CO77:CO78)+SUMPRODUCT($B$99:$B$104,CO99:CO104))/12</f>
        <v>0</v>
      </c>
      <c r="CP81" s="353" t="n">
        <f aca="false">(SUMPRODUCT($B$49:$B$58,CP49:CP58)+SUMPRODUCT($B$61:$B$68,CP61:CP68)+SUMPRODUCT($B$71:$B$74,CP71:CP74)+SUMPRODUCT($B$77:$B$78,CP77:CP78)+SUMPRODUCT($B$99:$B$104,CP99:CP104))/12</f>
        <v>0</v>
      </c>
      <c r="CQ81" s="353" t="n">
        <f aca="false">(SUMPRODUCT($B$49:$B$58,CQ49:CQ58)+SUMPRODUCT($B$61:$B$68,CQ61:CQ68)+SUMPRODUCT($B$71:$B$74,CQ71:CQ74)+SUMPRODUCT($B$77:$B$78,CQ77:CQ78)+SUMPRODUCT($B$99:$B$104,CQ99:CQ104))/12</f>
        <v>0</v>
      </c>
      <c r="CR81" s="353" t="n">
        <f aca="false">(SUMPRODUCT($B$49:$B$58,CR49:CR58)+SUMPRODUCT($B$61:$B$68,CR61:CR68)+SUMPRODUCT($B$71:$B$74,CR71:CR74)+SUMPRODUCT($B$77:$B$78,CR77:CR78)+SUMPRODUCT($B$99:$B$104,CR99:CR104))/12</f>
        <v>0</v>
      </c>
      <c r="CS81" s="353" t="n">
        <f aca="false">(SUMPRODUCT($B$49:$B$58,CS49:CS58)+SUMPRODUCT($B$61:$B$68,CS61:CS68)+SUMPRODUCT($B$71:$B$74,CS71:CS74)+SUMPRODUCT($B$77:$B$78,CS77:CS78)+SUMPRODUCT($B$99:$B$104,CS99:CS104))/12</f>
        <v>0</v>
      </c>
      <c r="CT81" s="353" t="n">
        <f aca="false">(SUMPRODUCT($B$49:$B$58,CT49:CT58)+SUMPRODUCT($B$61:$B$68,CT61:CT68)+SUMPRODUCT($B$71:$B$74,CT71:CT74)+SUMPRODUCT($B$77:$B$78,CT77:CT78)+SUMPRODUCT($B$99:$B$104,CT99:CT104))/12</f>
        <v>0</v>
      </c>
      <c r="CU81" s="353" t="n">
        <f aca="false">(SUMPRODUCT($B$49:$B$58,CU49:CU58)+SUMPRODUCT($B$61:$B$68,CU61:CU68)+SUMPRODUCT($B$71:$B$74,CU71:CU74)+SUMPRODUCT($B$77:$B$78,CU77:CU78)+SUMPRODUCT($B$99:$B$104,CU99:CU104))/12</f>
        <v>0</v>
      </c>
      <c r="CV81" s="353" t="n">
        <f aca="false">(SUMPRODUCT($B$49:$B$58,CV49:CV58)+SUMPRODUCT($B$61:$B$68,CV61:CV68)+SUMPRODUCT($B$71:$B$74,CV71:CV74)+SUMPRODUCT($B$77:$B$78,CV77:CV78)+SUMPRODUCT($B$99:$B$104,CV99:CV104))/12</f>
        <v>0</v>
      </c>
      <c r="CW81" s="353" t="n">
        <f aca="false">(SUMPRODUCT($B$49:$B$58,CW49:CW58)+SUMPRODUCT($B$61:$B$68,CW61:CW68)+SUMPRODUCT($B$71:$B$74,CW71:CW74)+SUMPRODUCT($B$77:$B$78,CW77:CW78)+SUMPRODUCT($B$99:$B$104,CW99:CW104))/12</f>
        <v>0</v>
      </c>
      <c r="CX81" s="353" t="n">
        <f aca="false">(SUMPRODUCT($B$49:$B$58,CX49:CX58)+SUMPRODUCT($B$61:$B$68,CX61:CX68)+SUMPRODUCT($B$71:$B$74,CX71:CX74)+SUMPRODUCT($B$77:$B$78,CX77:CX78)+SUMPRODUCT($B$99:$B$104,CX99:CX104))/12</f>
        <v>0</v>
      </c>
      <c r="CY81" s="353" t="n">
        <f aca="false">(SUMPRODUCT($B$49:$B$58,CY49:CY58)+SUMPRODUCT($B$61:$B$68,CY61:CY68)+SUMPRODUCT($B$71:$B$74,CY71:CY74)+SUMPRODUCT($B$77:$B$78,CY77:CY78)+SUMPRODUCT($B$99:$B$104,CY99:CY104))/12</f>
        <v>0</v>
      </c>
      <c r="CZ81" s="353" t="n">
        <f aca="false">(SUMPRODUCT($B$49:$B$58,CZ49:CZ58)+SUMPRODUCT($B$61:$B$68,CZ61:CZ68)+SUMPRODUCT($B$71:$B$74,CZ71:CZ74)+SUMPRODUCT($B$77:$B$78,CZ77:CZ78)+SUMPRODUCT($B$99:$B$104,CZ99:CZ104))/12</f>
        <v>0</v>
      </c>
      <c r="DA81" s="353" t="n">
        <f aca="false">(SUMPRODUCT($B$49:$B$58,DA49:DA58)+SUMPRODUCT($B$61:$B$68,DA61:DA68)+SUMPRODUCT($B$71:$B$74,DA71:DA74)+SUMPRODUCT($B$77:$B$78,DA77:DA78)+SUMPRODUCT($B$99:$B$104,DA99:DA104))/12</f>
        <v>0</v>
      </c>
      <c r="DB81" s="353" t="n">
        <f aca="false">(SUMPRODUCT($B$49:$B$58,DB49:DB58)+SUMPRODUCT($B$61:$B$68,DB61:DB68)+SUMPRODUCT($B$71:$B$74,DB71:DB74)+SUMPRODUCT($B$77:$B$78,DB77:DB78)+SUMPRODUCT($B$99:$B$104,DB99:DB104))/12</f>
        <v>0</v>
      </c>
      <c r="DC81" s="353" t="n">
        <f aca="false">(SUMPRODUCT($B$49:$B$58,DC49:DC58)+SUMPRODUCT($B$61:$B$68,DC61:DC68)+SUMPRODUCT($B$71:$B$74,DC71:DC74)+SUMPRODUCT($B$77:$B$78,DC77:DC78)+SUMPRODUCT($B$99:$B$104,DC99:DC104))/12</f>
        <v>0</v>
      </c>
      <c r="DD81" s="353" t="n">
        <f aca="false">(SUMPRODUCT($B$49:$B$58,DD49:DD58)+SUMPRODUCT($B$61:$B$68,DD61:DD68)+SUMPRODUCT($B$71:$B$74,DD71:DD74)+SUMPRODUCT($B$77:$B$78,DD77:DD78)+SUMPRODUCT($B$99:$B$104,DD99:DD104))/12</f>
        <v>0</v>
      </c>
      <c r="DE81" s="353" t="n">
        <f aca="false">(SUMPRODUCT($B$49:$B$58,DE49:DE58)+SUMPRODUCT($B$61:$B$68,DE61:DE68)+SUMPRODUCT($B$71:$B$74,DE71:DE74)+SUMPRODUCT($B$77:$B$78,DE77:DE78)+SUMPRODUCT($B$99:$B$104,DE99:DE104))/12</f>
        <v>0</v>
      </c>
    </row>
    <row r="82" customFormat="false" ht="13.5" hidden="false" customHeight="true" outlineLevel="0" collapsed="false">
      <c r="A82" s="109" t="s">
        <v>1204</v>
      </c>
      <c r="E82" s="353" t="n">
        <v>0</v>
      </c>
      <c r="F82" s="353" t="n">
        <f aca="false">(SUMPRODUCT($B$49:$B$58,(F49:F58&gt;E49:E58)*1)+SUMPRODUCT($B$61:$B$68,(F61:F68&gt;E61:E68)*1)+SUMPRODUCT($B$71:$B$74,(F71:F74&gt;E71:E74)*1)+SUMPRODUCT($B$77:$B$78,(F77:F78&gt;E77:E78)*1)+SUMPRODUCT($B$99:$B$104,(F99:F104&gt;E99:E104)*1))*$B$21</f>
        <v>0</v>
      </c>
      <c r="G82" s="353" t="n">
        <f aca="false">(SUMPRODUCT($B$49:$B$58,(G49:G58&gt;F49:F58)*1)+SUMPRODUCT($B$61:$B$68,(G61:G68&gt;F61:F68)*1)+SUMPRODUCT($B$71:$B$74,(G71:G74&gt;F71:F74)*1)+SUMPRODUCT($B$77:$B$78,(G77:G78&gt;F77:F78)*1)+SUMPRODUCT($B$99:$B$104,(G99:G104&gt;F99:F104)*1))*$B$21</f>
        <v>0</v>
      </c>
      <c r="H82" s="353" t="n">
        <f aca="false">(SUMPRODUCT($B$49:$B$58,(H49:H58&gt;G49:G58)*1)+SUMPRODUCT($B$61:$B$68,(H61:H68&gt;G61:G68)*1)+SUMPRODUCT($B$71:$B$74,(H71:H74&gt;G71:G74)*1)+SUMPRODUCT($B$77:$B$78,(H77:H78&gt;G77:G78)*1)+SUMPRODUCT($B$99:$B$104,(H99:H104&gt;G99:G104)*1))*$B$21</f>
        <v>0</v>
      </c>
      <c r="I82" s="353" t="n">
        <f aca="false">(SUMPRODUCT($B$49:$B$58,(I49:I58&gt;H49:H58)*1)+SUMPRODUCT($B$61:$B$68,(I61:I68&gt;H61:H68)*1)+SUMPRODUCT($B$71:$B$74,(I71:I74&gt;H71:H74)*1)+SUMPRODUCT($B$77:$B$78,(I77:I78&gt;H77:H78)*1)+SUMPRODUCT($B$99:$B$104,(I99:I104&gt;H99:H104)*1))*$B$21</f>
        <v>9750</v>
      </c>
      <c r="J82" s="353" t="n">
        <f aca="false">(SUMPRODUCT($B$49:$B$58,(J49:J58&gt;I49:I58)*1)+SUMPRODUCT($B$61:$B$68,(J61:J68&gt;I61:I68)*1)+SUMPRODUCT($B$71:$B$74,(J71:J74&gt;I71:I74)*1)+SUMPRODUCT($B$77:$B$78,(J77:J78&gt;I77:I78)*1)+SUMPRODUCT($B$99:$B$104,(J99:J104&gt;I99:I104)*1))*$B$21</f>
        <v>0</v>
      </c>
      <c r="K82" s="353" t="n">
        <f aca="false">(SUMPRODUCT($B$49:$B$58,(K49:K58&gt;J49:J58)*1)+SUMPRODUCT($B$61:$B$68,(K61:K68&gt;J61:J68)*1)+SUMPRODUCT($B$71:$B$74,(K71:K74&gt;J71:J74)*1)+SUMPRODUCT($B$77:$B$78,(K77:K78&gt;J77:J78)*1)+SUMPRODUCT($B$99:$B$104,(K99:K104&gt;J99:J104)*1))*$B$21</f>
        <v>0</v>
      </c>
      <c r="L82" s="353" t="n">
        <f aca="false">(SUMPRODUCT($B$49:$B$58,(L49:L58&gt;K49:K58)*1)+SUMPRODUCT($B$61:$B$68,(L61:L68&gt;K61:K68)*1)+SUMPRODUCT($B$71:$B$74,(L71:L74&gt;K71:K74)*1)+SUMPRODUCT($B$77:$B$78,(L77:L78&gt;K77:K78)*1)+SUMPRODUCT($B$99:$B$104,(L99:L104&gt;K99:K104)*1))*$B$21</f>
        <v>0</v>
      </c>
      <c r="M82" s="353" t="n">
        <f aca="false">(SUMPRODUCT($B$49:$B$58,(M49:M58&gt;L49:L58)*1)+SUMPRODUCT($B$61:$B$68,(M61:M68&gt;L61:L68)*1)+SUMPRODUCT($B$71:$B$74,(M71:M74&gt;L71:L74)*1)+SUMPRODUCT($B$77:$B$78,(M77:M78&gt;L77:L78)*1)+SUMPRODUCT($B$99:$B$104,(M99:M104&gt;L99:L104)*1))*$B$21</f>
        <v>43125</v>
      </c>
      <c r="N82" s="353" t="n">
        <f aca="false">(SUMPRODUCT($B$49:$B$58,(N49:N58&gt;M49:M58)*1)+SUMPRODUCT($B$61:$B$68,(N61:N68&gt;M61:M68)*1)+SUMPRODUCT($B$71:$B$74,(N71:N74&gt;M71:M74)*1)+SUMPRODUCT($B$77:$B$78,(N77:N78&gt;M77:M78)*1)+SUMPRODUCT($B$99:$B$104,(N99:N104&gt;M99:M104)*1))*$B$21</f>
        <v>0</v>
      </c>
      <c r="O82" s="353" t="n">
        <f aca="false">(SUMPRODUCT($B$49:$B$58,(O49:O58&gt;N49:N58)*1)+SUMPRODUCT($B$61:$B$68,(O61:O68&gt;N61:N68)*1)+SUMPRODUCT($B$71:$B$74,(O71:O74&gt;N71:N74)*1)+SUMPRODUCT($B$77:$B$78,(O77:O78&gt;N77:N78)*1)+SUMPRODUCT($B$99:$B$104,(O99:O104&gt;N99:N104)*1))*$B$21</f>
        <v>40875</v>
      </c>
      <c r="P82" s="353" t="n">
        <f aca="false">(SUMPRODUCT($B$49:$B$58,(P49:P58&gt;O49:O58)*1)+SUMPRODUCT($B$61:$B$68,(P61:P68&gt;O61:O68)*1)+SUMPRODUCT($B$71:$B$74,(P71:P74&gt;O71:O74)*1)+SUMPRODUCT($B$77:$B$78,(P77:P78&gt;O77:O78)*1)+SUMPRODUCT($B$99:$B$104,(P99:P104&gt;O99:O104)*1))*$B$21</f>
        <v>0</v>
      </c>
      <c r="Q82" s="353" t="n">
        <f aca="false">(SUMPRODUCT($B$49:$B$58,(Q49:Q58&gt;P49:P58)*1)+SUMPRODUCT($B$61:$B$68,(Q61:Q68&gt;P61:P68)*1)+SUMPRODUCT($B$71:$B$74,(Q71:Q74&gt;P71:P74)*1)+SUMPRODUCT($B$77:$B$78,(Q77:Q78&gt;P77:P78)*1)+SUMPRODUCT($B$99:$B$104,(Q99:Q104&gt;P99:P104)*1))*$B$21</f>
        <v>12000</v>
      </c>
      <c r="R82" s="353" t="n">
        <f aca="false">(SUMPRODUCT($B$49:$B$58,(R49:R58&gt;Q49:Q58)*1)+SUMPRODUCT($B$61:$B$68,(R61:R68&gt;Q61:Q68)*1)+SUMPRODUCT($B$71:$B$74,(R71:R74&gt;Q71:Q74)*1)+SUMPRODUCT($B$77:$B$78,(R77:R78&gt;Q77:Q78)*1)+SUMPRODUCT($B$99:$B$104,(R99:R104&gt;Q99:Q104)*1))*$B$21</f>
        <v>27375</v>
      </c>
      <c r="S82" s="353" t="n">
        <f aca="false">(SUMPRODUCT($B$49:$B$58,(S49:S58&gt;R49:R58)*1)+SUMPRODUCT($B$61:$B$68,(S61:S68&gt;R61:R68)*1)+SUMPRODUCT($B$71:$B$74,(S71:S74&gt;R71:R74)*1)+SUMPRODUCT($B$77:$B$78,(S77:S78&gt;R77:R78)*1)+SUMPRODUCT($B$99:$B$104,(S99:S104&gt;R99:R104)*1))*$B$21</f>
        <v>19125</v>
      </c>
      <c r="T82" s="353" t="n">
        <f aca="false">(SUMPRODUCT($B$49:$B$58,(T49:T58&gt;S49:S58)*1)+SUMPRODUCT($B$61:$B$68,(T61:T68&gt;S61:S68)*1)+SUMPRODUCT($B$71:$B$74,(T71:T74&gt;S71:S74)*1)+SUMPRODUCT($B$77:$B$78,(T77:T78&gt;S77:S78)*1)+SUMPRODUCT($B$99:$B$104,(T99:T104&gt;S99:S104)*1))*$B$21</f>
        <v>0</v>
      </c>
      <c r="U82" s="353" t="n">
        <f aca="false">(SUMPRODUCT($B$49:$B$58,(U49:U58&gt;T49:T58)*1)+SUMPRODUCT($B$61:$B$68,(U61:U68&gt;T61:T68)*1)+SUMPRODUCT($B$71:$B$74,(U71:U74&gt;T71:T74)*1)+SUMPRODUCT($B$77:$B$78,(U77:U78&gt;T77:T78)*1)+SUMPRODUCT($B$99:$B$104,(U99:U104&gt;T99:T104)*1))*$B$21</f>
        <v>0</v>
      </c>
      <c r="V82" s="353" t="n">
        <f aca="false">(SUMPRODUCT($B$49:$B$58,(V49:V58&gt;U49:U58)*1)+SUMPRODUCT($B$61:$B$68,(V61:V68&gt;U61:U68)*1)+SUMPRODUCT($B$71:$B$74,(V71:V74&gt;U71:U74)*1)+SUMPRODUCT($B$77:$B$78,(V77:V78&gt;U77:U78)*1)+SUMPRODUCT($B$99:$B$104,(V99:V104&gt;U99:U104)*1))*$B$21</f>
        <v>0</v>
      </c>
      <c r="W82" s="353" t="n">
        <f aca="false">(SUMPRODUCT($B$49:$B$58,(W49:W58&gt;V49:V58)*1)+SUMPRODUCT($B$61:$B$68,(W61:W68&gt;V61:V68)*1)+SUMPRODUCT($B$71:$B$74,(W71:W74&gt;V71:V74)*1)+SUMPRODUCT($B$77:$B$78,(W77:W78&gt;V77:V78)*1)+SUMPRODUCT($B$99:$B$104,(W99:W104&gt;V99:V104)*1))*$B$21</f>
        <v>0</v>
      </c>
      <c r="X82" s="353" t="n">
        <f aca="false">(SUMPRODUCT($B$49:$B$58,(X49:X58&gt;W49:W58)*1)+SUMPRODUCT($B$61:$B$68,(X61:X68&gt;W61:W68)*1)+SUMPRODUCT($B$71:$B$74,(X71:X74&gt;W71:W74)*1)+SUMPRODUCT($B$77:$B$78,(X77:X78&gt;W77:W78)*1)+SUMPRODUCT($B$99:$B$104,(X99:X104&gt;W99:W104)*1))*$B$21</f>
        <v>0</v>
      </c>
      <c r="Y82" s="353" t="n">
        <f aca="false">(SUMPRODUCT($B$49:$B$58,(Y49:Y58&gt;X49:X58)*1)+SUMPRODUCT($B$61:$B$68,(Y61:Y68&gt;X61:X68)*1)+SUMPRODUCT($B$71:$B$74,(Y71:Y74&gt;X71:X74)*1)+SUMPRODUCT($B$77:$B$78,(Y77:Y78&gt;X77:X78)*1)+SUMPRODUCT($B$99:$B$104,(Y99:Y104&gt;X99:X104)*1))*$B$21</f>
        <v>0</v>
      </c>
      <c r="Z82" s="353" t="n">
        <f aca="false">(SUMPRODUCT($B$49:$B$58,(Z49:Z58&gt;Y49:Y58)*1)+SUMPRODUCT($B$61:$B$68,(Z61:Z68&gt;Y61:Y68)*1)+SUMPRODUCT($B$71:$B$74,(Z71:Z74&gt;Y71:Y74)*1)+SUMPRODUCT($B$77:$B$78,(Z77:Z78&gt;Y77:Y78)*1)+SUMPRODUCT($B$99:$B$104,(Z99:Z104&gt;Y99:Y104)*1))*$B$21</f>
        <v>0</v>
      </c>
      <c r="AA82" s="353" t="n">
        <f aca="false">(SUMPRODUCT($B$49:$B$58,(AA49:AA58&gt;Z49:Z58)*1)+SUMPRODUCT($B$61:$B$68,(AA61:AA68&gt;Z61:Z68)*1)+SUMPRODUCT($B$71:$B$74,(AA71:AA74&gt;Z71:Z74)*1)+SUMPRODUCT($B$77:$B$78,(AA77:AA78&gt;Z77:Z78)*1)+SUMPRODUCT($B$99:$B$104,(AA99:AA104&gt;Z99:Z104)*1))*$B$21</f>
        <v>0</v>
      </c>
      <c r="AB82" s="353" t="n">
        <f aca="false">(SUMPRODUCT($B$49:$B$58,(AB49:AB58&gt;AA49:AA58)*1)+SUMPRODUCT($B$61:$B$68,(AB61:AB68&gt;AA61:AA68)*1)+SUMPRODUCT($B$71:$B$74,(AB71:AB74&gt;AA71:AA74)*1)+SUMPRODUCT($B$77:$B$78,(AB77:AB78&gt;AA77:AA78)*1)+SUMPRODUCT($B$99:$B$104,(AB99:AB104&gt;AA99:AA104)*1))*$B$21</f>
        <v>0</v>
      </c>
      <c r="AC82" s="353" t="n">
        <f aca="false">(SUMPRODUCT($B$49:$B$58,(AC49:AC58&gt;AB49:AB58)*1)+SUMPRODUCT($B$61:$B$68,(AC61:AC68&gt;AB61:AB68)*1)+SUMPRODUCT($B$71:$B$74,(AC71:AC74&gt;AB71:AB74)*1)+SUMPRODUCT($B$77:$B$78,(AC77:AC78&gt;AB77:AB78)*1)+SUMPRODUCT($B$99:$B$104,(AC99:AC104&gt;AB99:AB104)*1))*$B$21</f>
        <v>0</v>
      </c>
      <c r="AD82" s="353" t="n">
        <f aca="false">(SUMPRODUCT($B$49:$B$58,(AD49:AD58&gt;AC49:AC58)*1)+SUMPRODUCT($B$61:$B$68,(AD61:AD68&gt;AC61:AC68)*1)+SUMPRODUCT($B$71:$B$74,(AD71:AD74&gt;AC71:AC74)*1)+SUMPRODUCT($B$77:$B$78,(AD77:AD78&gt;AC77:AC78)*1)+SUMPRODUCT($B$99:$B$104,(AD99:AD104&gt;AC99:AC104)*1))*$B$21</f>
        <v>0</v>
      </c>
      <c r="AE82" s="353" t="n">
        <f aca="false">(SUMPRODUCT($B$49:$B$58,(AE49:AE58&gt;AD49:AD58)*1)+SUMPRODUCT($B$61:$B$68,(AE61:AE68&gt;AD61:AD68)*1)+SUMPRODUCT($B$71:$B$74,(AE71:AE74&gt;AD71:AD74)*1)+SUMPRODUCT($B$77:$B$78,(AE77:AE78&gt;AD77:AD78)*1)+SUMPRODUCT($B$99:$B$104,(AE99:AE104&gt;AD99:AD104)*1))*$B$21</f>
        <v>0</v>
      </c>
      <c r="AF82" s="353" t="n">
        <f aca="false">(SUMPRODUCT($B$49:$B$58,(AF49:AF58&gt;AE49:AE58)*1)+SUMPRODUCT($B$61:$B$68,(AF61:AF68&gt;AE61:AE68)*1)+SUMPRODUCT($B$71:$B$74,(AF71:AF74&gt;AE71:AE74)*1)+SUMPRODUCT($B$77:$B$78,(AF77:AF78&gt;AE77:AE78)*1)+SUMPRODUCT($B$99:$B$104,(AF99:AF104&gt;AE99:AE104)*1))*$B$21</f>
        <v>0</v>
      </c>
      <c r="AG82" s="353" t="n">
        <f aca="false">(SUMPRODUCT($B$49:$B$58,(AG49:AG58&gt;AF49:AF58)*1)+SUMPRODUCT($B$61:$B$68,(AG61:AG68&gt;AF61:AF68)*1)+SUMPRODUCT($B$71:$B$74,(AG71:AG74&gt;AF71:AF74)*1)+SUMPRODUCT($B$77:$B$78,(AG77:AG78&gt;AF77:AF78)*1)+SUMPRODUCT($B$99:$B$104,(AG99:AG104&gt;AF99:AF104)*1))*$B$21</f>
        <v>0</v>
      </c>
      <c r="AH82" s="353" t="n">
        <f aca="false">(SUMPRODUCT($B$49:$B$58,(AH49:AH58&gt;AG49:AG58)*1)+SUMPRODUCT($B$61:$B$68,(AH61:AH68&gt;AG61:AG68)*1)+SUMPRODUCT($B$71:$B$74,(AH71:AH74&gt;AG71:AG74)*1)+SUMPRODUCT($B$77:$B$78,(AH77:AH78&gt;AG77:AG78)*1)+SUMPRODUCT($B$99:$B$104,(AH99:AH104&gt;AG99:AG104)*1))*$B$21</f>
        <v>0</v>
      </c>
      <c r="AI82" s="353" t="n">
        <f aca="false">(SUMPRODUCT($B$49:$B$58,(AI49:AI58&gt;AH49:AH58)*1)+SUMPRODUCT($B$61:$B$68,(AI61:AI68&gt;AH61:AH68)*1)+SUMPRODUCT($B$71:$B$74,(AI71:AI74&gt;AH71:AH74)*1)+SUMPRODUCT($B$77:$B$78,(AI77:AI78&gt;AH77:AH78)*1)+SUMPRODUCT($B$99:$B$104,(AI99:AI104&gt;AH99:AH104)*1))*$B$21</f>
        <v>0</v>
      </c>
      <c r="AJ82" s="353" t="n">
        <f aca="false">(SUMPRODUCT($B$49:$B$58,(AJ49:AJ58&gt;AI49:AI58)*1)+SUMPRODUCT($B$61:$B$68,(AJ61:AJ68&gt;AI61:AI68)*1)+SUMPRODUCT($B$71:$B$74,(AJ71:AJ74&gt;AI71:AI74)*1)+SUMPRODUCT($B$77:$B$78,(AJ77:AJ78&gt;AI77:AI78)*1)+SUMPRODUCT($B$99:$B$104,(AJ99:AJ104&gt;AI99:AI104)*1))*$B$21</f>
        <v>0</v>
      </c>
      <c r="AK82" s="353" t="n">
        <f aca="false">(SUMPRODUCT($B$49:$B$58,(AK49:AK58&gt;AJ49:AJ58)*1)+SUMPRODUCT($B$61:$B$68,(AK61:AK68&gt;AJ61:AJ68)*1)+SUMPRODUCT($B$71:$B$74,(AK71:AK74&gt;AJ71:AJ74)*1)+SUMPRODUCT($B$77:$B$78,(AK77:AK78&gt;AJ77:AJ78)*1)+SUMPRODUCT($B$99:$B$104,(AK99:AK104&gt;AJ99:AJ104)*1))*$B$21</f>
        <v>0</v>
      </c>
      <c r="AL82" s="353" t="n">
        <f aca="false">(SUMPRODUCT($B$49:$B$58,(AL49:AL58&gt;AK49:AK58)*1)+SUMPRODUCT($B$61:$B$68,(AL61:AL68&gt;AK61:AK68)*1)+SUMPRODUCT($B$71:$B$74,(AL71:AL74&gt;AK71:AK74)*1)+SUMPRODUCT($B$77:$B$78,(AL77:AL78&gt;AK77:AK78)*1)+SUMPRODUCT($B$99:$B$104,(AL99:AL104&gt;AK99:AK104)*1))*$B$21</f>
        <v>0</v>
      </c>
      <c r="AM82" s="353" t="n">
        <f aca="false">(SUMPRODUCT($B$49:$B$58,(AM49:AM58&gt;AL49:AL58)*1)+SUMPRODUCT($B$61:$B$68,(AM61:AM68&gt;AL61:AL68)*1)+SUMPRODUCT($B$71:$B$74,(AM71:AM74&gt;AL71:AL74)*1)+SUMPRODUCT($B$77:$B$78,(AM77:AM78&gt;AL77:AL78)*1)+SUMPRODUCT($B$99:$B$104,(AM99:AM104&gt;AL99:AL104)*1))*$B$21</f>
        <v>0</v>
      </c>
      <c r="AN82" s="353" t="n">
        <f aca="false">(SUMPRODUCT($B$49:$B$58,(AN49:AN58&gt;AM49:AM58)*1)+SUMPRODUCT($B$61:$B$68,(AN61:AN68&gt;AM61:AM68)*1)+SUMPRODUCT($B$71:$B$74,(AN71:AN74&gt;AM71:AM74)*1)+SUMPRODUCT($B$77:$B$78,(AN77:AN78&gt;AM77:AM78)*1)+SUMPRODUCT($B$99:$B$104,(AN99:AN104&gt;AM99:AM104)*1))*$B$21</f>
        <v>0</v>
      </c>
      <c r="AO82" s="353" t="n">
        <f aca="false">(SUMPRODUCT($B$49:$B$58,(AO49:AO58&gt;AN49:AN58)*1)+SUMPRODUCT($B$61:$B$68,(AO61:AO68&gt;AN61:AN68)*1)+SUMPRODUCT($B$71:$B$74,(AO71:AO74&gt;AN71:AN74)*1)+SUMPRODUCT($B$77:$B$78,(AO77:AO78&gt;AN77:AN78)*1)+SUMPRODUCT($B$99:$B$104,(AO99:AO104&gt;AN99:AN104)*1))*$B$21</f>
        <v>0</v>
      </c>
      <c r="AP82" s="353" t="n">
        <f aca="false">(SUMPRODUCT($B$49:$B$58,(AP49:AP58&gt;AO49:AO58)*1)+SUMPRODUCT($B$61:$B$68,(AP61:AP68&gt;AO61:AO68)*1)+SUMPRODUCT($B$71:$B$74,(AP71:AP74&gt;AO71:AO74)*1)+SUMPRODUCT($B$77:$B$78,(AP77:AP78&gt;AO77:AO78)*1)+SUMPRODUCT($B$99:$B$104,(AP99:AP104&gt;AO99:AO104)*1))*$B$21</f>
        <v>0</v>
      </c>
      <c r="AQ82" s="353" t="n">
        <f aca="false">(SUMPRODUCT($B$49:$B$58,(AQ49:AQ58&gt;AP49:AP58)*1)+SUMPRODUCT($B$61:$B$68,(AQ61:AQ68&gt;AP61:AP68)*1)+SUMPRODUCT($B$71:$B$74,(AQ71:AQ74&gt;AP71:AP74)*1)+SUMPRODUCT($B$77:$B$78,(AQ77:AQ78&gt;AP77:AP78)*1)+SUMPRODUCT($B$99:$B$104,(AQ99:AQ104&gt;AP99:AP104)*1))*$B$21</f>
        <v>0</v>
      </c>
      <c r="AR82" s="353" t="n">
        <f aca="false">(SUMPRODUCT($B$49:$B$58,(AR49:AR58&gt;AQ49:AQ58)*1)+SUMPRODUCT($B$61:$B$68,(AR61:AR68&gt;AQ61:AQ68)*1)+SUMPRODUCT($B$71:$B$74,(AR71:AR74&gt;AQ71:AQ74)*1)+SUMPRODUCT($B$77:$B$78,(AR77:AR78&gt;AQ77:AQ78)*1)+SUMPRODUCT($B$99:$B$104,(AR99:AR104&gt;AQ99:AQ104)*1))*$B$21</f>
        <v>0</v>
      </c>
      <c r="AS82" s="353" t="n">
        <f aca="false">(SUMPRODUCT($B$49:$B$58,(AS49:AS58&gt;AR49:AR58)*1)+SUMPRODUCT($B$61:$B$68,(AS61:AS68&gt;AR61:AR68)*1)+SUMPRODUCT($B$71:$B$74,(AS71:AS74&gt;AR71:AR74)*1)+SUMPRODUCT($B$77:$B$78,(AS77:AS78&gt;AR77:AR78)*1)+SUMPRODUCT($B$99:$B$104,(AS99:AS104&gt;AR99:AR104)*1))*$B$21</f>
        <v>0</v>
      </c>
      <c r="AT82" s="353" t="n">
        <f aca="false">(SUMPRODUCT($B$49:$B$58,(AT49:AT58&gt;AS49:AS58)*1)+SUMPRODUCT($B$61:$B$68,(AT61:AT68&gt;AS61:AS68)*1)+SUMPRODUCT($B$71:$B$74,(AT71:AT74&gt;AS71:AS74)*1)+SUMPRODUCT($B$77:$B$78,(AT77:AT78&gt;AS77:AS78)*1)+SUMPRODUCT($B$99:$B$104,(AT99:AT104&gt;AS99:AS104)*1))*$B$21</f>
        <v>0</v>
      </c>
      <c r="AU82" s="353" t="n">
        <f aca="false">(SUMPRODUCT($B$49:$B$58,(AU49:AU58&gt;AT49:AT58)*1)+SUMPRODUCT($B$61:$B$68,(AU61:AU68&gt;AT61:AT68)*1)+SUMPRODUCT($B$71:$B$74,(AU71:AU74&gt;AT71:AT74)*1)+SUMPRODUCT($B$77:$B$78,(AU77:AU78&gt;AT77:AT78)*1)+SUMPRODUCT($B$99:$B$104,(AU99:AU104&gt;AT99:AT104)*1))*$B$21</f>
        <v>0</v>
      </c>
      <c r="AV82" s="353" t="n">
        <f aca="false">(SUMPRODUCT($B$49:$B$58,(AV49:AV58&gt;AU49:AU58)*1)+SUMPRODUCT($B$61:$B$68,(AV61:AV68&gt;AU61:AU68)*1)+SUMPRODUCT($B$71:$B$74,(AV71:AV74&gt;AU71:AU74)*1)+SUMPRODUCT($B$77:$B$78,(AV77:AV78&gt;AU77:AU78)*1)+SUMPRODUCT($B$99:$B$104,(AV99:AV104&gt;AU99:AU104)*1))*$B$21</f>
        <v>0</v>
      </c>
      <c r="AW82" s="353" t="n">
        <f aca="false">(SUMPRODUCT($B$49:$B$58,(AW49:AW58&gt;AV49:AV58)*1)+SUMPRODUCT($B$61:$B$68,(AW61:AW68&gt;AV61:AV68)*1)+SUMPRODUCT($B$71:$B$74,(AW71:AW74&gt;AV71:AV74)*1)+SUMPRODUCT($B$77:$B$78,(AW77:AW78&gt;AV77:AV78)*1)+SUMPRODUCT($B$99:$B$104,(AW99:AW104&gt;AV99:AV104)*1))*$B$21</f>
        <v>0</v>
      </c>
      <c r="AX82" s="353" t="n">
        <f aca="false">(SUMPRODUCT($B$49:$B$58,(AX49:AX58&gt;AW49:AW58)*1)+SUMPRODUCT($B$61:$B$68,(AX61:AX68&gt;AW61:AW68)*1)+SUMPRODUCT($B$71:$B$74,(AX71:AX74&gt;AW71:AW74)*1)+SUMPRODUCT($B$77:$B$78,(AX77:AX78&gt;AW77:AW78)*1)+SUMPRODUCT($B$99:$B$104,(AX99:AX104&gt;AW99:AW104)*1))*$B$21</f>
        <v>0</v>
      </c>
      <c r="AY82" s="353" t="n">
        <f aca="false">(SUMPRODUCT($B$49:$B$58,(AY49:AY58&gt;AX49:AX58)*1)+SUMPRODUCT($B$61:$B$68,(AY61:AY68&gt;AX61:AX68)*1)+SUMPRODUCT($B$71:$B$74,(AY71:AY74&gt;AX71:AX74)*1)+SUMPRODUCT($B$77:$B$78,(AY77:AY78&gt;AX77:AX78)*1)+SUMPRODUCT($B$99:$B$104,(AY99:AY104&gt;AX99:AX104)*1))*$B$21</f>
        <v>0</v>
      </c>
      <c r="AZ82" s="353" t="n">
        <f aca="false">(SUMPRODUCT($B$49:$B$58,(AZ49:AZ58&gt;AY49:AY58)*1)+SUMPRODUCT($B$61:$B$68,(AZ61:AZ68&gt;AY61:AY68)*1)+SUMPRODUCT($B$71:$B$74,(AZ71:AZ74&gt;AY71:AY74)*1)+SUMPRODUCT($B$77:$B$78,(AZ77:AZ78&gt;AY77:AY78)*1)+SUMPRODUCT($B$99:$B$104,(AZ99:AZ104&gt;AY99:AY104)*1))*$B$21</f>
        <v>0</v>
      </c>
      <c r="BA82" s="353" t="n">
        <f aca="false">(SUMPRODUCT($B$49:$B$58,(BA49:BA58&gt;AZ49:AZ58)*1)+SUMPRODUCT($B$61:$B$68,(BA61:BA68&gt;AZ61:AZ68)*1)+SUMPRODUCT($B$71:$B$74,(BA71:BA74&gt;AZ71:AZ74)*1)+SUMPRODUCT($B$77:$B$78,(BA77:BA78&gt;AZ77:AZ78)*1)+SUMPRODUCT($B$99:$B$104,(BA99:BA104&gt;AZ99:AZ104)*1))*$B$21</f>
        <v>0</v>
      </c>
      <c r="BB82" s="353" t="n">
        <f aca="false">(SUMPRODUCT($B$49:$B$58,(BB49:BB58&gt;BA49:BA58)*1)+SUMPRODUCT($B$61:$B$68,(BB61:BB68&gt;BA61:BA68)*1)+SUMPRODUCT($B$71:$B$74,(BB71:BB74&gt;BA71:BA74)*1)+SUMPRODUCT($B$77:$B$78,(BB77:BB78&gt;BA77:BA78)*1)+SUMPRODUCT($B$99:$B$104,(BB99:BB104&gt;BA99:BA104)*1))*$B$21</f>
        <v>0</v>
      </c>
      <c r="BC82" s="353" t="n">
        <f aca="false">(SUMPRODUCT($B$49:$B$58,(BC49:BC58&gt;BB49:BB58)*1)+SUMPRODUCT($B$61:$B$68,(BC61:BC68&gt;BB61:BB68)*1)+SUMPRODUCT($B$71:$B$74,(BC71:BC74&gt;BB71:BB74)*1)+SUMPRODUCT($B$77:$B$78,(BC77:BC78&gt;BB77:BB78)*1)+SUMPRODUCT($B$99:$B$104,(BC99:BC104&gt;BB99:BB104)*1))*$B$21</f>
        <v>0</v>
      </c>
      <c r="BD82" s="353" t="n">
        <f aca="false">(SUMPRODUCT($B$49:$B$58,(BD49:BD58&gt;BC49:BC58)*1)+SUMPRODUCT($B$61:$B$68,(BD61:BD68&gt;BC61:BC68)*1)+SUMPRODUCT($B$71:$B$74,(BD71:BD74&gt;BC71:BC74)*1)+SUMPRODUCT($B$77:$B$78,(BD77:BD78&gt;BC77:BC78)*1)+SUMPRODUCT($B$99:$B$104,(BD99:BD104&gt;BC99:BC104)*1))*$B$21</f>
        <v>0</v>
      </c>
      <c r="BE82" s="353" t="n">
        <f aca="false">(SUMPRODUCT($B$49:$B$58,(BE49:BE58&gt;BD49:BD58)*1)+SUMPRODUCT($B$61:$B$68,(BE61:BE68&gt;BD61:BD68)*1)+SUMPRODUCT($B$71:$B$74,(BE71:BE74&gt;BD71:BD74)*1)+SUMPRODUCT($B$77:$B$78,(BE77:BE78&gt;BD77:BD78)*1)+SUMPRODUCT($B$99:$B$104,(BE99:BE104&gt;BD99:BD104)*1))*$B$21</f>
        <v>0</v>
      </c>
      <c r="BF82" s="353" t="n">
        <f aca="false">(SUMPRODUCT($B$49:$B$58,(BF49:BF58&gt;BE49:BE58)*1)+SUMPRODUCT($B$61:$B$68,(BF61:BF68&gt;BE61:BE68)*1)+SUMPRODUCT($B$71:$B$74,(BF71:BF74&gt;BE71:BE74)*1)+SUMPRODUCT($B$77:$B$78,(BF77:BF78&gt;BE77:BE78)*1)+SUMPRODUCT($B$99:$B$104,(BF99:BF104&gt;BE99:BE104)*1))*$B$21</f>
        <v>0</v>
      </c>
      <c r="BG82" s="353" t="n">
        <f aca="false">(SUMPRODUCT($B$49:$B$58,(BG49:BG58&gt;BF49:BF58)*1)+SUMPRODUCT($B$61:$B$68,(BG61:BG68&gt;BF61:BF68)*1)+SUMPRODUCT($B$71:$B$74,(BG71:BG74&gt;BF71:BF74)*1)+SUMPRODUCT($B$77:$B$78,(BG77:BG78&gt;BF77:BF78)*1)+SUMPRODUCT($B$99:$B$104,(BG99:BG104&gt;BF99:BF104)*1))*$B$21</f>
        <v>0</v>
      </c>
      <c r="BH82" s="353" t="n">
        <f aca="false">(SUMPRODUCT($B$49:$B$58,(BH49:BH58&gt;BG49:BG58)*1)+SUMPRODUCT($B$61:$B$68,(BH61:BH68&gt;BG61:BG68)*1)+SUMPRODUCT($B$71:$B$74,(BH71:BH74&gt;BG71:BG74)*1)+SUMPRODUCT($B$77:$B$78,(BH77:BH78&gt;BG77:BG78)*1)+SUMPRODUCT($B$99:$B$104,(BH99:BH104&gt;BG99:BG104)*1))*$B$21</f>
        <v>0</v>
      </c>
      <c r="BI82" s="353" t="n">
        <f aca="false">(SUMPRODUCT($B$49:$B$58,(BI49:BI58&gt;BH49:BH58)*1)+SUMPRODUCT($B$61:$B$68,(BI61:BI68&gt;BH61:BH68)*1)+SUMPRODUCT($B$71:$B$74,(BI71:BI74&gt;BH71:BH74)*1)+SUMPRODUCT($B$77:$B$78,(BI77:BI78&gt;BH77:BH78)*1)+SUMPRODUCT($B$99:$B$104,(BI99:BI104&gt;BH99:BH104)*1))*$B$21</f>
        <v>0</v>
      </c>
      <c r="BJ82" s="353" t="n">
        <f aca="false">(SUMPRODUCT($B$49:$B$58,(BJ49:BJ58&gt;BI49:BI58)*1)+SUMPRODUCT($B$61:$B$68,(BJ61:BJ68&gt;BI61:BI68)*1)+SUMPRODUCT($B$71:$B$74,(BJ71:BJ74&gt;BI71:BI74)*1)+SUMPRODUCT($B$77:$B$78,(BJ77:BJ78&gt;BI77:BI78)*1)+SUMPRODUCT($B$99:$B$104,(BJ99:BJ104&gt;BI99:BI104)*1))*$B$21</f>
        <v>0</v>
      </c>
      <c r="BK82" s="353" t="n">
        <f aca="false">(SUMPRODUCT($B$49:$B$58,(BK49:BK58&gt;BJ49:BJ58)*1)+SUMPRODUCT($B$61:$B$68,(BK61:BK68&gt;BJ61:BJ68)*1)+SUMPRODUCT($B$71:$B$74,(BK71:BK74&gt;BJ71:BJ74)*1)+SUMPRODUCT($B$77:$B$78,(BK77:BK78&gt;BJ77:BJ78)*1)+SUMPRODUCT($B$99:$B$104,(BK99:BK104&gt;BJ99:BJ104)*1))*$B$21</f>
        <v>0</v>
      </c>
      <c r="BL82" s="353" t="n">
        <f aca="false">(SUMPRODUCT($B$49:$B$58,(BL49:BL58&gt;BK49:BK58)*1)+SUMPRODUCT($B$61:$B$68,(BL61:BL68&gt;BK61:BK68)*1)+SUMPRODUCT($B$71:$B$74,(BL71:BL74&gt;BK71:BK74)*1)+SUMPRODUCT($B$77:$B$78,(BL77:BL78&gt;BK77:BK78)*1)+SUMPRODUCT($B$99:$B$104,(BL99:BL104&gt;BK99:BK104)*1))*$B$21</f>
        <v>0</v>
      </c>
      <c r="BM82" s="353" t="n">
        <f aca="false">(SUMPRODUCT($B$49:$B$58,(BM49:BM58&gt;BL49:BL58)*1)+SUMPRODUCT($B$61:$B$68,(BM61:BM68&gt;BL61:BL68)*1)+SUMPRODUCT($B$71:$B$74,(BM71:BM74&gt;BL71:BL74)*1)+SUMPRODUCT($B$77:$B$78,(BM77:BM78&gt;BL77:BL78)*1)+SUMPRODUCT($B$99:$B$104,(BM99:BM104&gt;BL99:BL104)*1))*$B$21</f>
        <v>0</v>
      </c>
      <c r="BN82" s="353" t="n">
        <f aca="false">(SUMPRODUCT($B$49:$B$58,(BN49:BN58&gt;BM49:BM58)*1)+SUMPRODUCT($B$61:$B$68,(BN61:BN68&gt;BM61:BM68)*1)+SUMPRODUCT($B$71:$B$74,(BN71:BN74&gt;BM71:BM74)*1)+SUMPRODUCT($B$77:$B$78,(BN77:BN78&gt;BM77:BM78)*1)+SUMPRODUCT($B$99:$B$104,(BN99:BN104&gt;BM99:BM104)*1))*$B$21</f>
        <v>0</v>
      </c>
      <c r="BO82" s="353" t="n">
        <f aca="false">(SUMPRODUCT($B$49:$B$58,(BO49:BO58&gt;BN49:BN58)*1)+SUMPRODUCT($B$61:$B$68,(BO61:BO68&gt;BN61:BN68)*1)+SUMPRODUCT($B$71:$B$74,(BO71:BO74&gt;BN71:BN74)*1)+SUMPRODUCT($B$77:$B$78,(BO77:BO78&gt;BN77:BN78)*1)+SUMPRODUCT($B$99:$B$104,(BO99:BO104&gt;BN99:BN104)*1))*$B$21</f>
        <v>0</v>
      </c>
      <c r="BP82" s="353" t="n">
        <f aca="false">(SUMPRODUCT($B$49:$B$58,(BP49:BP58&gt;BO49:BO58)*1)+SUMPRODUCT($B$61:$B$68,(BP61:BP68&gt;BO61:BO68)*1)+SUMPRODUCT($B$71:$B$74,(BP71:BP74&gt;BO71:BO74)*1)+SUMPRODUCT($B$77:$B$78,(BP77:BP78&gt;BO77:BO78)*1)+SUMPRODUCT($B$99:$B$104,(BP99:BP104&gt;BO99:BO104)*1))*$B$21</f>
        <v>0</v>
      </c>
      <c r="BQ82" s="353" t="n">
        <f aca="false">(SUMPRODUCT($B$49:$B$58,(BQ49:BQ58&gt;BP49:BP58)*1)+SUMPRODUCT($B$61:$B$68,(BQ61:BQ68&gt;BP61:BP68)*1)+SUMPRODUCT($B$71:$B$74,(BQ71:BQ74&gt;BP71:BP74)*1)+SUMPRODUCT($B$77:$B$78,(BQ77:BQ78&gt;BP77:BP78)*1)+SUMPRODUCT($B$99:$B$104,(BQ99:BQ104&gt;BP99:BP104)*1))*$B$21</f>
        <v>0</v>
      </c>
      <c r="BR82" s="353" t="n">
        <f aca="false">(SUMPRODUCT($B$49:$B$58,(BR49:BR58&gt;BQ49:BQ58)*1)+SUMPRODUCT($B$61:$B$68,(BR61:BR68&gt;BQ61:BQ68)*1)+SUMPRODUCT($B$71:$B$74,(BR71:BR74&gt;BQ71:BQ74)*1)+SUMPRODUCT($B$77:$B$78,(BR77:BR78&gt;BQ77:BQ78)*1)+SUMPRODUCT($B$99:$B$104,(BR99:BR104&gt;BQ99:BQ104)*1))*$B$21</f>
        <v>0</v>
      </c>
      <c r="BS82" s="353" t="n">
        <f aca="false">(SUMPRODUCT($B$49:$B$58,(BS49:BS58&gt;BR49:BR58)*1)+SUMPRODUCT($B$61:$B$68,(BS61:BS68&gt;BR61:BR68)*1)+SUMPRODUCT($B$71:$B$74,(BS71:BS74&gt;BR71:BR74)*1)+SUMPRODUCT($B$77:$B$78,(BS77:BS78&gt;BR77:BR78)*1)+SUMPRODUCT($B$99:$B$104,(BS99:BS104&gt;BR99:BR104)*1))*$B$21</f>
        <v>0</v>
      </c>
      <c r="BT82" s="353" t="n">
        <f aca="false">(SUMPRODUCT($B$49:$B$58,(BT49:BT58&gt;BS49:BS58)*1)+SUMPRODUCT($B$61:$B$68,(BT61:BT68&gt;BS61:BS68)*1)+SUMPRODUCT($B$71:$B$74,(BT71:BT74&gt;BS71:BS74)*1)+SUMPRODUCT($B$77:$B$78,(BT77:BT78&gt;BS77:BS78)*1)+SUMPRODUCT($B$99:$B$104,(BT99:BT104&gt;BS99:BS104)*1))*$B$21</f>
        <v>0</v>
      </c>
      <c r="BU82" s="353" t="n">
        <f aca="false">(SUMPRODUCT($B$49:$B$58,(BU49:BU58&gt;BT49:BT58)*1)+SUMPRODUCT($B$61:$B$68,(BU61:BU68&gt;BT61:BT68)*1)+SUMPRODUCT($B$71:$B$74,(BU71:BU74&gt;BT71:BT74)*1)+SUMPRODUCT($B$77:$B$78,(BU77:BU78&gt;BT77:BT78)*1)+SUMPRODUCT($B$99:$B$104,(BU99:BU104&gt;BT99:BT104)*1))*$B$21</f>
        <v>0</v>
      </c>
      <c r="BV82" s="353" t="n">
        <f aca="false">(SUMPRODUCT($B$49:$B$58,(BV49:BV58&gt;BU49:BU58)*1)+SUMPRODUCT($B$61:$B$68,(BV61:BV68&gt;BU61:BU68)*1)+SUMPRODUCT($B$71:$B$74,(BV71:BV74&gt;BU71:BU74)*1)+SUMPRODUCT($B$77:$B$78,(BV77:BV78&gt;BU77:BU78)*1)+SUMPRODUCT($B$99:$B$104,(BV99:BV104&gt;BU99:BU104)*1))*$B$21</f>
        <v>0</v>
      </c>
      <c r="BW82" s="353" t="n">
        <f aca="false">(SUMPRODUCT($B$49:$B$58,(BW49:BW58&gt;BV49:BV58)*1)+SUMPRODUCT($B$61:$B$68,(BW61:BW68&gt;BV61:BV68)*1)+SUMPRODUCT($B$71:$B$74,(BW71:BW74&gt;BV71:BV74)*1)+SUMPRODUCT($B$77:$B$78,(BW77:BW78&gt;BV77:BV78)*1)+SUMPRODUCT($B$99:$B$104,(BW99:BW104&gt;BV99:BV104)*1))*$B$21</f>
        <v>0</v>
      </c>
      <c r="BX82" s="353" t="n">
        <f aca="false">(SUMPRODUCT($B$49:$B$58,(BX49:BX58&gt;BW49:BW58)*1)+SUMPRODUCT($B$61:$B$68,(BX61:BX68&gt;BW61:BW68)*1)+SUMPRODUCT($B$71:$B$74,(BX71:BX74&gt;BW71:BW74)*1)+SUMPRODUCT($B$77:$B$78,(BX77:BX78&gt;BW77:BW78)*1)+SUMPRODUCT($B$99:$B$104,(BX99:BX104&gt;BW99:BW104)*1))*$B$21</f>
        <v>0</v>
      </c>
      <c r="BY82" s="353" t="n">
        <f aca="false">(SUMPRODUCT($B$49:$B$58,(BY49:BY58&gt;BX49:BX58)*1)+SUMPRODUCT($B$61:$B$68,(BY61:BY68&gt;BX61:BX68)*1)+SUMPRODUCT($B$71:$B$74,(BY71:BY74&gt;BX71:BX74)*1)+SUMPRODUCT($B$77:$B$78,(BY77:BY78&gt;BX77:BX78)*1)+SUMPRODUCT($B$99:$B$104,(BY99:BY104&gt;BX99:BX104)*1))*$B$21</f>
        <v>0</v>
      </c>
      <c r="BZ82" s="353" t="n">
        <f aca="false">(SUMPRODUCT($B$49:$B$58,(BZ49:BZ58&gt;BY49:BY58)*1)+SUMPRODUCT($B$61:$B$68,(BZ61:BZ68&gt;BY61:BY68)*1)+SUMPRODUCT($B$71:$B$74,(BZ71:BZ74&gt;BY71:BY74)*1)+SUMPRODUCT($B$77:$B$78,(BZ77:BZ78&gt;BY77:BY78)*1)+SUMPRODUCT($B$99:$B$104,(BZ99:BZ104&gt;BY99:BY104)*1))*$B$21</f>
        <v>0</v>
      </c>
      <c r="CA82" s="353" t="n">
        <f aca="false">(SUMPRODUCT($B$49:$B$58,(CA49:CA58&gt;BZ49:BZ58)*1)+SUMPRODUCT($B$61:$B$68,(CA61:CA68&gt;BZ61:BZ68)*1)+SUMPRODUCT($B$71:$B$74,(CA71:CA74&gt;BZ71:BZ74)*1)+SUMPRODUCT($B$77:$B$78,(CA77:CA78&gt;BZ77:BZ78)*1)+SUMPRODUCT($B$99:$B$104,(CA99:CA104&gt;BZ99:BZ104)*1))*$B$21</f>
        <v>0</v>
      </c>
      <c r="CB82" s="353" t="n">
        <f aca="false">(SUMPRODUCT($B$49:$B$58,(CB49:CB58&gt;CA49:CA58)*1)+SUMPRODUCT($B$61:$B$68,(CB61:CB68&gt;CA61:CA68)*1)+SUMPRODUCT($B$71:$B$74,(CB71:CB74&gt;CA71:CA74)*1)+SUMPRODUCT($B$77:$B$78,(CB77:CB78&gt;CA77:CA78)*1)+SUMPRODUCT($B$99:$B$104,(CB99:CB104&gt;CA99:CA104)*1))*$B$21</f>
        <v>0</v>
      </c>
      <c r="CC82" s="353" t="n">
        <f aca="false">(SUMPRODUCT($B$49:$B$58,(CC49:CC58&gt;CB49:CB58)*1)+SUMPRODUCT($B$61:$B$68,(CC61:CC68&gt;CB61:CB68)*1)+SUMPRODUCT($B$71:$B$74,(CC71:CC74&gt;CB71:CB74)*1)+SUMPRODUCT($B$77:$B$78,(CC77:CC78&gt;CB77:CB78)*1)+SUMPRODUCT($B$99:$B$104,(CC99:CC104&gt;CB99:CB104)*1))*$B$21</f>
        <v>0</v>
      </c>
      <c r="CD82" s="353" t="n">
        <f aca="false">(SUMPRODUCT($B$49:$B$58,(CD49:CD58&gt;CC49:CC58)*1)+SUMPRODUCT($B$61:$B$68,(CD61:CD68&gt;CC61:CC68)*1)+SUMPRODUCT($B$71:$B$74,(CD71:CD74&gt;CC71:CC74)*1)+SUMPRODUCT($B$77:$B$78,(CD77:CD78&gt;CC77:CC78)*1)+SUMPRODUCT($B$99:$B$104,(CD99:CD104&gt;CC99:CC104)*1))*$B$21</f>
        <v>0</v>
      </c>
      <c r="CE82" s="353" t="n">
        <f aca="false">(SUMPRODUCT($B$49:$B$58,(CE49:CE58&gt;CD49:CD58)*1)+SUMPRODUCT($B$61:$B$68,(CE61:CE68&gt;CD61:CD68)*1)+SUMPRODUCT($B$71:$B$74,(CE71:CE74&gt;CD71:CD74)*1)+SUMPRODUCT($B$77:$B$78,(CE77:CE78&gt;CD77:CD78)*1)+SUMPRODUCT($B$99:$B$104,(CE99:CE104&gt;CD99:CD104)*1))*$B$21</f>
        <v>0</v>
      </c>
      <c r="CF82" s="353" t="n">
        <f aca="false">(SUMPRODUCT($B$49:$B$58,(CF49:CF58&gt;CE49:CE58)*1)+SUMPRODUCT($B$61:$B$68,(CF61:CF68&gt;CE61:CE68)*1)+SUMPRODUCT($B$71:$B$74,(CF71:CF74&gt;CE71:CE74)*1)+SUMPRODUCT($B$77:$B$78,(CF77:CF78&gt;CE77:CE78)*1)+SUMPRODUCT($B$99:$B$104,(CF99:CF104&gt;CE99:CE104)*1))*$B$21</f>
        <v>0</v>
      </c>
      <c r="CG82" s="353" t="n">
        <f aca="false">(SUMPRODUCT($B$49:$B$58,(CG49:CG58&gt;CF49:CF58)*1)+SUMPRODUCT($B$61:$B$68,(CG61:CG68&gt;CF61:CF68)*1)+SUMPRODUCT($B$71:$B$74,(CG71:CG74&gt;CF71:CF74)*1)+SUMPRODUCT($B$77:$B$78,(CG77:CG78&gt;CF77:CF78)*1)+SUMPRODUCT($B$99:$B$104,(CG99:CG104&gt;CF99:CF104)*1))*$B$21</f>
        <v>0</v>
      </c>
      <c r="CH82" s="353" t="n">
        <f aca="false">(SUMPRODUCT($B$49:$B$58,(CH49:CH58&gt;CG49:CG58)*1)+SUMPRODUCT($B$61:$B$68,(CH61:CH68&gt;CG61:CG68)*1)+SUMPRODUCT($B$71:$B$74,(CH71:CH74&gt;CG71:CG74)*1)+SUMPRODUCT($B$77:$B$78,(CH77:CH78&gt;CG77:CG78)*1)+SUMPRODUCT($B$99:$B$104,(CH99:CH104&gt;CG99:CG104)*1))*$B$21</f>
        <v>0</v>
      </c>
      <c r="CI82" s="353" t="n">
        <f aca="false">(SUMPRODUCT($B$49:$B$58,(CI49:CI58&gt;CH49:CH58)*1)+SUMPRODUCT($B$61:$B$68,(CI61:CI68&gt;CH61:CH68)*1)+SUMPRODUCT($B$71:$B$74,(CI71:CI74&gt;CH71:CH74)*1)+SUMPRODUCT($B$77:$B$78,(CI77:CI78&gt;CH77:CH78)*1)+SUMPRODUCT($B$99:$B$104,(CI99:CI104&gt;CH99:CH104)*1))*$B$21</f>
        <v>0</v>
      </c>
      <c r="CJ82" s="353" t="n">
        <f aca="false">(SUMPRODUCT($B$49:$B$58,(CJ49:CJ58&gt;CI49:CI58)*1)+SUMPRODUCT($B$61:$B$68,(CJ61:CJ68&gt;CI61:CI68)*1)+SUMPRODUCT($B$71:$B$74,(CJ71:CJ74&gt;CI71:CI74)*1)+SUMPRODUCT($B$77:$B$78,(CJ77:CJ78&gt;CI77:CI78)*1)+SUMPRODUCT($B$99:$B$104,(CJ99:CJ104&gt;CI99:CI104)*1))*$B$21</f>
        <v>0</v>
      </c>
      <c r="CK82" s="353" t="n">
        <f aca="false">(SUMPRODUCT($B$49:$B$58,(CK49:CK58&gt;CJ49:CJ58)*1)+SUMPRODUCT($B$61:$B$68,(CK61:CK68&gt;CJ61:CJ68)*1)+SUMPRODUCT($B$71:$B$74,(CK71:CK74&gt;CJ71:CJ74)*1)+SUMPRODUCT($B$77:$B$78,(CK77:CK78&gt;CJ77:CJ78)*1)+SUMPRODUCT($B$99:$B$104,(CK99:CK104&gt;CJ99:CJ104)*1))*$B$21</f>
        <v>0</v>
      </c>
      <c r="CL82" s="353" t="n">
        <f aca="false">(SUMPRODUCT($B$49:$B$58,(CL49:CL58&gt;CK49:CK58)*1)+SUMPRODUCT($B$61:$B$68,(CL61:CL68&gt;CK61:CK68)*1)+SUMPRODUCT($B$71:$B$74,(CL71:CL74&gt;CK71:CK74)*1)+SUMPRODUCT($B$77:$B$78,(CL77:CL78&gt;CK77:CK78)*1)+SUMPRODUCT($B$99:$B$104,(CL99:CL104&gt;CK99:CK104)*1))*$B$21</f>
        <v>0</v>
      </c>
      <c r="CM82" s="353" t="n">
        <f aca="false">(SUMPRODUCT($B$49:$B$58,(CM49:CM58&gt;CL49:CL58)*1)+SUMPRODUCT($B$61:$B$68,(CM61:CM68&gt;CL61:CL68)*1)+SUMPRODUCT($B$71:$B$74,(CM71:CM74&gt;CL71:CL74)*1)+SUMPRODUCT($B$77:$B$78,(CM77:CM78&gt;CL77:CL78)*1)+SUMPRODUCT($B$99:$B$104,(CM99:CM104&gt;CL99:CL104)*1))*$B$21</f>
        <v>0</v>
      </c>
      <c r="CN82" s="353" t="n">
        <f aca="false">(SUMPRODUCT($B$49:$B$58,(CN49:CN58&gt;CM49:CM58)*1)+SUMPRODUCT($B$61:$B$68,(CN61:CN68&gt;CM61:CM68)*1)+SUMPRODUCT($B$71:$B$74,(CN71:CN74&gt;CM71:CM74)*1)+SUMPRODUCT($B$77:$B$78,(CN77:CN78&gt;CM77:CM78)*1)+SUMPRODUCT($B$99:$B$104,(CN99:CN104&gt;CM99:CM104)*1))*$B$21</f>
        <v>0</v>
      </c>
      <c r="CO82" s="353" t="n">
        <f aca="false">(SUMPRODUCT($B$49:$B$58,(CO49:CO58&gt;CN49:CN58)*1)+SUMPRODUCT($B$61:$B$68,(CO61:CO68&gt;CN61:CN68)*1)+SUMPRODUCT($B$71:$B$74,(CO71:CO74&gt;CN71:CN74)*1)+SUMPRODUCT($B$77:$B$78,(CO77:CO78&gt;CN77:CN78)*1)+SUMPRODUCT($B$99:$B$104,(CO99:CO104&gt;CN99:CN104)*1))*$B$21</f>
        <v>0</v>
      </c>
      <c r="CP82" s="353" t="n">
        <f aca="false">(SUMPRODUCT($B$49:$B$58,(CP49:CP58&gt;CO49:CO58)*1)+SUMPRODUCT($B$61:$B$68,(CP61:CP68&gt;CO61:CO68)*1)+SUMPRODUCT($B$71:$B$74,(CP71:CP74&gt;CO71:CO74)*1)+SUMPRODUCT($B$77:$B$78,(CP77:CP78&gt;CO77:CO78)*1)+SUMPRODUCT($B$99:$B$104,(CP99:CP104&gt;CO99:CO104)*1))*$B$21</f>
        <v>0</v>
      </c>
      <c r="CQ82" s="353" t="n">
        <f aca="false">(SUMPRODUCT($B$49:$B$58,(CQ49:CQ58&gt;CP49:CP58)*1)+SUMPRODUCT($B$61:$B$68,(CQ61:CQ68&gt;CP61:CP68)*1)+SUMPRODUCT($B$71:$B$74,(CQ71:CQ74&gt;CP71:CP74)*1)+SUMPRODUCT($B$77:$B$78,(CQ77:CQ78&gt;CP77:CP78)*1)+SUMPRODUCT($B$99:$B$104,(CQ99:CQ104&gt;CP99:CP104)*1))*$B$21</f>
        <v>0</v>
      </c>
      <c r="CR82" s="353" t="n">
        <f aca="false">(SUMPRODUCT($B$49:$B$58,(CR49:CR58&gt;CQ49:CQ58)*1)+SUMPRODUCT($B$61:$B$68,(CR61:CR68&gt;CQ61:CQ68)*1)+SUMPRODUCT($B$71:$B$74,(CR71:CR74&gt;CQ71:CQ74)*1)+SUMPRODUCT($B$77:$B$78,(CR77:CR78&gt;CQ77:CQ78)*1)+SUMPRODUCT($B$99:$B$104,(CR99:CR104&gt;CQ99:CQ104)*1))*$B$21</f>
        <v>0</v>
      </c>
      <c r="CS82" s="353" t="n">
        <f aca="false">(SUMPRODUCT($B$49:$B$58,(CS49:CS58&gt;CR49:CR58)*1)+SUMPRODUCT($B$61:$B$68,(CS61:CS68&gt;CR61:CR68)*1)+SUMPRODUCT($B$71:$B$74,(CS71:CS74&gt;CR71:CR74)*1)+SUMPRODUCT($B$77:$B$78,(CS77:CS78&gt;CR77:CR78)*1)+SUMPRODUCT($B$99:$B$104,(CS99:CS104&gt;CR99:CR104)*1))*$B$21</f>
        <v>0</v>
      </c>
      <c r="CT82" s="353" t="n">
        <f aca="false">(SUMPRODUCT($B$49:$B$58,(CT49:CT58&gt;CS49:CS58)*1)+SUMPRODUCT($B$61:$B$68,(CT61:CT68&gt;CS61:CS68)*1)+SUMPRODUCT($B$71:$B$74,(CT71:CT74&gt;CS71:CS74)*1)+SUMPRODUCT($B$77:$B$78,(CT77:CT78&gt;CS77:CS78)*1)+SUMPRODUCT($B$99:$B$104,(CT99:CT104&gt;CS99:CS104)*1))*$B$21</f>
        <v>0</v>
      </c>
      <c r="CU82" s="353" t="n">
        <f aca="false">(SUMPRODUCT($B$49:$B$58,(CU49:CU58&gt;CT49:CT58)*1)+SUMPRODUCT($B$61:$B$68,(CU61:CU68&gt;CT61:CT68)*1)+SUMPRODUCT($B$71:$B$74,(CU71:CU74&gt;CT71:CT74)*1)+SUMPRODUCT($B$77:$B$78,(CU77:CU78&gt;CT77:CT78)*1)+SUMPRODUCT($B$99:$B$104,(CU99:CU104&gt;CT99:CT104)*1))*$B$21</f>
        <v>0</v>
      </c>
      <c r="CV82" s="353" t="n">
        <f aca="false">(SUMPRODUCT($B$49:$B$58,(CV49:CV58&gt;CU49:CU58)*1)+SUMPRODUCT($B$61:$B$68,(CV61:CV68&gt;CU61:CU68)*1)+SUMPRODUCT($B$71:$B$74,(CV71:CV74&gt;CU71:CU74)*1)+SUMPRODUCT($B$77:$B$78,(CV77:CV78&gt;CU77:CU78)*1)+SUMPRODUCT($B$99:$B$104,(CV99:CV104&gt;CU99:CU104)*1))*$B$21</f>
        <v>0</v>
      </c>
      <c r="CW82" s="353" t="n">
        <f aca="false">(SUMPRODUCT($B$49:$B$58,(CW49:CW58&gt;CV49:CV58)*1)+SUMPRODUCT($B$61:$B$68,(CW61:CW68&gt;CV61:CV68)*1)+SUMPRODUCT($B$71:$B$74,(CW71:CW74&gt;CV71:CV74)*1)+SUMPRODUCT($B$77:$B$78,(CW77:CW78&gt;CV77:CV78)*1)+SUMPRODUCT($B$99:$B$104,(CW99:CW104&gt;CV99:CV104)*1))*$B$21</f>
        <v>0</v>
      </c>
      <c r="CX82" s="353" t="n">
        <f aca="false">(SUMPRODUCT($B$49:$B$58,(CX49:CX58&gt;CW49:CW58)*1)+SUMPRODUCT($B$61:$B$68,(CX61:CX68&gt;CW61:CW68)*1)+SUMPRODUCT($B$71:$B$74,(CX71:CX74&gt;CW71:CW74)*1)+SUMPRODUCT($B$77:$B$78,(CX77:CX78&gt;CW77:CW78)*1)+SUMPRODUCT($B$99:$B$104,(CX99:CX104&gt;CW99:CW104)*1))*$B$21</f>
        <v>0</v>
      </c>
      <c r="CY82" s="353" t="n">
        <f aca="false">(SUMPRODUCT($B$49:$B$58,(CY49:CY58&gt;CX49:CX58)*1)+SUMPRODUCT($B$61:$B$68,(CY61:CY68&gt;CX61:CX68)*1)+SUMPRODUCT($B$71:$B$74,(CY71:CY74&gt;CX71:CX74)*1)+SUMPRODUCT($B$77:$B$78,(CY77:CY78&gt;CX77:CX78)*1)+SUMPRODUCT($B$99:$B$104,(CY99:CY104&gt;CX99:CX104)*1))*$B$21</f>
        <v>0</v>
      </c>
      <c r="CZ82" s="353" t="n">
        <f aca="false">(SUMPRODUCT($B$49:$B$58,(CZ49:CZ58&gt;CY49:CY58)*1)+SUMPRODUCT($B$61:$B$68,(CZ61:CZ68&gt;CY61:CY68)*1)+SUMPRODUCT($B$71:$B$74,(CZ71:CZ74&gt;CY71:CY74)*1)+SUMPRODUCT($B$77:$B$78,(CZ77:CZ78&gt;CY77:CY78)*1)+SUMPRODUCT($B$99:$B$104,(CZ99:CZ104&gt;CY99:CY104)*1))*$B$21</f>
        <v>0</v>
      </c>
      <c r="DA82" s="353" t="n">
        <f aca="false">(SUMPRODUCT($B$49:$B$58,(DA49:DA58&gt;CZ49:CZ58)*1)+SUMPRODUCT($B$61:$B$68,(DA61:DA68&gt;CZ61:CZ68)*1)+SUMPRODUCT($B$71:$B$74,(DA71:DA74&gt;CZ71:CZ74)*1)+SUMPRODUCT($B$77:$B$78,(DA77:DA78&gt;CZ77:CZ78)*1)+SUMPRODUCT($B$99:$B$104,(DA99:DA104&gt;CZ99:CZ104)*1))*$B$21</f>
        <v>0</v>
      </c>
      <c r="DB82" s="353" t="n">
        <f aca="false">(SUMPRODUCT($B$49:$B$58,(DB49:DB58&gt;DA49:DA58)*1)+SUMPRODUCT($B$61:$B$68,(DB61:DB68&gt;DA61:DA68)*1)+SUMPRODUCT($B$71:$B$74,(DB71:DB74&gt;DA71:DA74)*1)+SUMPRODUCT($B$77:$B$78,(DB77:DB78&gt;DA77:DA78)*1)+SUMPRODUCT($B$99:$B$104,(DB99:DB104&gt;DA99:DA104)*1))*$B$21</f>
        <v>0</v>
      </c>
      <c r="DC82" s="353" t="n">
        <f aca="false">(SUMPRODUCT($B$49:$B$58,(DC49:DC58&gt;DB49:DB58)*1)+SUMPRODUCT($B$61:$B$68,(DC61:DC68&gt;DB61:DB68)*1)+SUMPRODUCT($B$71:$B$74,(DC71:DC74&gt;DB71:DB74)*1)+SUMPRODUCT($B$77:$B$78,(DC77:DC78&gt;DB77:DB78)*1)+SUMPRODUCT($B$99:$B$104,(DC99:DC104&gt;DB99:DB104)*1))*$B$21</f>
        <v>0</v>
      </c>
      <c r="DD82" s="353" t="n">
        <f aca="false">(SUMPRODUCT($B$49:$B$58,(DD49:DD58&gt;DC49:DC58)*1)+SUMPRODUCT($B$61:$B$68,(DD61:DD68&gt;DC61:DC68)*1)+SUMPRODUCT($B$71:$B$74,(DD71:DD74&gt;DC71:DC74)*1)+SUMPRODUCT($B$77:$B$78,(DD77:DD78&gt;DC77:DC78)*1)+SUMPRODUCT($B$99:$B$104,(DD99:DD104&gt;DC99:DC104)*1))*$B$21</f>
        <v>0</v>
      </c>
      <c r="DE82" s="353"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1205</v>
      </c>
      <c r="E83" s="353" t="n">
        <v>0</v>
      </c>
      <c r="F83" s="353" t="n">
        <f aca="false">(SUMPRODUCT($B$49:$B$58,(E49:E58&gt;F49:F58)*1)+SUMPRODUCT($B$61:$B$68,(E61:E68&gt;F61:F68)*1)+SUMPRODUCT($B$71:$B$74,(E71:E74&gt;F71:F74)*1)+SUMPRODUCT($B$77:$B$78,(E77:E78&gt;F77:F78)*1)+SUMPRODUCT($B$99:$B$104,(E99:E104&gt;F99:F104)*1))*$B$20/52</f>
        <v>0</v>
      </c>
      <c r="G83" s="353" t="n">
        <f aca="false">(SUMPRODUCT($B$49:$B$58,(F49:F58&gt;G49:G58)*1)+SUMPRODUCT($B$61:$B$68,(F61:F68&gt;G61:G68)*1)+SUMPRODUCT($B$71:$B$74,(F71:F74&gt;G71:G74)*1)+SUMPRODUCT($B$77:$B$78,(F77:F78&gt;G77:G78)*1)+SUMPRODUCT($B$99:$B$104,(F99:F104&gt;G99:G104)*1))*$B$20/52</f>
        <v>0</v>
      </c>
      <c r="H83" s="353" t="n">
        <f aca="false">(SUMPRODUCT($B$49:$B$58,(G49:G58&gt;H49:H58)*1)+SUMPRODUCT($B$61:$B$68,(G61:G68&gt;H61:H68)*1)+SUMPRODUCT($B$71:$B$74,(G71:G74&gt;H71:H74)*1)+SUMPRODUCT($B$77:$B$78,(G77:G78&gt;H77:H78)*1)+SUMPRODUCT($B$99:$B$104,(G99:G104&gt;H99:H104)*1))*$B$20/52</f>
        <v>0</v>
      </c>
      <c r="I83" s="353" t="n">
        <f aca="false">(SUMPRODUCT($B$49:$B$58,(H49:H58&gt;I49:I58)*1)+SUMPRODUCT($B$61:$B$68,(H61:H68&gt;I61:I68)*1)+SUMPRODUCT($B$71:$B$74,(H71:H74&gt;I71:I74)*1)+SUMPRODUCT($B$77:$B$78,(H77:H78&gt;I77:I78)*1)+SUMPRODUCT($B$99:$B$104,(H99:H104&gt;I99:I104)*1))*$B$20/52</f>
        <v>0</v>
      </c>
      <c r="J83" s="353" t="n">
        <f aca="false">(SUMPRODUCT($B$49:$B$58,(I49:I58&gt;J49:J58)*1)+SUMPRODUCT($B$61:$B$68,(I61:I68&gt;J61:J68)*1)+SUMPRODUCT($B$71:$B$74,(I71:I74&gt;J71:J74)*1)+SUMPRODUCT($B$77:$B$78,(I77:I78&gt;J77:J78)*1)+SUMPRODUCT($B$99:$B$104,(I99:I104&gt;J99:J104)*1))*$B$20/52</f>
        <v>10000</v>
      </c>
      <c r="K83" s="353" t="n">
        <f aca="false">(SUMPRODUCT($B$49:$B$58,(J49:J58&gt;K49:K58)*1)+SUMPRODUCT($B$61:$B$68,(J61:J68&gt;K61:K68)*1)+SUMPRODUCT($B$71:$B$74,(J71:J74&gt;K71:K74)*1)+SUMPRODUCT($B$77:$B$78,(J77:J78&gt;K77:K78)*1)+SUMPRODUCT($B$99:$B$104,(J99:J104&gt;K99:K104)*1))*$B$20/52</f>
        <v>0</v>
      </c>
      <c r="L83" s="353" t="n">
        <f aca="false">(SUMPRODUCT($B$49:$B$58,(K49:K58&gt;L49:L58)*1)+SUMPRODUCT($B$61:$B$68,(K61:K68&gt;L61:L68)*1)+SUMPRODUCT($B$71:$B$74,(K71:K74&gt;L71:L74)*1)+SUMPRODUCT($B$77:$B$78,(K77:K78&gt;L77:L78)*1)+SUMPRODUCT($B$99:$B$104,(K99:K104&gt;L99:L104)*1))*$B$20/52</f>
        <v>0</v>
      </c>
      <c r="M83" s="353" t="n">
        <f aca="false">(SUMPRODUCT($B$49:$B$58,(L49:L58&gt;M49:M58)*1)+SUMPRODUCT($B$61:$B$68,(L61:L68&gt;M61:M68)*1)+SUMPRODUCT($B$71:$B$74,(L71:L74&gt;M71:M74)*1)+SUMPRODUCT($B$77:$B$78,(L77:L78&gt;M77:M78)*1)+SUMPRODUCT($B$99:$B$104,(L99:L104&gt;M99:M104)*1))*$B$20/52</f>
        <v>0</v>
      </c>
      <c r="N83" s="353" t="n">
        <f aca="false">(SUMPRODUCT($B$49:$B$58,(M49:M58&gt;N49:N58)*1)+SUMPRODUCT($B$61:$B$68,(M61:M68&gt;N61:N68)*1)+SUMPRODUCT($B$71:$B$74,(M71:M74&gt;N71:N74)*1)+SUMPRODUCT($B$77:$B$78,(M77:M78&gt;N77:N78)*1)+SUMPRODUCT($B$99:$B$104,(M99:M104&gt;N99:N104)*1))*$B$20/52</f>
        <v>0</v>
      </c>
      <c r="O83" s="353" t="n">
        <f aca="false">(SUMPRODUCT($B$49:$B$58,(N49:N58&gt;O49:O58)*1)+SUMPRODUCT($B$61:$B$68,(N61:N68&gt;O61:O68)*1)+SUMPRODUCT($B$71:$B$74,(N71:N74&gt;O71:O74)*1)+SUMPRODUCT($B$77:$B$78,(N77:N78&gt;O77:O78)*1)+SUMPRODUCT($B$99:$B$104,(N99:N104&gt;O99:O104)*1))*$B$20/52</f>
        <v>0</v>
      </c>
      <c r="P83" s="353" t="n">
        <f aca="false">(SUMPRODUCT($B$49:$B$58,(O49:O58&gt;P49:P58)*1)+SUMPRODUCT($B$61:$B$68,(O61:O68&gt;P61:P68)*1)+SUMPRODUCT($B$71:$B$74,(O71:O74&gt;P71:P74)*1)+SUMPRODUCT($B$77:$B$78,(O77:O78&gt;P77:P78)*1)+SUMPRODUCT($B$99:$B$104,(O99:O104&gt;P99:P104)*1))*$B$20/52</f>
        <v>0</v>
      </c>
      <c r="Q83" s="353" t="n">
        <f aca="false">(SUMPRODUCT($B$49:$B$58,(P49:P58&gt;Q49:Q58)*1)+SUMPRODUCT($B$61:$B$68,(P61:P68&gt;Q61:Q68)*1)+SUMPRODUCT($B$71:$B$74,(P71:P74&gt;Q71:Q74)*1)+SUMPRODUCT($B$77:$B$78,(P77:P78&gt;Q77:Q78)*1)+SUMPRODUCT($B$99:$B$104,(P99:P104&gt;Q99:Q104)*1))*$B$20/52</f>
        <v>0</v>
      </c>
      <c r="R83" s="353" t="n">
        <f aca="false">(SUMPRODUCT($B$49:$B$58,(Q49:Q58&gt;R49:R58)*1)+SUMPRODUCT($B$61:$B$68,(Q61:Q68&gt;R61:R68)*1)+SUMPRODUCT($B$71:$B$74,(Q71:Q74&gt;R71:R74)*1)+SUMPRODUCT($B$77:$B$78,(Q77:Q78&gt;R77:R78)*1)+SUMPRODUCT($B$99:$B$104,(Q99:Q104&gt;R99:R104)*1))*$B$20/52</f>
        <v>0</v>
      </c>
      <c r="S83" s="353" t="n">
        <f aca="false">(SUMPRODUCT($B$49:$B$58,(R49:R58&gt;S49:S58)*1)+SUMPRODUCT($B$61:$B$68,(R61:R68&gt;S61:S68)*1)+SUMPRODUCT($B$71:$B$74,(R71:R74&gt;S71:S74)*1)+SUMPRODUCT($B$77:$B$78,(R77:R78&gt;S77:S78)*1)+SUMPRODUCT($B$99:$B$104,(R99:R104&gt;S99:S104)*1))*$B$20/52</f>
        <v>0</v>
      </c>
      <c r="T83" s="353" t="n">
        <f aca="false">(SUMPRODUCT($B$49:$B$58,(S49:S58&gt;T49:T58)*1)+SUMPRODUCT($B$61:$B$68,(S61:S68&gt;T61:T68)*1)+SUMPRODUCT($B$71:$B$74,(S71:S74&gt;T71:T74)*1)+SUMPRODUCT($B$77:$B$78,(S77:S78&gt;T77:T78)*1)+SUMPRODUCT($B$99:$B$104,(S99:S104&gt;T99:T104)*1))*$B$20/52</f>
        <v>0</v>
      </c>
      <c r="U83" s="353" t="n">
        <f aca="false">(SUMPRODUCT($B$49:$B$58,(T49:T58&gt;U49:U58)*1)+SUMPRODUCT($B$61:$B$68,(T61:T68&gt;U61:U68)*1)+SUMPRODUCT($B$71:$B$74,(T71:T74&gt;U71:U74)*1)+SUMPRODUCT($B$77:$B$78,(T77:T78&gt;U77:U78)*1)+SUMPRODUCT($B$99:$B$104,(T99:T104&gt;U99:U104)*1))*$B$20/52</f>
        <v>0</v>
      </c>
      <c r="V83" s="353" t="n">
        <f aca="false">(SUMPRODUCT($B$49:$B$58,(U49:U58&gt;V49:V58)*1)+SUMPRODUCT($B$61:$B$68,(U61:U68&gt;V61:V68)*1)+SUMPRODUCT($B$71:$B$74,(U71:U74&gt;V71:V74)*1)+SUMPRODUCT($B$77:$B$78,(U77:U78&gt;V77:V78)*1)+SUMPRODUCT($B$99:$B$104,(U99:U104&gt;V99:V104)*1))*$B$20/52</f>
        <v>0</v>
      </c>
      <c r="W83" s="353" t="n">
        <f aca="false">(SUMPRODUCT($B$49:$B$58,(V49:V58&gt;W49:W58)*1)+SUMPRODUCT($B$61:$B$68,(V61:V68&gt;W61:W68)*1)+SUMPRODUCT($B$71:$B$74,(V71:V74&gt;W71:W74)*1)+SUMPRODUCT($B$77:$B$78,(V77:V78&gt;W77:W78)*1)+SUMPRODUCT($B$99:$B$104,(V99:V104&gt;W99:W104)*1))*$B$20/52</f>
        <v>0</v>
      </c>
      <c r="X83" s="353" t="n">
        <f aca="false">(SUMPRODUCT($B$49:$B$58,(W49:W58&gt;X49:X58)*1)+SUMPRODUCT($B$61:$B$68,(W61:W68&gt;X61:X68)*1)+SUMPRODUCT($B$71:$B$74,(W71:W74&gt;X71:X74)*1)+SUMPRODUCT($B$77:$B$78,(W77:W78&gt;X77:X78)*1)+SUMPRODUCT($B$99:$B$104,(W99:W104&gt;X99:X104)*1))*$B$20/52</f>
        <v>0</v>
      </c>
      <c r="Y83" s="353" t="n">
        <f aca="false">(SUMPRODUCT($B$49:$B$58,(X49:X58&gt;Y49:Y58)*1)+SUMPRODUCT($B$61:$B$68,(X61:X68&gt;Y61:Y68)*1)+SUMPRODUCT($B$71:$B$74,(X71:X74&gt;Y71:Y74)*1)+SUMPRODUCT($B$77:$B$78,(X77:X78&gt;Y77:Y78)*1)+SUMPRODUCT($B$99:$B$104,(X99:X104&gt;Y99:Y104)*1))*$B$20/52</f>
        <v>0</v>
      </c>
      <c r="Z83" s="353" t="n">
        <f aca="false">(SUMPRODUCT($B$49:$B$58,(Y49:Y58&gt;Z49:Z58)*1)+SUMPRODUCT($B$61:$B$68,(Y61:Y68&gt;Z61:Z68)*1)+SUMPRODUCT($B$71:$B$74,(Y71:Y74&gt;Z71:Z74)*1)+SUMPRODUCT($B$77:$B$78,(Y77:Y78&gt;Z77:Z78)*1)+SUMPRODUCT($B$99:$B$104,(Y99:Y104&gt;Z99:Z104)*1))*$B$20/52</f>
        <v>0</v>
      </c>
      <c r="AA83" s="353" t="n">
        <f aca="false">(SUMPRODUCT($B$49:$B$58,(Z49:Z58&gt;AA49:AA58)*1)+SUMPRODUCT($B$61:$B$68,(Z61:Z68&gt;AA61:AA68)*1)+SUMPRODUCT($B$71:$B$74,(Z71:Z74&gt;AA71:AA74)*1)+SUMPRODUCT($B$77:$B$78,(Z77:Z78&gt;AA77:AA78)*1)+SUMPRODUCT($B$99:$B$104,(Z99:Z104&gt;AA99:AA104)*1))*$B$20/52</f>
        <v>0</v>
      </c>
      <c r="AB83" s="353" t="n">
        <f aca="false">(SUMPRODUCT($B$49:$B$58,(AA49:AA58&gt;AB49:AB58)*1)+SUMPRODUCT($B$61:$B$68,(AA61:AA68&gt;AB61:AB68)*1)+SUMPRODUCT($B$71:$B$74,(AA71:AA74&gt;AB71:AB74)*1)+SUMPRODUCT($B$77:$B$78,(AA77:AA78&gt;AB77:AB78)*1)+SUMPRODUCT($B$99:$B$104,(AA99:AA104&gt;AB99:AB104)*1))*$B$20/52</f>
        <v>0</v>
      </c>
      <c r="AC83" s="353" t="n">
        <f aca="false">(SUMPRODUCT($B$49:$B$58,(AB49:AB58&gt;AC49:AC58)*1)+SUMPRODUCT($B$61:$B$68,(AB61:AB68&gt;AC61:AC68)*1)+SUMPRODUCT($B$71:$B$74,(AB71:AB74&gt;AC71:AC74)*1)+SUMPRODUCT($B$77:$B$78,(AB77:AB78&gt;AC77:AC78)*1)+SUMPRODUCT($B$99:$B$104,(AB99:AB104&gt;AC99:AC104)*1))*$B$20/52</f>
        <v>15769.2307692308</v>
      </c>
      <c r="AD83" s="353" t="n">
        <f aca="false">(SUMPRODUCT($B$49:$B$58,(AC49:AC58&gt;AD49:AD58)*1)+SUMPRODUCT($B$61:$B$68,(AC61:AC68&gt;AD61:AD68)*1)+SUMPRODUCT($B$71:$B$74,(AC71:AC74&gt;AD71:AD74)*1)+SUMPRODUCT($B$77:$B$78,(AC77:AC78&gt;AD77:AD78)*1)+SUMPRODUCT($B$99:$B$104,(AC99:AC104&gt;AD99:AD104)*1))*$B$20/52</f>
        <v>22307.6923076923</v>
      </c>
      <c r="AE83" s="353" t="n">
        <f aca="false">(SUMPRODUCT($B$49:$B$58,(AD49:AD58&gt;AE49:AE58)*1)+SUMPRODUCT($B$61:$B$68,(AD61:AD68&gt;AE61:AE68)*1)+SUMPRODUCT($B$71:$B$74,(AD71:AD74&gt;AE71:AE74)*1)+SUMPRODUCT($B$77:$B$78,(AD77:AD78&gt;AE77:AE78)*1)+SUMPRODUCT($B$99:$B$104,(AD99:AD104&gt;AE99:AE104)*1))*$B$20/52</f>
        <v>0</v>
      </c>
      <c r="AF83" s="353" t="n">
        <f aca="false">(SUMPRODUCT($B$49:$B$58,(AE49:AE58&gt;AF49:AF58)*1)+SUMPRODUCT($B$61:$B$68,(AE61:AE68&gt;AF61:AF68)*1)+SUMPRODUCT($B$71:$B$74,(AE71:AE74&gt;AF71:AF74)*1)+SUMPRODUCT($B$77:$B$78,(AE77:AE78&gt;AF77:AF78)*1)+SUMPRODUCT($B$99:$B$104,(AE99:AE104&gt;AF99:AF104)*1))*$B$20/52</f>
        <v>0</v>
      </c>
      <c r="AG83" s="353" t="n">
        <f aca="false">(SUMPRODUCT($B$49:$B$58,(AF49:AF58&gt;AG49:AG58)*1)+SUMPRODUCT($B$61:$B$68,(AF61:AF68&gt;AG61:AG68)*1)+SUMPRODUCT($B$71:$B$74,(AF71:AF74&gt;AG71:AG74)*1)+SUMPRODUCT($B$77:$B$78,(AF77:AF78&gt;AG77:AG78)*1)+SUMPRODUCT($B$99:$B$104,(AF99:AF104&gt;AG99:AG104)*1))*$B$20/52</f>
        <v>0</v>
      </c>
      <c r="AH83" s="353" t="n">
        <f aca="false">(SUMPRODUCT($B$49:$B$58,(AG49:AG58&gt;AH49:AH58)*1)+SUMPRODUCT($B$61:$B$68,(AG61:AG68&gt;AH61:AH68)*1)+SUMPRODUCT($B$71:$B$74,(AG71:AG74&gt;AH71:AH74)*1)+SUMPRODUCT($B$77:$B$78,(AG77:AG78&gt;AH77:AH78)*1)+SUMPRODUCT($B$99:$B$104,(AG99:AG104&gt;AH99:AH104)*1))*$B$20/52</f>
        <v>12307.6923076923</v>
      </c>
      <c r="AI83" s="353" t="n">
        <f aca="false">(SUMPRODUCT($B$49:$B$58,(AH49:AH58&gt;AI49:AI58)*1)+SUMPRODUCT($B$61:$B$68,(AH61:AH68&gt;AI61:AI68)*1)+SUMPRODUCT($B$71:$B$74,(AH71:AH74&gt;AI71:AI74)*1)+SUMPRODUCT($B$77:$B$78,(AH77:AH78&gt;AI77:AI78)*1)+SUMPRODUCT($B$99:$B$104,(AH99:AH104&gt;AI99:AI104)*1))*$B$20/52</f>
        <v>13846.1538461538</v>
      </c>
      <c r="AJ83" s="353" t="n">
        <f aca="false">(SUMPRODUCT($B$49:$B$58,(AI49:AI58&gt;AJ49:AJ58)*1)+SUMPRODUCT($B$61:$B$68,(AI61:AI68&gt;AJ61:AJ68)*1)+SUMPRODUCT($B$71:$B$74,(AI71:AI74&gt;AJ71:AJ74)*1)+SUMPRODUCT($B$77:$B$78,(AI77:AI78&gt;AJ77:AJ78)*1)+SUMPRODUCT($B$99:$B$104,(AI99:AI104&gt;AJ99:AJ104)*1))*$B$20/52</f>
        <v>0</v>
      </c>
      <c r="AK83" s="353" t="n">
        <f aca="false">(SUMPRODUCT($B$49:$B$58,(AJ49:AJ58&gt;AK49:AK58)*1)+SUMPRODUCT($B$61:$B$68,(AJ61:AJ68&gt;AK61:AK68)*1)+SUMPRODUCT($B$71:$B$74,(AJ71:AJ74&gt;AK71:AK74)*1)+SUMPRODUCT($B$77:$B$78,(AJ77:AJ78&gt;AK77:AK78)*1)+SUMPRODUCT($B$99:$B$104,(AJ99:AJ104&gt;AK99:AK104)*1))*$B$20/52</f>
        <v>0</v>
      </c>
      <c r="AL83" s="353" t="n">
        <f aca="false">(SUMPRODUCT($B$49:$B$58,(AK49:AK58&gt;AL49:AL58)*1)+SUMPRODUCT($B$61:$B$68,(AK61:AK68&gt;AL61:AL68)*1)+SUMPRODUCT($B$71:$B$74,(AK71:AK74&gt;AL71:AL74)*1)+SUMPRODUCT($B$77:$B$78,(AK77:AK78&gt;AL77:AL78)*1)+SUMPRODUCT($B$99:$B$104,(AK99:AK104&gt;AL99:AL104)*1))*$B$20/52</f>
        <v>6153.84615384615</v>
      </c>
      <c r="AM83" s="353" t="n">
        <f aca="false">(SUMPRODUCT($B$49:$B$58,(AL49:AL58&gt;AM49:AM58)*1)+SUMPRODUCT($B$61:$B$68,(AL61:AL68&gt;AM61:AM68)*1)+SUMPRODUCT($B$71:$B$74,(AL71:AL74&gt;AM71:AM74)*1)+SUMPRODUCT($B$77:$B$78,(AL77:AL78&gt;AM77:AM78)*1)+SUMPRODUCT($B$99:$B$104,(AL99:AL104&gt;AM99:AM104)*1))*$B$20/52</f>
        <v>34230.7692307692</v>
      </c>
      <c r="AN83" s="353" t="n">
        <f aca="false">(SUMPRODUCT($B$49:$B$58,(AM49:AM58&gt;AN49:AN58)*1)+SUMPRODUCT($B$61:$B$68,(AM61:AM68&gt;AN61:AN68)*1)+SUMPRODUCT($B$71:$B$74,(AM71:AM74&gt;AN71:AN74)*1)+SUMPRODUCT($B$77:$B$78,(AM77:AM78&gt;AN77:AN78)*1)+SUMPRODUCT($B$99:$B$104,(AM99:AM104&gt;AN99:AN104)*1))*$B$20/52</f>
        <v>12307.6923076923</v>
      </c>
      <c r="AO83" s="353" t="n">
        <f aca="false">(SUMPRODUCT($B$49:$B$58,(AN49:AN58&gt;AO49:AO58)*1)+SUMPRODUCT($B$61:$B$68,(AN61:AN68&gt;AO61:AO68)*1)+SUMPRODUCT($B$71:$B$74,(AN71:AN74&gt;AO71:AO74)*1)+SUMPRODUCT($B$77:$B$78,(AN77:AN78&gt;AO77:AO78)*1)+SUMPRODUCT($B$99:$B$104,(AN99:AN104&gt;AO99:AO104)*1))*$B$20/52</f>
        <v>19615.3846153846</v>
      </c>
      <c r="AP83" s="353" t="n">
        <f aca="false">(SUMPRODUCT($B$49:$B$58,(AO49:AO58&gt;AP49:AP58)*1)+SUMPRODUCT($B$61:$B$68,(AO61:AO68&gt;AP61:AP68)*1)+SUMPRODUCT($B$71:$B$74,(AO71:AO74&gt;AP71:AP74)*1)+SUMPRODUCT($B$77:$B$78,(AO77:AO78&gt;AP77:AP78)*1)+SUMPRODUCT($B$99:$B$104,(AO99:AO104&gt;AP99:AP104)*1))*$B$20/52</f>
        <v>0</v>
      </c>
      <c r="AQ83" s="353" t="n">
        <f aca="false">(SUMPRODUCT($B$49:$B$58,(AP49:AP58&gt;AQ49:AQ58)*1)+SUMPRODUCT($B$61:$B$68,(AP61:AP68&gt;AQ61:AQ68)*1)+SUMPRODUCT($B$71:$B$74,(AP71:AP74&gt;AQ71:AQ74)*1)+SUMPRODUCT($B$77:$B$78,(AP77:AP78&gt;AQ77:AQ78)*1)+SUMPRODUCT($B$99:$B$104,(AP99:AP104&gt;AQ99:AQ104)*1))*$B$20/52</f>
        <v>9615.38461538462</v>
      </c>
      <c r="AR83" s="353" t="n">
        <f aca="false">(SUMPRODUCT($B$49:$B$58,(AQ49:AQ58&gt;AR49:AR58)*1)+SUMPRODUCT($B$61:$B$68,(AQ61:AQ68&gt;AR61:AR68)*1)+SUMPRODUCT($B$71:$B$74,(AQ71:AQ74&gt;AR71:AR74)*1)+SUMPRODUCT($B$77:$B$78,(AQ77:AQ78&gt;AR77:AR78)*1)+SUMPRODUCT($B$99:$B$104,(AQ99:AQ104&gt;AR99:AR104)*1))*$B$20/52</f>
        <v>0</v>
      </c>
      <c r="AS83" s="353" t="n">
        <f aca="false">(SUMPRODUCT($B$49:$B$58,(AR49:AR58&gt;AS49:AS58)*1)+SUMPRODUCT($B$61:$B$68,(AR61:AR68&gt;AS61:AS68)*1)+SUMPRODUCT($B$71:$B$74,(AR71:AR74&gt;AS71:AS74)*1)+SUMPRODUCT($B$77:$B$78,(AR77:AR78&gt;AS77:AS78)*1)+SUMPRODUCT($B$99:$B$104,(AR99:AR104&gt;AS99:AS104)*1))*$B$20/52</f>
        <v>0</v>
      </c>
      <c r="AT83" s="353" t="n">
        <f aca="false">(SUMPRODUCT($B$49:$B$58,(AS49:AS58&gt;AT49:AT58)*1)+SUMPRODUCT($B$61:$B$68,(AS61:AS68&gt;AT61:AT68)*1)+SUMPRODUCT($B$71:$B$74,(AS71:AS74&gt;AT71:AT74)*1)+SUMPRODUCT($B$77:$B$78,(AS77:AS78&gt;AT77:AT78)*1)+SUMPRODUCT($B$99:$B$104,(AS99:AS104&gt;AT99:AT104)*1))*$B$20/52</f>
        <v>0</v>
      </c>
      <c r="AU83" s="353" t="n">
        <f aca="false">(SUMPRODUCT($B$49:$B$58,(AT49:AT58&gt;AU49:AU58)*1)+SUMPRODUCT($B$61:$B$68,(AT61:AT68&gt;AU61:AU68)*1)+SUMPRODUCT($B$71:$B$74,(AT71:AT74&gt;AU71:AU74)*1)+SUMPRODUCT($B$77:$B$78,(AT77:AT78&gt;AU77:AU78)*1)+SUMPRODUCT($B$99:$B$104,(AT99:AT104&gt;AU99:AU104)*1))*$B$20/52</f>
        <v>0</v>
      </c>
      <c r="AV83" s="353" t="n">
        <f aca="false">(SUMPRODUCT($B$49:$B$58,(AU49:AU58&gt;AV49:AV58)*1)+SUMPRODUCT($B$61:$B$68,(AU61:AU68&gt;AV61:AV68)*1)+SUMPRODUCT($B$71:$B$74,(AU71:AU74&gt;AV71:AV74)*1)+SUMPRODUCT($B$77:$B$78,(AU77:AU78&gt;AV77:AV78)*1)+SUMPRODUCT($B$99:$B$104,(AU99:AU104&gt;AV99:AV104)*1))*$B$20/52</f>
        <v>0</v>
      </c>
      <c r="AW83" s="353" t="n">
        <f aca="false">(SUMPRODUCT($B$49:$B$58,(AV49:AV58&gt;AW49:AW58)*1)+SUMPRODUCT($B$61:$B$68,(AV61:AV68&gt;AW61:AW68)*1)+SUMPRODUCT($B$71:$B$74,(AV71:AV74&gt;AW71:AW74)*1)+SUMPRODUCT($B$77:$B$78,(AV77:AV78&gt;AW77:AW78)*1)+SUMPRODUCT($B$99:$B$104,(AV99:AV104&gt;AW99:AW104)*1))*$B$20/52</f>
        <v>0</v>
      </c>
      <c r="AX83" s="353" t="n">
        <f aca="false">(SUMPRODUCT($B$49:$B$58,(AW49:AW58&gt;AX49:AX58)*1)+SUMPRODUCT($B$61:$B$68,(AW61:AW68&gt;AX61:AX68)*1)+SUMPRODUCT($B$71:$B$74,(AW71:AW74&gt;AX71:AX74)*1)+SUMPRODUCT($B$77:$B$78,(AW77:AW78&gt;AX77:AX78)*1)+SUMPRODUCT($B$99:$B$104,(AW99:AW104&gt;AX99:AX104)*1))*$B$20/52</f>
        <v>0</v>
      </c>
      <c r="AY83" s="353" t="n">
        <f aca="false">(SUMPRODUCT($B$49:$B$58,(AX49:AX58&gt;AY49:AY58)*1)+SUMPRODUCT($B$61:$B$68,(AX61:AX68&gt;AY61:AY68)*1)+SUMPRODUCT($B$71:$B$74,(AX71:AX74&gt;AY71:AY74)*1)+SUMPRODUCT($B$77:$B$78,(AX77:AX78&gt;AY77:AY78)*1)+SUMPRODUCT($B$99:$B$104,(AX99:AX104&gt;AY99:AY104)*1))*$B$20/52</f>
        <v>0</v>
      </c>
      <c r="AZ83" s="353" t="n">
        <f aca="false">(SUMPRODUCT($B$49:$B$58,(AY49:AY58&gt;AZ49:AZ58)*1)+SUMPRODUCT($B$61:$B$68,(AY61:AY68&gt;AZ61:AZ68)*1)+SUMPRODUCT($B$71:$B$74,(AY71:AY74&gt;AZ71:AZ74)*1)+SUMPRODUCT($B$77:$B$78,(AY77:AY78&gt;AZ77:AZ78)*1)+SUMPRODUCT($B$99:$B$104,(AY99:AY104&gt;AZ99:AZ104)*1))*$B$20/52</f>
        <v>0</v>
      </c>
      <c r="BA83" s="353" t="n">
        <f aca="false">(SUMPRODUCT($B$49:$B$58,(AZ49:AZ58&gt;BA49:BA58)*1)+SUMPRODUCT($B$61:$B$68,(AZ61:AZ68&gt;BA61:BA68)*1)+SUMPRODUCT($B$71:$B$74,(AZ71:AZ74&gt;BA71:BA74)*1)+SUMPRODUCT($B$77:$B$78,(AZ77:AZ78&gt;BA77:BA78)*1)+SUMPRODUCT($B$99:$B$104,(AZ99:AZ104&gt;BA99:BA104)*1))*$B$20/52</f>
        <v>0</v>
      </c>
      <c r="BB83" s="353" t="n">
        <f aca="false">(SUMPRODUCT($B$49:$B$58,(BA49:BA58&gt;BB49:BB58)*1)+SUMPRODUCT($B$61:$B$68,(BA61:BA68&gt;BB61:BB68)*1)+SUMPRODUCT($B$71:$B$74,(BA71:BA74&gt;BB71:BB74)*1)+SUMPRODUCT($B$77:$B$78,(BA77:BA78&gt;BB77:BB78)*1)+SUMPRODUCT($B$99:$B$104,(BA99:BA104&gt;BB99:BB104)*1))*$B$20/52</f>
        <v>0</v>
      </c>
      <c r="BC83" s="353" t="n">
        <f aca="false">(SUMPRODUCT($B$49:$B$58,(BB49:BB58&gt;BC49:BC58)*1)+SUMPRODUCT($B$61:$B$68,(BB61:BB68&gt;BC61:BC68)*1)+SUMPRODUCT($B$71:$B$74,(BB71:BB74&gt;BC71:BC74)*1)+SUMPRODUCT($B$77:$B$78,(BB77:BB78&gt;BC77:BC78)*1)+SUMPRODUCT($B$99:$B$104,(BB99:BB104&gt;BC99:BC104)*1))*$B$20/52</f>
        <v>0</v>
      </c>
      <c r="BD83" s="353" t="n">
        <f aca="false">(SUMPRODUCT($B$49:$B$58,(BC49:BC58&gt;BD49:BD58)*1)+SUMPRODUCT($B$61:$B$68,(BC61:BC68&gt;BD61:BD68)*1)+SUMPRODUCT($B$71:$B$74,(BC71:BC74&gt;BD71:BD74)*1)+SUMPRODUCT($B$77:$B$78,(BC77:BC78&gt;BD77:BD78)*1)+SUMPRODUCT($B$99:$B$104,(BC99:BC104&gt;BD99:BD104)*1))*$B$20/52</f>
        <v>0</v>
      </c>
      <c r="BE83" s="353" t="n">
        <f aca="false">(SUMPRODUCT($B$49:$B$58,(BD49:BD58&gt;BE49:BE58)*1)+SUMPRODUCT($B$61:$B$68,(BD61:BD68&gt;BE61:BE68)*1)+SUMPRODUCT($B$71:$B$74,(BD71:BD74&gt;BE71:BE74)*1)+SUMPRODUCT($B$77:$B$78,(BD77:BD78&gt;BE77:BE78)*1)+SUMPRODUCT($B$99:$B$104,(BD99:BD104&gt;BE99:BE104)*1))*$B$20/52</f>
        <v>0</v>
      </c>
      <c r="BF83" s="353" t="n">
        <f aca="false">(SUMPRODUCT($B$49:$B$58,(BE49:BE58&gt;BF49:BF58)*1)+SUMPRODUCT($B$61:$B$68,(BE61:BE68&gt;BF61:BF68)*1)+SUMPRODUCT($B$71:$B$74,(BE71:BE74&gt;BF71:BF74)*1)+SUMPRODUCT($B$77:$B$78,(BE77:BE78&gt;BF77:BF78)*1)+SUMPRODUCT($B$99:$B$104,(BE99:BE104&gt;BF99:BF104)*1))*$B$20/52</f>
        <v>0</v>
      </c>
      <c r="BG83" s="353" t="n">
        <f aca="false">(SUMPRODUCT($B$49:$B$58,(BF49:BF58&gt;BG49:BG58)*1)+SUMPRODUCT($B$61:$B$68,(BF61:BF68&gt;BG61:BG68)*1)+SUMPRODUCT($B$71:$B$74,(BF71:BF74&gt;BG71:BG74)*1)+SUMPRODUCT($B$77:$B$78,(BF77:BF78&gt;BG77:BG78)*1)+SUMPRODUCT($B$99:$B$104,(BF99:BF104&gt;BG99:BG104)*1))*$B$20/52</f>
        <v>0</v>
      </c>
      <c r="BH83" s="353" t="n">
        <f aca="false">(SUMPRODUCT($B$49:$B$58,(BG49:BG58&gt;BH49:BH58)*1)+SUMPRODUCT($B$61:$B$68,(BG61:BG68&gt;BH61:BH68)*1)+SUMPRODUCT($B$71:$B$74,(BG71:BG74&gt;BH71:BH74)*1)+SUMPRODUCT($B$77:$B$78,(BG77:BG78&gt;BH77:BH78)*1)+SUMPRODUCT($B$99:$B$104,(BG99:BG104&gt;BH99:BH104)*1))*$B$20/52</f>
        <v>0</v>
      </c>
      <c r="BI83" s="353" t="n">
        <f aca="false">(SUMPRODUCT($B$49:$B$58,(BH49:BH58&gt;BI49:BI58)*1)+SUMPRODUCT($B$61:$B$68,(BH61:BH68&gt;BI61:BI68)*1)+SUMPRODUCT($B$71:$B$74,(BH71:BH74&gt;BI71:BI74)*1)+SUMPRODUCT($B$77:$B$78,(BH77:BH78&gt;BI77:BI78)*1)+SUMPRODUCT($B$99:$B$104,(BH99:BH104&gt;BI99:BI104)*1))*$B$20/52</f>
        <v>0</v>
      </c>
      <c r="BJ83" s="353" t="n">
        <f aca="false">(SUMPRODUCT($B$49:$B$58,(BI49:BI58&gt;BJ49:BJ58)*1)+SUMPRODUCT($B$61:$B$68,(BI61:BI68&gt;BJ61:BJ68)*1)+SUMPRODUCT($B$71:$B$74,(BI71:BI74&gt;BJ71:BJ74)*1)+SUMPRODUCT($B$77:$B$78,(BI77:BI78&gt;BJ77:BJ78)*1)+SUMPRODUCT($B$99:$B$104,(BI99:BI104&gt;BJ99:BJ104)*1))*$B$20/52</f>
        <v>0</v>
      </c>
      <c r="BK83" s="353" t="n">
        <f aca="false">(SUMPRODUCT($B$49:$B$58,(BJ49:BJ58&gt;BK49:BK58)*1)+SUMPRODUCT($B$61:$B$68,(BJ61:BJ68&gt;BK61:BK68)*1)+SUMPRODUCT($B$71:$B$74,(BJ71:BJ74&gt;BK71:BK74)*1)+SUMPRODUCT($B$77:$B$78,(BJ77:BJ78&gt;BK77:BK78)*1)+SUMPRODUCT($B$99:$B$104,(BJ99:BJ104&gt;BK99:BK104)*1))*$B$20/52</f>
        <v>0</v>
      </c>
      <c r="BL83" s="353" t="n">
        <f aca="false">(SUMPRODUCT($B$49:$B$58,(BK49:BK58&gt;BL49:BL58)*1)+SUMPRODUCT($B$61:$B$68,(BK61:BK68&gt;BL61:BL68)*1)+SUMPRODUCT($B$71:$B$74,(BK71:BK74&gt;BL71:BL74)*1)+SUMPRODUCT($B$77:$B$78,(BK77:BK78&gt;BL77:BL78)*1)+SUMPRODUCT($B$99:$B$104,(BK99:BK104&gt;BL99:BL104)*1))*$B$20/52</f>
        <v>0</v>
      </c>
      <c r="BM83" s="353" t="n">
        <f aca="false">(SUMPRODUCT($B$49:$B$58,(BL49:BL58&gt;BM49:BM58)*1)+SUMPRODUCT($B$61:$B$68,(BL61:BL68&gt;BM61:BM68)*1)+SUMPRODUCT($B$71:$B$74,(BL71:BL74&gt;BM71:BM74)*1)+SUMPRODUCT($B$77:$B$78,(BL77:BL78&gt;BM77:BM78)*1)+SUMPRODUCT($B$99:$B$104,(BL99:BL104&gt;BM99:BM104)*1))*$B$20/52</f>
        <v>0</v>
      </c>
      <c r="BN83" s="353" t="n">
        <f aca="false">(SUMPRODUCT($B$49:$B$58,(BM49:BM58&gt;BN49:BN58)*1)+SUMPRODUCT($B$61:$B$68,(BM61:BM68&gt;BN61:BN68)*1)+SUMPRODUCT($B$71:$B$74,(BM71:BM74&gt;BN71:BN74)*1)+SUMPRODUCT($B$77:$B$78,(BM77:BM78&gt;BN77:BN78)*1)+SUMPRODUCT($B$99:$B$104,(BM99:BM104&gt;BN99:BN104)*1))*$B$20/52</f>
        <v>0</v>
      </c>
      <c r="BO83" s="353" t="n">
        <f aca="false">(SUMPRODUCT($B$49:$B$58,(BN49:BN58&gt;BO49:BO58)*1)+SUMPRODUCT($B$61:$B$68,(BN61:BN68&gt;BO61:BO68)*1)+SUMPRODUCT($B$71:$B$74,(BN71:BN74&gt;BO71:BO74)*1)+SUMPRODUCT($B$77:$B$78,(BN77:BN78&gt;BO77:BO78)*1)+SUMPRODUCT($B$99:$B$104,(BN99:BN104&gt;BO99:BO104)*1))*$B$20/52</f>
        <v>0</v>
      </c>
      <c r="BP83" s="353" t="n">
        <f aca="false">(SUMPRODUCT($B$49:$B$58,(BO49:BO58&gt;BP49:BP58)*1)+SUMPRODUCT($B$61:$B$68,(BO61:BO68&gt;BP61:BP68)*1)+SUMPRODUCT($B$71:$B$74,(BO71:BO74&gt;BP71:BP74)*1)+SUMPRODUCT($B$77:$B$78,(BO77:BO78&gt;BP77:BP78)*1)+SUMPRODUCT($B$99:$B$104,(BO99:BO104&gt;BP99:BP104)*1))*$B$20/52</f>
        <v>0</v>
      </c>
      <c r="BQ83" s="353" t="n">
        <f aca="false">(SUMPRODUCT($B$49:$B$58,(BP49:BP58&gt;BQ49:BQ58)*1)+SUMPRODUCT($B$61:$B$68,(BP61:BP68&gt;BQ61:BQ68)*1)+SUMPRODUCT($B$71:$B$74,(BP71:BP74&gt;BQ71:BQ74)*1)+SUMPRODUCT($B$77:$B$78,(BP77:BP78&gt;BQ77:BQ78)*1)+SUMPRODUCT($B$99:$B$104,(BP99:BP104&gt;BQ99:BQ104)*1))*$B$20/52</f>
        <v>0</v>
      </c>
      <c r="BR83" s="353" t="n">
        <f aca="false">(SUMPRODUCT($B$49:$B$58,(BQ49:BQ58&gt;BR49:BR58)*1)+SUMPRODUCT($B$61:$B$68,(BQ61:BQ68&gt;BR61:BR68)*1)+SUMPRODUCT($B$71:$B$74,(BQ71:BQ74&gt;BR71:BR74)*1)+SUMPRODUCT($B$77:$B$78,(BQ77:BQ78&gt;BR77:BR78)*1)+SUMPRODUCT($B$99:$B$104,(BQ99:BQ104&gt;BR99:BR104)*1))*$B$20/52</f>
        <v>0</v>
      </c>
      <c r="BS83" s="353" t="n">
        <f aca="false">(SUMPRODUCT($B$49:$B$58,(BR49:BR58&gt;BS49:BS58)*1)+SUMPRODUCT($B$61:$B$68,(BR61:BR68&gt;BS61:BS68)*1)+SUMPRODUCT($B$71:$B$74,(BR71:BR74&gt;BS71:BS74)*1)+SUMPRODUCT($B$77:$B$78,(BR77:BR78&gt;BS77:BS78)*1)+SUMPRODUCT($B$99:$B$104,(BR99:BR104&gt;BS99:BS104)*1))*$B$20/52</f>
        <v>0</v>
      </c>
      <c r="BT83" s="353" t="n">
        <f aca="false">(SUMPRODUCT($B$49:$B$58,(BS49:BS58&gt;BT49:BT58)*1)+SUMPRODUCT($B$61:$B$68,(BS61:BS68&gt;BT61:BT68)*1)+SUMPRODUCT($B$71:$B$74,(BS71:BS74&gt;BT71:BT74)*1)+SUMPRODUCT($B$77:$B$78,(BS77:BS78&gt;BT77:BT78)*1)+SUMPRODUCT($B$99:$B$104,(BS99:BS104&gt;BT99:BT104)*1))*$B$20/52</f>
        <v>0</v>
      </c>
      <c r="BU83" s="353" t="n">
        <f aca="false">(SUMPRODUCT($B$49:$B$58,(BT49:BT58&gt;BU49:BU58)*1)+SUMPRODUCT($B$61:$B$68,(BT61:BT68&gt;BU61:BU68)*1)+SUMPRODUCT($B$71:$B$74,(BT71:BT74&gt;BU71:BU74)*1)+SUMPRODUCT($B$77:$B$78,(BT77:BT78&gt;BU77:BU78)*1)+SUMPRODUCT($B$99:$B$104,(BT99:BT104&gt;BU99:BU104)*1))*$B$20/52</f>
        <v>0</v>
      </c>
      <c r="BV83" s="353" t="n">
        <f aca="false">(SUMPRODUCT($B$49:$B$58,(BU49:BU58&gt;BV49:BV58)*1)+SUMPRODUCT($B$61:$B$68,(BU61:BU68&gt;BV61:BV68)*1)+SUMPRODUCT($B$71:$B$74,(BU71:BU74&gt;BV71:BV74)*1)+SUMPRODUCT($B$77:$B$78,(BU77:BU78&gt;BV77:BV78)*1)+SUMPRODUCT($B$99:$B$104,(BU99:BU104&gt;BV99:BV104)*1))*$B$20/52</f>
        <v>0</v>
      </c>
      <c r="BW83" s="353" t="n">
        <f aca="false">(SUMPRODUCT($B$49:$B$58,(BV49:BV58&gt;BW49:BW58)*1)+SUMPRODUCT($B$61:$B$68,(BV61:BV68&gt;BW61:BW68)*1)+SUMPRODUCT($B$71:$B$74,(BV71:BV74&gt;BW71:BW74)*1)+SUMPRODUCT($B$77:$B$78,(BV77:BV78&gt;BW77:BW78)*1)+SUMPRODUCT($B$99:$B$104,(BV99:BV104&gt;BW99:BW104)*1))*$B$20/52</f>
        <v>0</v>
      </c>
      <c r="BX83" s="353" t="n">
        <f aca="false">(SUMPRODUCT($B$49:$B$58,(BW49:BW58&gt;BX49:BX58)*1)+SUMPRODUCT($B$61:$B$68,(BW61:BW68&gt;BX61:BX68)*1)+SUMPRODUCT($B$71:$B$74,(BW71:BW74&gt;BX71:BX74)*1)+SUMPRODUCT($B$77:$B$78,(BW77:BW78&gt;BX77:BX78)*1)+SUMPRODUCT($B$99:$B$104,(BW99:BW104&gt;BX99:BX104)*1))*$B$20/52</f>
        <v>0</v>
      </c>
      <c r="BY83" s="353" t="n">
        <f aca="false">(SUMPRODUCT($B$49:$B$58,(BX49:BX58&gt;BY49:BY58)*1)+SUMPRODUCT($B$61:$B$68,(BX61:BX68&gt;BY61:BY68)*1)+SUMPRODUCT($B$71:$B$74,(BX71:BX74&gt;BY71:BY74)*1)+SUMPRODUCT($B$77:$B$78,(BX77:BX78&gt;BY77:BY78)*1)+SUMPRODUCT($B$99:$B$104,(BX99:BX104&gt;BY99:BY104)*1))*$B$20/52</f>
        <v>0</v>
      </c>
      <c r="BZ83" s="353" t="n">
        <f aca="false">(SUMPRODUCT($B$49:$B$58,(BY49:BY58&gt;BZ49:BZ58)*1)+SUMPRODUCT($B$61:$B$68,(BY61:BY68&gt;BZ61:BZ68)*1)+SUMPRODUCT($B$71:$B$74,(BY71:BY74&gt;BZ71:BZ74)*1)+SUMPRODUCT($B$77:$B$78,(BY77:BY78&gt;BZ77:BZ78)*1)+SUMPRODUCT($B$99:$B$104,(BY99:BY104&gt;BZ99:BZ104)*1))*$B$20/52</f>
        <v>0</v>
      </c>
      <c r="CA83" s="353" t="n">
        <f aca="false">(SUMPRODUCT($B$49:$B$58,(BZ49:BZ58&gt;CA49:CA58)*1)+SUMPRODUCT($B$61:$B$68,(BZ61:BZ68&gt;CA61:CA68)*1)+SUMPRODUCT($B$71:$B$74,(BZ71:BZ74&gt;CA71:CA74)*1)+SUMPRODUCT($B$77:$B$78,(BZ77:BZ78&gt;CA77:CA78)*1)+SUMPRODUCT($B$99:$B$104,(BZ99:BZ104&gt;CA99:CA104)*1))*$B$20/52</f>
        <v>0</v>
      </c>
      <c r="CB83" s="353" t="n">
        <f aca="false">(SUMPRODUCT($B$49:$B$58,(CA49:CA58&gt;CB49:CB58)*1)+SUMPRODUCT($B$61:$B$68,(CA61:CA68&gt;CB61:CB68)*1)+SUMPRODUCT($B$71:$B$74,(CA71:CA74&gt;CB71:CB74)*1)+SUMPRODUCT($B$77:$B$78,(CA77:CA78&gt;CB77:CB78)*1)+SUMPRODUCT($B$99:$B$104,(CA99:CA104&gt;CB99:CB104)*1))*$B$20/52</f>
        <v>0</v>
      </c>
      <c r="CC83" s="353" t="n">
        <f aca="false">(SUMPRODUCT($B$49:$B$58,(CB49:CB58&gt;CC49:CC58)*1)+SUMPRODUCT($B$61:$B$68,(CB61:CB68&gt;CC61:CC68)*1)+SUMPRODUCT($B$71:$B$74,(CB71:CB74&gt;CC71:CC74)*1)+SUMPRODUCT($B$77:$B$78,(CB77:CB78&gt;CC77:CC78)*1)+SUMPRODUCT($B$99:$B$104,(CB99:CB104&gt;CC99:CC104)*1))*$B$20/52</f>
        <v>0</v>
      </c>
      <c r="CD83" s="353" t="n">
        <f aca="false">(SUMPRODUCT($B$49:$B$58,(CC49:CC58&gt;CD49:CD58)*1)+SUMPRODUCT($B$61:$B$68,(CC61:CC68&gt;CD61:CD68)*1)+SUMPRODUCT($B$71:$B$74,(CC71:CC74&gt;CD71:CD74)*1)+SUMPRODUCT($B$77:$B$78,(CC77:CC78&gt;CD77:CD78)*1)+SUMPRODUCT($B$99:$B$104,(CC99:CC104&gt;CD99:CD104)*1))*$B$20/52</f>
        <v>0</v>
      </c>
      <c r="CE83" s="353" t="n">
        <f aca="false">(SUMPRODUCT($B$49:$B$58,(CD49:CD58&gt;CE49:CE58)*1)+SUMPRODUCT($B$61:$B$68,(CD61:CD68&gt;CE61:CE68)*1)+SUMPRODUCT($B$71:$B$74,(CD71:CD74&gt;CE71:CE74)*1)+SUMPRODUCT($B$77:$B$78,(CD77:CD78&gt;CE77:CE78)*1)+SUMPRODUCT($B$99:$B$104,(CD99:CD104&gt;CE99:CE104)*1))*$B$20/52</f>
        <v>0</v>
      </c>
      <c r="CF83" s="353" t="n">
        <f aca="false">(SUMPRODUCT($B$49:$B$58,(CE49:CE58&gt;CF49:CF58)*1)+SUMPRODUCT($B$61:$B$68,(CE61:CE68&gt;CF61:CF68)*1)+SUMPRODUCT($B$71:$B$74,(CE71:CE74&gt;CF71:CF74)*1)+SUMPRODUCT($B$77:$B$78,(CE77:CE78&gt;CF77:CF78)*1)+SUMPRODUCT($B$99:$B$104,(CE99:CE104&gt;CF99:CF104)*1))*$B$20/52</f>
        <v>0</v>
      </c>
      <c r="CG83" s="353" t="n">
        <f aca="false">(SUMPRODUCT($B$49:$B$58,(CF49:CF58&gt;CG49:CG58)*1)+SUMPRODUCT($B$61:$B$68,(CF61:CF68&gt;CG61:CG68)*1)+SUMPRODUCT($B$71:$B$74,(CF71:CF74&gt;CG71:CG74)*1)+SUMPRODUCT($B$77:$B$78,(CF77:CF78&gt;CG77:CG78)*1)+SUMPRODUCT($B$99:$B$104,(CF99:CF104&gt;CG99:CG104)*1))*$B$20/52</f>
        <v>0</v>
      </c>
      <c r="CH83" s="353" t="n">
        <f aca="false">(SUMPRODUCT($B$49:$B$58,(CG49:CG58&gt;CH49:CH58)*1)+SUMPRODUCT($B$61:$B$68,(CG61:CG68&gt;CH61:CH68)*1)+SUMPRODUCT($B$71:$B$74,(CG71:CG74&gt;CH71:CH74)*1)+SUMPRODUCT($B$77:$B$78,(CG77:CG78&gt;CH77:CH78)*1)+SUMPRODUCT($B$99:$B$104,(CG99:CG104&gt;CH99:CH104)*1))*$B$20/52</f>
        <v>0</v>
      </c>
      <c r="CI83" s="353" t="n">
        <f aca="false">(SUMPRODUCT($B$49:$B$58,(CH49:CH58&gt;CI49:CI58)*1)+SUMPRODUCT($B$61:$B$68,(CH61:CH68&gt;CI61:CI68)*1)+SUMPRODUCT($B$71:$B$74,(CH71:CH74&gt;CI71:CI74)*1)+SUMPRODUCT($B$77:$B$78,(CH77:CH78&gt;CI77:CI78)*1)+SUMPRODUCT($B$99:$B$104,(CH99:CH104&gt;CI99:CI104)*1))*$B$20/52</f>
        <v>0</v>
      </c>
      <c r="CJ83" s="353" t="n">
        <f aca="false">(SUMPRODUCT($B$49:$B$58,(CI49:CI58&gt;CJ49:CJ58)*1)+SUMPRODUCT($B$61:$B$68,(CI61:CI68&gt;CJ61:CJ68)*1)+SUMPRODUCT($B$71:$B$74,(CI71:CI74&gt;CJ71:CJ74)*1)+SUMPRODUCT($B$77:$B$78,(CI77:CI78&gt;CJ77:CJ78)*1)+SUMPRODUCT($B$99:$B$104,(CI99:CI104&gt;CJ99:CJ104)*1))*$B$20/52</f>
        <v>0</v>
      </c>
      <c r="CK83" s="353" t="n">
        <f aca="false">(SUMPRODUCT($B$49:$B$58,(CJ49:CJ58&gt;CK49:CK58)*1)+SUMPRODUCT($B$61:$B$68,(CJ61:CJ68&gt;CK61:CK68)*1)+SUMPRODUCT($B$71:$B$74,(CJ71:CJ74&gt;CK71:CK74)*1)+SUMPRODUCT($B$77:$B$78,(CJ77:CJ78&gt;CK77:CK78)*1)+SUMPRODUCT($B$99:$B$104,(CJ99:CJ104&gt;CK99:CK104)*1))*$B$20/52</f>
        <v>0</v>
      </c>
      <c r="CL83" s="353" t="n">
        <f aca="false">(SUMPRODUCT($B$49:$B$58,(CK49:CK58&gt;CL49:CL58)*1)+SUMPRODUCT($B$61:$B$68,(CK61:CK68&gt;CL61:CL68)*1)+SUMPRODUCT($B$71:$B$74,(CK71:CK74&gt;CL71:CL74)*1)+SUMPRODUCT($B$77:$B$78,(CK77:CK78&gt;CL77:CL78)*1)+SUMPRODUCT($B$99:$B$104,(CK99:CK104&gt;CL99:CL104)*1))*$B$20/52</f>
        <v>0</v>
      </c>
      <c r="CM83" s="353" t="n">
        <f aca="false">(SUMPRODUCT($B$49:$B$58,(CL49:CL58&gt;CM49:CM58)*1)+SUMPRODUCT($B$61:$B$68,(CL61:CL68&gt;CM61:CM68)*1)+SUMPRODUCT($B$71:$B$74,(CL71:CL74&gt;CM71:CM74)*1)+SUMPRODUCT($B$77:$B$78,(CL77:CL78&gt;CM77:CM78)*1)+SUMPRODUCT($B$99:$B$104,(CL99:CL104&gt;CM99:CM104)*1))*$B$20/52</f>
        <v>0</v>
      </c>
      <c r="CN83" s="353" t="n">
        <f aca="false">(SUMPRODUCT($B$49:$B$58,(CM49:CM58&gt;CN49:CN58)*1)+SUMPRODUCT($B$61:$B$68,(CM61:CM68&gt;CN61:CN68)*1)+SUMPRODUCT($B$71:$B$74,(CM71:CM74&gt;CN71:CN74)*1)+SUMPRODUCT($B$77:$B$78,(CM77:CM78&gt;CN77:CN78)*1)+SUMPRODUCT($B$99:$B$104,(CM99:CM104&gt;CN99:CN104)*1))*$B$20/52</f>
        <v>0</v>
      </c>
      <c r="CO83" s="353" t="n">
        <f aca="false">(SUMPRODUCT($B$49:$B$58,(CN49:CN58&gt;CO49:CO58)*1)+SUMPRODUCT($B$61:$B$68,(CN61:CN68&gt;CO61:CO68)*1)+SUMPRODUCT($B$71:$B$74,(CN71:CN74&gt;CO71:CO74)*1)+SUMPRODUCT($B$77:$B$78,(CN77:CN78&gt;CO77:CO78)*1)+SUMPRODUCT($B$99:$B$104,(CN99:CN104&gt;CO99:CO104)*1))*$B$20/52</f>
        <v>0</v>
      </c>
      <c r="CP83" s="353" t="n">
        <f aca="false">(SUMPRODUCT($B$49:$B$58,(CO49:CO58&gt;CP49:CP58)*1)+SUMPRODUCT($B$61:$B$68,(CO61:CO68&gt;CP61:CP68)*1)+SUMPRODUCT($B$71:$B$74,(CO71:CO74&gt;CP71:CP74)*1)+SUMPRODUCT($B$77:$B$78,(CO77:CO78&gt;CP77:CP78)*1)+SUMPRODUCT($B$99:$B$104,(CO99:CO104&gt;CP99:CP104)*1))*$B$20/52</f>
        <v>0</v>
      </c>
      <c r="CQ83" s="353" t="n">
        <f aca="false">(SUMPRODUCT($B$49:$B$58,(CP49:CP58&gt;CQ49:CQ58)*1)+SUMPRODUCT($B$61:$B$68,(CP61:CP68&gt;CQ61:CQ68)*1)+SUMPRODUCT($B$71:$B$74,(CP71:CP74&gt;CQ71:CQ74)*1)+SUMPRODUCT($B$77:$B$78,(CP77:CP78&gt;CQ77:CQ78)*1)+SUMPRODUCT($B$99:$B$104,(CP99:CP104&gt;CQ99:CQ104)*1))*$B$20/52</f>
        <v>0</v>
      </c>
      <c r="CR83" s="353" t="n">
        <f aca="false">(SUMPRODUCT($B$49:$B$58,(CQ49:CQ58&gt;CR49:CR58)*1)+SUMPRODUCT($B$61:$B$68,(CQ61:CQ68&gt;CR61:CR68)*1)+SUMPRODUCT($B$71:$B$74,(CQ71:CQ74&gt;CR71:CR74)*1)+SUMPRODUCT($B$77:$B$78,(CQ77:CQ78&gt;CR77:CR78)*1)+SUMPRODUCT($B$99:$B$104,(CQ99:CQ104&gt;CR99:CR104)*1))*$B$20/52</f>
        <v>0</v>
      </c>
      <c r="CS83" s="353" t="n">
        <f aca="false">(SUMPRODUCT($B$49:$B$58,(CR49:CR58&gt;CS49:CS58)*1)+SUMPRODUCT($B$61:$B$68,(CR61:CR68&gt;CS61:CS68)*1)+SUMPRODUCT($B$71:$B$74,(CR71:CR74&gt;CS71:CS74)*1)+SUMPRODUCT($B$77:$B$78,(CR77:CR78&gt;CS77:CS78)*1)+SUMPRODUCT($B$99:$B$104,(CR99:CR104&gt;CS99:CS104)*1))*$B$20/52</f>
        <v>0</v>
      </c>
      <c r="CT83" s="353" t="n">
        <f aca="false">(SUMPRODUCT($B$49:$B$58,(CS49:CS58&gt;CT49:CT58)*1)+SUMPRODUCT($B$61:$B$68,(CS61:CS68&gt;CT61:CT68)*1)+SUMPRODUCT($B$71:$B$74,(CS71:CS74&gt;CT71:CT74)*1)+SUMPRODUCT($B$77:$B$78,(CS77:CS78&gt;CT77:CT78)*1)+SUMPRODUCT($B$99:$B$104,(CS99:CS104&gt;CT99:CT104)*1))*$B$20/52</f>
        <v>0</v>
      </c>
      <c r="CU83" s="353" t="n">
        <f aca="false">(SUMPRODUCT($B$49:$B$58,(CT49:CT58&gt;CU49:CU58)*1)+SUMPRODUCT($B$61:$B$68,(CT61:CT68&gt;CU61:CU68)*1)+SUMPRODUCT($B$71:$B$74,(CT71:CT74&gt;CU71:CU74)*1)+SUMPRODUCT($B$77:$B$78,(CT77:CT78&gt;CU77:CU78)*1)+SUMPRODUCT($B$99:$B$104,(CT99:CT104&gt;CU99:CU104)*1))*$B$20/52</f>
        <v>0</v>
      </c>
      <c r="CV83" s="353" t="n">
        <f aca="false">(SUMPRODUCT($B$49:$B$58,(CU49:CU58&gt;CV49:CV58)*1)+SUMPRODUCT($B$61:$B$68,(CU61:CU68&gt;CV61:CV68)*1)+SUMPRODUCT($B$71:$B$74,(CU71:CU74&gt;CV71:CV74)*1)+SUMPRODUCT($B$77:$B$78,(CU77:CU78&gt;CV77:CV78)*1)+SUMPRODUCT($B$99:$B$104,(CU99:CU104&gt;CV99:CV104)*1))*$B$20/52</f>
        <v>0</v>
      </c>
      <c r="CW83" s="353" t="n">
        <f aca="false">(SUMPRODUCT($B$49:$B$58,(CV49:CV58&gt;CW49:CW58)*1)+SUMPRODUCT($B$61:$B$68,(CV61:CV68&gt;CW61:CW68)*1)+SUMPRODUCT($B$71:$B$74,(CV71:CV74&gt;CW71:CW74)*1)+SUMPRODUCT($B$77:$B$78,(CV77:CV78&gt;CW77:CW78)*1)+SUMPRODUCT($B$99:$B$104,(CV99:CV104&gt;CW99:CW104)*1))*$B$20/52</f>
        <v>0</v>
      </c>
      <c r="CX83" s="353" t="n">
        <f aca="false">(SUMPRODUCT($B$49:$B$58,(CW49:CW58&gt;CX49:CX58)*1)+SUMPRODUCT($B$61:$B$68,(CW61:CW68&gt;CX61:CX68)*1)+SUMPRODUCT($B$71:$B$74,(CW71:CW74&gt;CX71:CX74)*1)+SUMPRODUCT($B$77:$B$78,(CW77:CW78&gt;CX77:CX78)*1)+SUMPRODUCT($B$99:$B$104,(CW99:CW104&gt;CX99:CX104)*1))*$B$20/52</f>
        <v>0</v>
      </c>
      <c r="CY83" s="353" t="n">
        <f aca="false">(SUMPRODUCT($B$49:$B$58,(CX49:CX58&gt;CY49:CY58)*1)+SUMPRODUCT($B$61:$B$68,(CX61:CX68&gt;CY61:CY68)*1)+SUMPRODUCT($B$71:$B$74,(CX71:CX74&gt;CY71:CY74)*1)+SUMPRODUCT($B$77:$B$78,(CX77:CX78&gt;CY77:CY78)*1)+SUMPRODUCT($B$99:$B$104,(CX99:CX104&gt;CY99:CY104)*1))*$B$20/52</f>
        <v>0</v>
      </c>
      <c r="CZ83" s="353" t="n">
        <f aca="false">(SUMPRODUCT($B$49:$B$58,(CY49:CY58&gt;CZ49:CZ58)*1)+SUMPRODUCT($B$61:$B$68,(CY61:CY68&gt;CZ61:CZ68)*1)+SUMPRODUCT($B$71:$B$74,(CY71:CY74&gt;CZ71:CZ74)*1)+SUMPRODUCT($B$77:$B$78,(CY77:CY78&gt;CZ77:CZ78)*1)+SUMPRODUCT($B$99:$B$104,(CY99:CY104&gt;CZ99:CZ104)*1))*$B$20/52</f>
        <v>0</v>
      </c>
      <c r="DA83" s="353" t="n">
        <f aca="false">(SUMPRODUCT($B$49:$B$58,(CZ49:CZ58&gt;DA49:DA58)*1)+SUMPRODUCT($B$61:$B$68,(CZ61:CZ68&gt;DA61:DA68)*1)+SUMPRODUCT($B$71:$B$74,(CZ71:CZ74&gt;DA71:DA74)*1)+SUMPRODUCT($B$77:$B$78,(CZ77:CZ78&gt;DA77:DA78)*1)+SUMPRODUCT($B$99:$B$104,(CZ99:CZ104&gt;DA99:DA104)*1))*$B$20/52</f>
        <v>0</v>
      </c>
      <c r="DB83" s="353" t="n">
        <f aca="false">(SUMPRODUCT($B$49:$B$58,(DA49:DA58&gt;DB49:DB58)*1)+SUMPRODUCT($B$61:$B$68,(DA61:DA68&gt;DB61:DB68)*1)+SUMPRODUCT($B$71:$B$74,(DA71:DA74&gt;DB71:DB74)*1)+SUMPRODUCT($B$77:$B$78,(DA77:DA78&gt;DB77:DB78)*1)+SUMPRODUCT($B$99:$B$104,(DA99:DA104&gt;DB99:DB104)*1))*$B$20/52</f>
        <v>0</v>
      </c>
      <c r="DC83" s="353" t="n">
        <f aca="false">(SUMPRODUCT($B$49:$B$58,(DB49:DB58&gt;DC49:DC58)*1)+SUMPRODUCT($B$61:$B$68,(DB61:DB68&gt;DC61:DC68)*1)+SUMPRODUCT($B$71:$B$74,(DB71:DB74&gt;DC71:DC74)*1)+SUMPRODUCT($B$77:$B$78,(DB77:DB78&gt;DC77:DC78)*1)+SUMPRODUCT($B$99:$B$104,(DB99:DB104&gt;DC99:DC104)*1))*$B$20/52</f>
        <v>0</v>
      </c>
      <c r="DD83" s="353" t="n">
        <f aca="false">(SUMPRODUCT($B$49:$B$58,(DC49:DC58&gt;DD49:DD58)*1)+SUMPRODUCT($B$61:$B$68,(DC61:DC68&gt;DD61:DD68)*1)+SUMPRODUCT($B$71:$B$74,(DC71:DC74&gt;DD71:DD74)*1)+SUMPRODUCT($B$77:$B$78,(DC77:DC78&gt;DD77:DD78)*1)+SUMPRODUCT($B$99:$B$104,(DC99:DC104&gt;DD99:DD104)*1))*$B$20/52</f>
        <v>0</v>
      </c>
      <c r="DE83" s="353"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1206</v>
      </c>
      <c r="E84" s="353" t="n">
        <f aca="false">E82+E83</f>
        <v>0</v>
      </c>
      <c r="F84" s="353" t="n">
        <f aca="false">F82+F83</f>
        <v>0</v>
      </c>
      <c r="G84" s="353" t="n">
        <f aca="false">G82+G83</f>
        <v>0</v>
      </c>
      <c r="H84" s="353" t="n">
        <f aca="false">H82+H83</f>
        <v>0</v>
      </c>
      <c r="I84" s="353" t="n">
        <f aca="false">I82+I83</f>
        <v>9750</v>
      </c>
      <c r="J84" s="353" t="n">
        <f aca="false">J82+J83</f>
        <v>10000</v>
      </c>
      <c r="K84" s="353" t="n">
        <f aca="false">K82+K83</f>
        <v>0</v>
      </c>
      <c r="L84" s="353" t="n">
        <f aca="false">L82+L83</f>
        <v>0</v>
      </c>
      <c r="M84" s="353" t="n">
        <f aca="false">M82+M83</f>
        <v>43125</v>
      </c>
      <c r="N84" s="353" t="n">
        <f aca="false">N82+N83</f>
        <v>0</v>
      </c>
      <c r="O84" s="353" t="n">
        <f aca="false">O82+O83</f>
        <v>40875</v>
      </c>
      <c r="P84" s="353" t="n">
        <f aca="false">P82+P83</f>
        <v>0</v>
      </c>
      <c r="Q84" s="353" t="n">
        <f aca="false">Q82+Q83</f>
        <v>12000</v>
      </c>
      <c r="R84" s="353" t="n">
        <f aca="false">R82+R83</f>
        <v>27375</v>
      </c>
      <c r="S84" s="353" t="n">
        <f aca="false">S82+S83</f>
        <v>19125</v>
      </c>
      <c r="T84" s="353" t="n">
        <f aca="false">T82+T83</f>
        <v>0</v>
      </c>
      <c r="U84" s="353" t="n">
        <f aca="false">U82+U83</f>
        <v>0</v>
      </c>
      <c r="V84" s="353" t="n">
        <f aca="false">V82+V83</f>
        <v>0</v>
      </c>
      <c r="W84" s="353" t="n">
        <f aca="false">W82+W83</f>
        <v>0</v>
      </c>
      <c r="X84" s="353" t="n">
        <f aca="false">X82+X83</f>
        <v>0</v>
      </c>
      <c r="Y84" s="353" t="n">
        <f aca="false">Y82+Y83</f>
        <v>0</v>
      </c>
      <c r="Z84" s="353" t="n">
        <f aca="false">Z82+Z83</f>
        <v>0</v>
      </c>
      <c r="AA84" s="353" t="n">
        <f aca="false">AA82+AA83</f>
        <v>0</v>
      </c>
      <c r="AB84" s="353" t="n">
        <f aca="false">AB82+AB83</f>
        <v>0</v>
      </c>
      <c r="AC84" s="353" t="n">
        <f aca="false">AC82+AC83</f>
        <v>15769.2307692308</v>
      </c>
      <c r="AD84" s="353" t="n">
        <f aca="false">AD82+AD83</f>
        <v>22307.6923076923</v>
      </c>
      <c r="AE84" s="353" t="n">
        <f aca="false">AE82+AE83</f>
        <v>0</v>
      </c>
      <c r="AF84" s="353" t="n">
        <f aca="false">AF82+AF83</f>
        <v>0</v>
      </c>
      <c r="AG84" s="353" t="n">
        <f aca="false">AG82+AG83</f>
        <v>0</v>
      </c>
      <c r="AH84" s="353" t="n">
        <f aca="false">AH82+AH83</f>
        <v>12307.6923076923</v>
      </c>
      <c r="AI84" s="353" t="n">
        <f aca="false">AI82+AI83</f>
        <v>13846.1538461538</v>
      </c>
      <c r="AJ84" s="353" t="n">
        <f aca="false">AJ82+AJ83</f>
        <v>0</v>
      </c>
      <c r="AK84" s="353" t="n">
        <f aca="false">AK82+AK83</f>
        <v>0</v>
      </c>
      <c r="AL84" s="353" t="n">
        <f aca="false">AL82+AL83</f>
        <v>6153.84615384615</v>
      </c>
      <c r="AM84" s="353" t="n">
        <f aca="false">AM82+AM83</f>
        <v>34230.7692307692</v>
      </c>
      <c r="AN84" s="353" t="n">
        <f aca="false">AN82+AN83</f>
        <v>12307.6923076923</v>
      </c>
      <c r="AO84" s="353" t="n">
        <f aca="false">AO82+AO83</f>
        <v>19615.3846153846</v>
      </c>
      <c r="AP84" s="353" t="n">
        <f aca="false">AP82+AP83</f>
        <v>0</v>
      </c>
      <c r="AQ84" s="353" t="n">
        <f aca="false">AQ82+AQ83</f>
        <v>9615.38461538462</v>
      </c>
      <c r="AR84" s="353" t="n">
        <f aca="false">AR82+AR83</f>
        <v>0</v>
      </c>
      <c r="AS84" s="353" t="n">
        <f aca="false">AS82+AS83</f>
        <v>0</v>
      </c>
      <c r="AT84" s="353" t="n">
        <f aca="false">AT82+AT83</f>
        <v>0</v>
      </c>
      <c r="AU84" s="353" t="n">
        <f aca="false">AU82+AU83</f>
        <v>0</v>
      </c>
      <c r="AV84" s="353" t="n">
        <f aca="false">AV82+AV83</f>
        <v>0</v>
      </c>
      <c r="AW84" s="353" t="n">
        <f aca="false">AW82+AW83</f>
        <v>0</v>
      </c>
      <c r="AX84" s="353" t="n">
        <f aca="false">AX82+AX83</f>
        <v>0</v>
      </c>
      <c r="AY84" s="353" t="n">
        <f aca="false">AY82+AY83</f>
        <v>0</v>
      </c>
      <c r="AZ84" s="353" t="n">
        <f aca="false">AZ82+AZ83</f>
        <v>0</v>
      </c>
      <c r="BA84" s="353" t="n">
        <f aca="false">BA82+BA83</f>
        <v>0</v>
      </c>
      <c r="BB84" s="353" t="n">
        <f aca="false">BB82+BB83</f>
        <v>0</v>
      </c>
      <c r="BC84" s="353" t="n">
        <f aca="false">BC82+BC83</f>
        <v>0</v>
      </c>
      <c r="BD84" s="353" t="n">
        <f aca="false">BD82+BD83</f>
        <v>0</v>
      </c>
      <c r="BE84" s="353" t="n">
        <f aca="false">BE82+BE83</f>
        <v>0</v>
      </c>
      <c r="BF84" s="353" t="n">
        <f aca="false">BF82+BF83</f>
        <v>0</v>
      </c>
      <c r="BG84" s="353" t="n">
        <f aca="false">BG82+BG83</f>
        <v>0</v>
      </c>
      <c r="BH84" s="353" t="n">
        <f aca="false">BH82+BH83</f>
        <v>0</v>
      </c>
      <c r="BI84" s="353" t="n">
        <f aca="false">BI82+BI83</f>
        <v>0</v>
      </c>
      <c r="BJ84" s="353" t="n">
        <f aca="false">BJ82+BJ83</f>
        <v>0</v>
      </c>
      <c r="BK84" s="353" t="n">
        <f aca="false">BK82+BK83</f>
        <v>0</v>
      </c>
      <c r="BL84" s="353" t="n">
        <f aca="false">BL82+BL83</f>
        <v>0</v>
      </c>
      <c r="BM84" s="353" t="n">
        <f aca="false">BM82+BM83</f>
        <v>0</v>
      </c>
      <c r="BN84" s="353" t="n">
        <f aca="false">BN82+BN83</f>
        <v>0</v>
      </c>
      <c r="BO84" s="353" t="n">
        <f aca="false">BO82+BO83</f>
        <v>0</v>
      </c>
      <c r="BP84" s="353" t="n">
        <f aca="false">BP82+BP83</f>
        <v>0</v>
      </c>
      <c r="BQ84" s="353" t="n">
        <f aca="false">BQ82+BQ83</f>
        <v>0</v>
      </c>
      <c r="BR84" s="353" t="n">
        <f aca="false">BR82+BR83</f>
        <v>0</v>
      </c>
      <c r="BS84" s="353" t="n">
        <f aca="false">BS82+BS83</f>
        <v>0</v>
      </c>
      <c r="BT84" s="353" t="n">
        <f aca="false">BT82+BT83</f>
        <v>0</v>
      </c>
      <c r="BU84" s="353" t="n">
        <f aca="false">BU82+BU83</f>
        <v>0</v>
      </c>
      <c r="BV84" s="353" t="n">
        <f aca="false">BV82+BV83</f>
        <v>0</v>
      </c>
      <c r="BW84" s="353" t="n">
        <f aca="false">BW82+BW83</f>
        <v>0</v>
      </c>
      <c r="BX84" s="353" t="n">
        <f aca="false">BX82+BX83</f>
        <v>0</v>
      </c>
      <c r="BY84" s="353" t="n">
        <f aca="false">BY82+BY83</f>
        <v>0</v>
      </c>
      <c r="BZ84" s="353" t="n">
        <f aca="false">BZ82+BZ83</f>
        <v>0</v>
      </c>
      <c r="CA84" s="353" t="n">
        <f aca="false">CA82+CA83</f>
        <v>0</v>
      </c>
      <c r="CB84" s="353" t="n">
        <f aca="false">CB82+CB83</f>
        <v>0</v>
      </c>
      <c r="CC84" s="353" t="n">
        <f aca="false">CC82+CC83</f>
        <v>0</v>
      </c>
      <c r="CD84" s="353" t="n">
        <f aca="false">CD82+CD83</f>
        <v>0</v>
      </c>
      <c r="CE84" s="353" t="n">
        <f aca="false">CE82+CE83</f>
        <v>0</v>
      </c>
      <c r="CF84" s="353" t="n">
        <f aca="false">CF82+CF83</f>
        <v>0</v>
      </c>
      <c r="CG84" s="353" t="n">
        <f aca="false">CG82+CG83</f>
        <v>0</v>
      </c>
      <c r="CH84" s="353" t="n">
        <f aca="false">CH82+CH83</f>
        <v>0</v>
      </c>
      <c r="CI84" s="353" t="n">
        <f aca="false">CI82+CI83</f>
        <v>0</v>
      </c>
      <c r="CJ84" s="353" t="n">
        <f aca="false">CJ82+CJ83</f>
        <v>0</v>
      </c>
      <c r="CK84" s="353" t="n">
        <f aca="false">CK82+CK83</f>
        <v>0</v>
      </c>
      <c r="CL84" s="353" t="n">
        <f aca="false">CL82+CL83</f>
        <v>0</v>
      </c>
      <c r="CM84" s="353" t="n">
        <f aca="false">CM82+CM83</f>
        <v>0</v>
      </c>
      <c r="CN84" s="353" t="n">
        <f aca="false">CN82+CN83</f>
        <v>0</v>
      </c>
      <c r="CO84" s="353" t="n">
        <f aca="false">CO82+CO83</f>
        <v>0</v>
      </c>
      <c r="CP84" s="353" t="n">
        <f aca="false">CP82+CP83</f>
        <v>0</v>
      </c>
      <c r="CQ84" s="353" t="n">
        <f aca="false">CQ82+CQ83</f>
        <v>0</v>
      </c>
      <c r="CR84" s="353" t="n">
        <f aca="false">CR82+CR83</f>
        <v>0</v>
      </c>
      <c r="CS84" s="353" t="n">
        <f aca="false">CS82+CS83</f>
        <v>0</v>
      </c>
      <c r="CT84" s="353" t="n">
        <f aca="false">CT82+CT83</f>
        <v>0</v>
      </c>
      <c r="CU84" s="353" t="n">
        <f aca="false">CU82+CU83</f>
        <v>0</v>
      </c>
      <c r="CV84" s="353" t="n">
        <f aca="false">CV82+CV83</f>
        <v>0</v>
      </c>
      <c r="CW84" s="353" t="n">
        <f aca="false">CW82+CW83</f>
        <v>0</v>
      </c>
      <c r="CX84" s="353" t="n">
        <f aca="false">CX82+CX83</f>
        <v>0</v>
      </c>
      <c r="CY84" s="353" t="n">
        <f aca="false">CY82+CY83</f>
        <v>0</v>
      </c>
      <c r="CZ84" s="353" t="n">
        <f aca="false">CZ82+CZ83</f>
        <v>0</v>
      </c>
      <c r="DA84" s="353" t="n">
        <f aca="false">DA82+DA83</f>
        <v>0</v>
      </c>
      <c r="DB84" s="353" t="n">
        <f aca="false">DB82+DB83</f>
        <v>0</v>
      </c>
      <c r="DC84" s="353" t="n">
        <f aca="false">DC82+DC83</f>
        <v>0</v>
      </c>
      <c r="DD84" s="353" t="n">
        <f aca="false">DD82+DD83</f>
        <v>0</v>
      </c>
      <c r="DE84" s="353" t="n">
        <f aca="false">DE82+DE83</f>
        <v>0</v>
      </c>
    </row>
    <row r="86" customFormat="false" ht="13.5" hidden="false" customHeight="true" outlineLevel="0" collapsed="false">
      <c r="A86" s="209" t="s">
        <v>1207</v>
      </c>
      <c r="B86" s="210"/>
      <c r="C86" s="210"/>
      <c r="D86" s="210"/>
      <c r="E86" s="210"/>
      <c r="F86" s="210"/>
    </row>
    <row r="87" customFormat="false" ht="13.5" hidden="false" customHeight="true" outlineLevel="0" collapsed="false">
      <c r="A87" s="109" t="s">
        <v>1208</v>
      </c>
      <c r="E87" s="351" t="n">
        <f aca="false">E43+SUM(E49:E58)</f>
        <v>4</v>
      </c>
      <c r="F87" s="351" t="n">
        <f aca="false">F43+SUM(F49:F58)</f>
        <v>5</v>
      </c>
      <c r="G87" s="351" t="n">
        <f aca="false">G43+SUM(G49:G58)</f>
        <v>5</v>
      </c>
      <c r="H87" s="351" t="n">
        <f aca="false">H43+SUM(H49:H58)</f>
        <v>6</v>
      </c>
      <c r="I87" s="351" t="n">
        <f aca="false">I43+SUM(I49:I58)</f>
        <v>6</v>
      </c>
      <c r="J87" s="351" t="n">
        <f aca="false">J43+SUM(J49:J58)</f>
        <v>7</v>
      </c>
      <c r="K87" s="351" t="n">
        <f aca="false">K43+SUM(K49:K58)</f>
        <v>7</v>
      </c>
      <c r="L87" s="351" t="n">
        <f aca="false">L43+SUM(L49:L58)</f>
        <v>7</v>
      </c>
      <c r="M87" s="351" t="n">
        <f aca="false">M43+SUM(M49:M58)</f>
        <v>9</v>
      </c>
      <c r="N87" s="351" t="n">
        <f aca="false">N43+SUM(N49:N58)</f>
        <v>9</v>
      </c>
      <c r="O87" s="351" t="n">
        <f aca="false">O43+SUM(O49:O58)</f>
        <v>10</v>
      </c>
      <c r="P87" s="351" t="n">
        <f aca="false">P43+SUM(P49:P58)</f>
        <v>10</v>
      </c>
      <c r="Q87" s="351" t="n">
        <f aca="false">Q43+SUM(Q49:Q58)</f>
        <v>11</v>
      </c>
      <c r="R87" s="351" t="n">
        <f aca="false">R43+SUM(R49:R58)</f>
        <v>12</v>
      </c>
      <c r="S87" s="351" t="n">
        <f aca="false">S43+SUM(S49:S58)</f>
        <v>12</v>
      </c>
      <c r="T87" s="351" t="n">
        <f aca="false">T43+SUM(T49:T58)</f>
        <v>12</v>
      </c>
      <c r="U87" s="351" t="n">
        <f aca="false">U43+SUM(U49:U58)</f>
        <v>12</v>
      </c>
      <c r="V87" s="351" t="n">
        <f aca="false">V43+SUM(V49:V58)</f>
        <v>12</v>
      </c>
      <c r="W87" s="351" t="n">
        <f aca="false">W43+SUM(W49:W58)</f>
        <v>12</v>
      </c>
      <c r="X87" s="351" t="n">
        <f aca="false">X43+SUM(X49:X58)</f>
        <v>12</v>
      </c>
      <c r="Y87" s="351" t="n">
        <f aca="false">Y43+SUM(Y49:Y58)</f>
        <v>12</v>
      </c>
      <c r="Z87" s="351" t="n">
        <f aca="false">Z43+SUM(Z49:Z58)</f>
        <v>12</v>
      </c>
      <c r="AA87" s="351" t="n">
        <f aca="false">AA43+SUM(AA49:AA58)</f>
        <v>12</v>
      </c>
      <c r="AB87" s="351" t="n">
        <f aca="false">AB43+SUM(AB49:AB58)</f>
        <v>12</v>
      </c>
      <c r="AC87" s="351" t="n">
        <f aca="false">AC43+SUM(AC49:AC58)</f>
        <v>12</v>
      </c>
      <c r="AD87" s="351" t="n">
        <f aca="false">AD43+SUM(AD49:AD58)</f>
        <v>11</v>
      </c>
      <c r="AE87" s="351" t="n">
        <f aca="false">AE43+SUM(AE49:AE58)</f>
        <v>11</v>
      </c>
      <c r="AF87" s="351" t="n">
        <f aca="false">AF43+SUM(AF49:AF58)</f>
        <v>11</v>
      </c>
      <c r="AG87" s="351" t="n">
        <f aca="false">AG43+SUM(AG49:AG58)</f>
        <v>11</v>
      </c>
      <c r="AH87" s="351" t="n">
        <f aca="false">AH43+SUM(AH49:AH58)</f>
        <v>10</v>
      </c>
      <c r="AI87" s="351" t="n">
        <f aca="false">AI43+SUM(AI49:AI58)</f>
        <v>10</v>
      </c>
      <c r="AJ87" s="351" t="n">
        <f aca="false">AJ43+SUM(AJ49:AJ58)</f>
        <v>10</v>
      </c>
      <c r="AK87" s="351" t="n">
        <f aca="false">AK43+SUM(AK49:AK58)</f>
        <v>10</v>
      </c>
      <c r="AL87" s="351" t="n">
        <f aca="false">AL43+SUM(AL49:AL58)</f>
        <v>10</v>
      </c>
      <c r="AM87" s="351" t="n">
        <f aca="false">AM43+SUM(AM49:AM58)</f>
        <v>8</v>
      </c>
      <c r="AN87" s="351" t="n">
        <f aca="false">AN43+SUM(AN49:AN58)</f>
        <v>7</v>
      </c>
      <c r="AO87" s="351" t="n">
        <f aca="false">AO43+SUM(AO49:AO58)</f>
        <v>7</v>
      </c>
      <c r="AP87" s="351" t="n">
        <f aca="false">AP43+SUM(AP49:AP58)</f>
        <v>7</v>
      </c>
      <c r="AQ87" s="351" t="n">
        <f aca="false">AQ43+SUM(AQ49:AQ58)</f>
        <v>7</v>
      </c>
      <c r="AR87" s="351" t="n">
        <f aca="false">AR43+SUM(AR49:AR58)</f>
        <v>7</v>
      </c>
      <c r="AS87" s="351" t="n">
        <f aca="false">AS43+SUM(AS49:AS58)</f>
        <v>7</v>
      </c>
      <c r="AT87" s="351" t="n">
        <f aca="false">AT43+SUM(AT49:AT58)</f>
        <v>7</v>
      </c>
      <c r="AU87" s="351" t="n">
        <f aca="false">AU43+SUM(AU49:AU58)</f>
        <v>7</v>
      </c>
      <c r="AV87" s="351" t="n">
        <f aca="false">AV43+SUM(AV49:AV58)</f>
        <v>7</v>
      </c>
      <c r="AW87" s="351" t="n">
        <f aca="false">AW43+SUM(AW49:AW58)</f>
        <v>7</v>
      </c>
      <c r="AX87" s="351" t="n">
        <f aca="false">AX43+SUM(AX49:AX58)</f>
        <v>7</v>
      </c>
      <c r="AY87" s="351" t="n">
        <f aca="false">AY43+SUM(AY49:AY58)</f>
        <v>7</v>
      </c>
      <c r="AZ87" s="351" t="n">
        <f aca="false">AZ43+SUM(AZ49:AZ58)</f>
        <v>7</v>
      </c>
      <c r="BA87" s="351" t="n">
        <f aca="false">BA43+SUM(BA49:BA58)</f>
        <v>7</v>
      </c>
      <c r="BB87" s="351" t="n">
        <f aca="false">BB43+SUM(BB49:BB58)</f>
        <v>7</v>
      </c>
      <c r="BC87" s="351" t="n">
        <f aca="false">BC43+SUM(BC49:BC58)</f>
        <v>7</v>
      </c>
      <c r="BD87" s="351" t="n">
        <f aca="false">BD43+SUM(BD49:BD58)</f>
        <v>7</v>
      </c>
      <c r="BE87" s="351" t="n">
        <f aca="false">BE43+SUM(BE49:BE58)</f>
        <v>7</v>
      </c>
      <c r="BF87" s="351" t="n">
        <f aca="false">BF43+SUM(BF49:BF58)</f>
        <v>7</v>
      </c>
      <c r="BG87" s="351" t="n">
        <f aca="false">BG43+SUM(BG49:BG58)</f>
        <v>7</v>
      </c>
      <c r="BH87" s="351" t="n">
        <f aca="false">BH43+SUM(BH49:BH58)</f>
        <v>7</v>
      </c>
      <c r="BI87" s="351" t="n">
        <f aca="false">BI43+SUM(BI49:BI58)</f>
        <v>7</v>
      </c>
      <c r="BJ87" s="351" t="n">
        <f aca="false">BJ43+SUM(BJ49:BJ58)</f>
        <v>7</v>
      </c>
      <c r="BK87" s="351" t="n">
        <f aca="false">BK43+SUM(BK49:BK58)</f>
        <v>7</v>
      </c>
      <c r="BL87" s="351" t="n">
        <f aca="false">BL43+SUM(BL49:BL58)</f>
        <v>7</v>
      </c>
      <c r="BM87" s="351" t="n">
        <f aca="false">BM43+SUM(BM49:BM58)</f>
        <v>7</v>
      </c>
      <c r="BN87" s="351" t="n">
        <f aca="false">BN43+SUM(BN49:BN58)</f>
        <v>7</v>
      </c>
      <c r="BO87" s="351" t="n">
        <f aca="false">BO43+SUM(BO49:BO58)</f>
        <v>7</v>
      </c>
      <c r="BP87" s="351" t="n">
        <f aca="false">BP43+SUM(BP49:BP58)</f>
        <v>7</v>
      </c>
      <c r="BQ87" s="351" t="n">
        <f aca="false">BQ43+SUM(BQ49:BQ58)</f>
        <v>7</v>
      </c>
      <c r="BR87" s="351" t="n">
        <f aca="false">BR43+SUM(BR49:BR58)</f>
        <v>7</v>
      </c>
      <c r="BS87" s="351" t="n">
        <f aca="false">BS43+SUM(BS49:BS58)</f>
        <v>7</v>
      </c>
      <c r="BT87" s="351" t="n">
        <f aca="false">BT43+SUM(BT49:BT58)</f>
        <v>7</v>
      </c>
      <c r="BU87" s="351" t="n">
        <f aca="false">BU43+SUM(BU49:BU58)</f>
        <v>7</v>
      </c>
      <c r="BV87" s="351" t="n">
        <f aca="false">BV43+SUM(BV49:BV58)</f>
        <v>7</v>
      </c>
      <c r="BW87" s="351" t="n">
        <f aca="false">BW43+SUM(BW49:BW58)</f>
        <v>7</v>
      </c>
      <c r="BX87" s="351" t="n">
        <f aca="false">BX43+SUM(BX49:BX58)</f>
        <v>7</v>
      </c>
      <c r="BY87" s="351" t="n">
        <f aca="false">BY43+SUM(BY49:BY58)</f>
        <v>7</v>
      </c>
      <c r="BZ87" s="351" t="n">
        <f aca="false">BZ43+SUM(BZ49:BZ58)</f>
        <v>7</v>
      </c>
      <c r="CA87" s="351" t="n">
        <f aca="false">CA43+SUM(CA49:CA58)</f>
        <v>7</v>
      </c>
      <c r="CB87" s="351" t="n">
        <f aca="false">CB43+SUM(CB49:CB58)</f>
        <v>7</v>
      </c>
      <c r="CC87" s="351" t="n">
        <f aca="false">CC43+SUM(CC49:CC58)</f>
        <v>7</v>
      </c>
      <c r="CD87" s="351" t="n">
        <f aca="false">CD43+SUM(CD49:CD58)</f>
        <v>7</v>
      </c>
      <c r="CE87" s="351" t="n">
        <f aca="false">CE43+SUM(CE49:CE58)</f>
        <v>7</v>
      </c>
      <c r="CF87" s="351" t="n">
        <f aca="false">CF43+SUM(CF49:CF58)</f>
        <v>7</v>
      </c>
      <c r="CG87" s="351" t="n">
        <f aca="false">CG43+SUM(CG49:CG58)</f>
        <v>7</v>
      </c>
      <c r="CH87" s="351" t="n">
        <f aca="false">CH43+SUM(CH49:CH58)</f>
        <v>7</v>
      </c>
      <c r="CI87" s="351" t="n">
        <f aca="false">CI43+SUM(CI49:CI58)</f>
        <v>7</v>
      </c>
      <c r="CJ87" s="351" t="n">
        <f aca="false">CJ43+SUM(CJ49:CJ58)</f>
        <v>7</v>
      </c>
      <c r="CK87" s="351" t="n">
        <f aca="false">CK43+SUM(CK49:CK58)</f>
        <v>7</v>
      </c>
      <c r="CL87" s="351" t="n">
        <f aca="false">CL43+SUM(CL49:CL58)</f>
        <v>7</v>
      </c>
      <c r="CM87" s="351" t="n">
        <f aca="false">CM43+SUM(CM49:CM58)</f>
        <v>7</v>
      </c>
      <c r="CN87" s="351" t="n">
        <f aca="false">CN43+SUM(CN49:CN58)</f>
        <v>7</v>
      </c>
      <c r="CO87" s="351" t="n">
        <f aca="false">CO43+SUM(CO49:CO58)</f>
        <v>7</v>
      </c>
      <c r="CP87" s="351" t="n">
        <f aca="false">CP43+SUM(CP49:CP58)</f>
        <v>7</v>
      </c>
      <c r="CQ87" s="351" t="n">
        <f aca="false">CQ43+SUM(CQ49:CQ58)</f>
        <v>7</v>
      </c>
      <c r="CR87" s="351" t="n">
        <f aca="false">CR43+SUM(CR49:CR58)</f>
        <v>7</v>
      </c>
      <c r="CS87" s="351" t="n">
        <f aca="false">CS43+SUM(CS49:CS58)</f>
        <v>7</v>
      </c>
      <c r="CT87" s="351" t="n">
        <f aca="false">CT43+SUM(CT49:CT58)</f>
        <v>7</v>
      </c>
      <c r="CU87" s="351" t="n">
        <f aca="false">CU43+SUM(CU49:CU58)</f>
        <v>7</v>
      </c>
      <c r="CV87" s="351" t="n">
        <f aca="false">CV43+SUM(CV49:CV58)</f>
        <v>7</v>
      </c>
      <c r="CW87" s="351" t="n">
        <f aca="false">CW43+SUM(CW49:CW58)</f>
        <v>7</v>
      </c>
      <c r="CX87" s="351" t="n">
        <f aca="false">CX43+SUM(CX49:CX58)</f>
        <v>7</v>
      </c>
      <c r="CY87" s="351" t="n">
        <f aca="false">CY43+SUM(CY49:CY58)</f>
        <v>7</v>
      </c>
      <c r="CZ87" s="351" t="n">
        <f aca="false">CZ43+SUM(CZ49:CZ58)</f>
        <v>7</v>
      </c>
      <c r="DA87" s="351" t="n">
        <f aca="false">DA43+SUM(DA49:DA58)</f>
        <v>7</v>
      </c>
      <c r="DB87" s="351" t="n">
        <f aca="false">DB43+SUM(DB49:DB58)</f>
        <v>7</v>
      </c>
      <c r="DC87" s="351" t="n">
        <f aca="false">DC43+SUM(DC49:DC58)</f>
        <v>7</v>
      </c>
      <c r="DD87" s="351" t="n">
        <f aca="false">DD43+SUM(DD49:DD58)</f>
        <v>7</v>
      </c>
      <c r="DE87" s="351" t="n">
        <f aca="false">DE43+SUM(DE49:DE58)</f>
        <v>7</v>
      </c>
    </row>
    <row r="88" customFormat="false" ht="13.5" hidden="false" customHeight="true" outlineLevel="0" collapsed="false">
      <c r="A88" s="109" t="s">
        <v>1209</v>
      </c>
      <c r="E88" s="351" t="n">
        <f aca="false">E37-E87</f>
        <v>1</v>
      </c>
      <c r="F88" s="351" t="n">
        <f aca="false">F37-F87</f>
        <v>0</v>
      </c>
      <c r="G88" s="351" t="n">
        <f aca="false">G37-G87</f>
        <v>0</v>
      </c>
      <c r="H88" s="351" t="n">
        <f aca="false">H37-H87</f>
        <v>-1</v>
      </c>
      <c r="I88" s="351" t="n">
        <f aca="false">I37-I87</f>
        <v>1</v>
      </c>
      <c r="J88" s="351" t="n">
        <f aca="false">J37-J87</f>
        <v>1</v>
      </c>
      <c r="K88" s="351" t="n">
        <f aca="false">K37-K87</f>
        <v>1</v>
      </c>
      <c r="L88" s="351" t="n">
        <f aca="false">L37-L87</f>
        <v>1</v>
      </c>
      <c r="M88" s="351" t="n">
        <f aca="false">M37-M87</f>
        <v>0</v>
      </c>
      <c r="N88" s="351" t="n">
        <f aca="false">N37-N87</f>
        <v>1</v>
      </c>
      <c r="O88" s="351" t="n">
        <f aca="false">O37-O87</f>
        <v>1</v>
      </c>
      <c r="P88" s="351" t="n">
        <f aca="false">P37-P87</f>
        <v>1</v>
      </c>
      <c r="Q88" s="351" t="n">
        <f aca="false">Q37-Q87</f>
        <v>1</v>
      </c>
      <c r="R88" s="351" t="n">
        <f aca="false">R37-R87</f>
        <v>1</v>
      </c>
      <c r="S88" s="351" t="n">
        <f aca="false">S37-S87</f>
        <v>2</v>
      </c>
      <c r="T88" s="351" t="n">
        <f aca="false">T37-T87</f>
        <v>1</v>
      </c>
      <c r="U88" s="351" t="n">
        <f aca="false">U37-U87</f>
        <v>1</v>
      </c>
      <c r="V88" s="351" t="n">
        <f aca="false">V37-V87</f>
        <v>1</v>
      </c>
      <c r="W88" s="351" t="n">
        <f aca="false">W37-W87</f>
        <v>1</v>
      </c>
      <c r="X88" s="351" t="n">
        <f aca="false">X37-X87</f>
        <v>0</v>
      </c>
      <c r="Y88" s="351" t="n">
        <f aca="false">Y37-Y87</f>
        <v>0</v>
      </c>
      <c r="Z88" s="351" t="n">
        <f aca="false">Z37-Z87</f>
        <v>0</v>
      </c>
      <c r="AA88" s="351" t="n">
        <f aca="false">AA37-AA87</f>
        <v>0</v>
      </c>
      <c r="AB88" s="351" t="n">
        <f aca="false">AB37-AB87</f>
        <v>-1</v>
      </c>
      <c r="AC88" s="351" t="n">
        <f aca="false">AC37-AC87</f>
        <v>-2</v>
      </c>
      <c r="AD88" s="351" t="n">
        <f aca="false">AD37-AD87</f>
        <v>-1</v>
      </c>
      <c r="AE88" s="351" t="n">
        <f aca="false">AE37-AE87</f>
        <v>0</v>
      </c>
      <c r="AF88" s="351" t="n">
        <f aca="false">AF37-AF87</f>
        <v>0</v>
      </c>
      <c r="AG88" s="351" t="n">
        <f aca="false">AG37-AG87</f>
        <v>-2</v>
      </c>
      <c r="AH88" s="351" t="n">
        <f aca="false">AH37-AH87</f>
        <v>-2</v>
      </c>
      <c r="AI88" s="351" t="n">
        <f aca="false">AI37-AI87</f>
        <v>-3</v>
      </c>
      <c r="AJ88" s="351" t="n">
        <f aca="false">AJ37-AJ87</f>
        <v>-3</v>
      </c>
      <c r="AK88" s="351" t="n">
        <f aca="false">AK37-AK87</f>
        <v>-5</v>
      </c>
      <c r="AL88" s="351" t="n">
        <f aca="false">AL37-AL87</f>
        <v>-5</v>
      </c>
      <c r="AM88" s="351" t="n">
        <f aca="false">AM37-AM87</f>
        <v>-3</v>
      </c>
      <c r="AN88" s="351" t="n">
        <f aca="false">AN37-AN87</f>
        <v>-2</v>
      </c>
      <c r="AO88" s="351" t="n">
        <f aca="false">AO37-AO87</f>
        <v>-4</v>
      </c>
      <c r="AP88" s="351" t="n">
        <f aca="false">AP37-AP87</f>
        <v>-5</v>
      </c>
      <c r="AQ88" s="351" t="n">
        <f aca="false">AQ37-AQ87</f>
        <v>-5</v>
      </c>
      <c r="AR88" s="351" t="n">
        <f aca="false">AR37-AR87</f>
        <v>-5</v>
      </c>
      <c r="AS88" s="351" t="n">
        <f aca="false">AS37-AS87</f>
        <v>-5</v>
      </c>
      <c r="AT88" s="351" t="n">
        <f aca="false">AT37-AT87</f>
        <v>-5</v>
      </c>
      <c r="AU88" s="351" t="n">
        <f aca="false">AU37-AU87</f>
        <v>-5</v>
      </c>
      <c r="AV88" s="351" t="n">
        <f aca="false">AV37-AV87</f>
        <v>-5</v>
      </c>
      <c r="AW88" s="351" t="n">
        <f aca="false">AW37-AW87</f>
        <v>-6</v>
      </c>
      <c r="AX88" s="351" t="n">
        <f aca="false">AX37-AX87</f>
        <v>-6</v>
      </c>
      <c r="AY88" s="351" t="n">
        <f aca="false">AY37-AY87</f>
        <v>-6</v>
      </c>
      <c r="AZ88" s="351" t="n">
        <f aca="false">AZ37-AZ87</f>
        <v>-6</v>
      </c>
      <c r="BA88" s="351" t="n">
        <f aca="false">BA37-BA87</f>
        <v>-6</v>
      </c>
      <c r="BB88" s="351" t="n">
        <f aca="false">BB37-BB87</f>
        <v>-6</v>
      </c>
      <c r="BC88" s="351" t="n">
        <f aca="false">BC37-BC87</f>
        <v>-6</v>
      </c>
      <c r="BD88" s="351" t="n">
        <f aca="false">BD37-BD87</f>
        <v>-6</v>
      </c>
      <c r="BE88" s="351" t="n">
        <f aca="false">BE37-BE87</f>
        <v>-6</v>
      </c>
      <c r="BF88" s="351" t="n">
        <f aca="false">BF37-BF87</f>
        <v>-6</v>
      </c>
      <c r="BG88" s="351" t="n">
        <f aca="false">BG37-BG87</f>
        <v>-6</v>
      </c>
      <c r="BH88" s="351" t="n">
        <f aca="false">BH37-BH87</f>
        <v>-6</v>
      </c>
      <c r="BI88" s="351" t="n">
        <f aca="false">BI37-BI87</f>
        <v>-7</v>
      </c>
      <c r="BJ88" s="351" t="n">
        <f aca="false">BJ37-BJ87</f>
        <v>-7</v>
      </c>
      <c r="BK88" s="351" t="n">
        <f aca="false">BK37-BK87</f>
        <v>-7</v>
      </c>
      <c r="BL88" s="351" t="n">
        <f aca="false">BL37-BL87</f>
        <v>-7</v>
      </c>
      <c r="BM88" s="351" t="n">
        <f aca="false">BM37-BM87</f>
        <v>-7</v>
      </c>
      <c r="BN88" s="351" t="n">
        <f aca="false">BN37-BN87</f>
        <v>-7</v>
      </c>
      <c r="BO88" s="351" t="n">
        <f aca="false">BO37-BO87</f>
        <v>-7</v>
      </c>
      <c r="BP88" s="351" t="n">
        <f aca="false">BP37-BP87</f>
        <v>-7</v>
      </c>
      <c r="BQ88" s="351" t="n">
        <f aca="false">BQ37-BQ87</f>
        <v>-7</v>
      </c>
      <c r="BR88" s="351" t="n">
        <f aca="false">BR37-BR87</f>
        <v>-7</v>
      </c>
      <c r="BS88" s="351" t="n">
        <f aca="false">BS37-BS87</f>
        <v>-7</v>
      </c>
      <c r="BT88" s="351" t="n">
        <f aca="false">BT37-BT87</f>
        <v>-7</v>
      </c>
      <c r="BU88" s="351" t="n">
        <f aca="false">BU37-BU87</f>
        <v>-7</v>
      </c>
      <c r="BV88" s="351" t="n">
        <f aca="false">BV37-BV87</f>
        <v>-7</v>
      </c>
      <c r="BW88" s="351" t="n">
        <f aca="false">BW37-BW87</f>
        <v>-7</v>
      </c>
      <c r="BX88" s="351" t="n">
        <f aca="false">BX37-BX87</f>
        <v>-7</v>
      </c>
      <c r="BY88" s="351" t="n">
        <f aca="false">BY37-BY87</f>
        <v>-7</v>
      </c>
      <c r="BZ88" s="351" t="n">
        <f aca="false">BZ37-BZ87</f>
        <v>-7</v>
      </c>
      <c r="CA88" s="351" t="n">
        <f aca="false">CA37-CA87</f>
        <v>-7</v>
      </c>
      <c r="CB88" s="351" t="n">
        <f aca="false">CB37-CB87</f>
        <v>-7</v>
      </c>
      <c r="CC88" s="351" t="n">
        <f aca="false">CC37-CC87</f>
        <v>-7</v>
      </c>
      <c r="CD88" s="351" t="n">
        <f aca="false">CD37-CD87</f>
        <v>-7</v>
      </c>
      <c r="CE88" s="351" t="n">
        <f aca="false">CE37-CE87</f>
        <v>-7</v>
      </c>
      <c r="CF88" s="351" t="n">
        <f aca="false">CF37-CF87</f>
        <v>-7</v>
      </c>
      <c r="CG88" s="351" t="n">
        <f aca="false">CG37-CG87</f>
        <v>-7</v>
      </c>
      <c r="CH88" s="351" t="n">
        <f aca="false">CH37-CH87</f>
        <v>-7</v>
      </c>
      <c r="CI88" s="351" t="n">
        <f aca="false">CI37-CI87</f>
        <v>-7</v>
      </c>
      <c r="CJ88" s="351" t="n">
        <f aca="false">CJ37-CJ87</f>
        <v>-7</v>
      </c>
      <c r="CK88" s="351" t="n">
        <f aca="false">CK37-CK87</f>
        <v>-7</v>
      </c>
      <c r="CL88" s="351" t="n">
        <f aca="false">CL37-CL87</f>
        <v>-7</v>
      </c>
      <c r="CM88" s="351" t="n">
        <f aca="false">CM37-CM87</f>
        <v>-7</v>
      </c>
      <c r="CN88" s="351" t="n">
        <f aca="false">CN37-CN87</f>
        <v>-7</v>
      </c>
      <c r="CO88" s="351" t="n">
        <f aca="false">CO37-CO87</f>
        <v>-7</v>
      </c>
      <c r="CP88" s="351" t="n">
        <f aca="false">CP37-CP87</f>
        <v>-7</v>
      </c>
      <c r="CQ88" s="351" t="n">
        <f aca="false">CQ37-CQ87</f>
        <v>-7</v>
      </c>
      <c r="CR88" s="351" t="n">
        <f aca="false">CR37-CR87</f>
        <v>-7</v>
      </c>
      <c r="CS88" s="351" t="n">
        <f aca="false">CS37-CS87</f>
        <v>-7</v>
      </c>
      <c r="CT88" s="351" t="n">
        <f aca="false">CT37-CT87</f>
        <v>-7</v>
      </c>
      <c r="CU88" s="351" t="n">
        <f aca="false">CU37-CU87</f>
        <v>-7</v>
      </c>
      <c r="CV88" s="351" t="n">
        <f aca="false">CV37-CV87</f>
        <v>-7</v>
      </c>
      <c r="CW88" s="351" t="n">
        <f aca="false">CW37-CW87</f>
        <v>-7</v>
      </c>
      <c r="CX88" s="351" t="n">
        <f aca="false">CX37-CX87</f>
        <v>-7</v>
      </c>
      <c r="CY88" s="351" t="n">
        <f aca="false">CY37-CY87</f>
        <v>-7</v>
      </c>
      <c r="CZ88" s="351" t="n">
        <f aca="false">CZ37-CZ87</f>
        <v>-7</v>
      </c>
      <c r="DA88" s="351" t="n">
        <f aca="false">DA37-DA87</f>
        <v>-7</v>
      </c>
      <c r="DB88" s="351" t="n">
        <f aca="false">DB37-DB87</f>
        <v>-7</v>
      </c>
      <c r="DC88" s="351" t="n">
        <f aca="false">DC37-DC87</f>
        <v>-7</v>
      </c>
      <c r="DD88" s="351" t="n">
        <f aca="false">DD37-DD87</f>
        <v>-7</v>
      </c>
      <c r="DE88" s="351" t="n">
        <f aca="false">DE37-DE87</f>
        <v>-7</v>
      </c>
    </row>
    <row r="89" customFormat="false" ht="13.5" hidden="false" customHeight="true" outlineLevel="0" collapsed="false">
      <c r="A89" s="109" t="s">
        <v>1210</v>
      </c>
      <c r="E89" s="351" t="n">
        <f aca="false">(E87+E44+SUM(E61:E68)+E45+SUM(E71:E74))-(E38+E39+E40)</f>
        <v>0.945</v>
      </c>
      <c r="F89" s="351" t="n">
        <f aca="false">(F87+F44+SUM(F61:F68)+F45+SUM(F71:F74))-(F38+F39+F40)</f>
        <v>2.945</v>
      </c>
      <c r="G89" s="351" t="n">
        <f aca="false">(G87+G44+SUM(G61:G68)+G45+SUM(G71:G74))-(G38+G39+G40)</f>
        <v>2.945</v>
      </c>
      <c r="H89" s="351" t="n">
        <f aca="false">(H87+H44+SUM(H61:H68)+H45+SUM(H71:H74))-(H38+H39+H40)</f>
        <v>3.945</v>
      </c>
      <c r="I89" s="351" t="n">
        <f aca="false">(I87+I44+SUM(I61:I68)+I45+SUM(I71:I74))-(I38+I39+I40)</f>
        <v>0.745000000000001</v>
      </c>
      <c r="J89" s="351" t="n">
        <f aca="false">(J87+J44+SUM(J61:J68)+J45+SUM(J71:J74))-(J38+J39+J40)</f>
        <v>0.7525</v>
      </c>
      <c r="K89" s="351" t="n">
        <f aca="false">(K87+K44+SUM(K61:K68)+K45+SUM(K71:K74))-(K38+K39+K40)</f>
        <v>0.7525</v>
      </c>
      <c r="L89" s="351" t="n">
        <f aca="false">(L87+L44+SUM(L61:L68)+L45+SUM(L71:L74))-(L38+L39+L40)</f>
        <v>0.7525</v>
      </c>
      <c r="M89" s="351" t="n">
        <f aca="false">(M87+M44+SUM(M61:M68)+M45+SUM(M71:M74))-(M38+M39+M40)</f>
        <v>1.1025</v>
      </c>
      <c r="N89" s="351" t="n">
        <f aca="false">(N87+N44+SUM(N61:N68)+N45+SUM(N71:N74))-(N38+N39+N40)</f>
        <v>0.77</v>
      </c>
      <c r="O89" s="351" t="n">
        <f aca="false">(O87+O44+SUM(O61:O68)+O45+SUM(O71:O74))-(O38+O39+O40)</f>
        <v>1.23</v>
      </c>
      <c r="P89" s="351" t="n">
        <f aca="false">(P87+P44+SUM(P61:P68)+P45+SUM(P71:P74))-(P38+P39+P40)</f>
        <v>1.23</v>
      </c>
      <c r="Q89" s="351" t="n">
        <f aca="false">(Q87+Q44+SUM(Q61:Q68)+Q45+SUM(Q71:Q74))-(Q38+Q39+Q40)</f>
        <v>1.2375</v>
      </c>
      <c r="R89" s="351" t="n">
        <f aca="false">(R87+R44+SUM(R61:R68)+R45+SUM(R71:R74))-(R38+R39+R40)</f>
        <v>0.912500000000001</v>
      </c>
      <c r="S89" s="351" t="n">
        <f aca="false">(S87+S44+SUM(S61:S68)+S45+SUM(S71:S74))-(S38+S39+S40)</f>
        <v>0.262499999999999</v>
      </c>
      <c r="T89" s="351" t="n">
        <f aca="false">(T87+T44+SUM(T61:T68)+T45+SUM(T71:T74))-(T38+T39+T40)</f>
        <v>0.487500000000001</v>
      </c>
      <c r="U89" s="351" t="n">
        <f aca="false">(U87+U44+SUM(U61:U68)+U45+SUM(U71:U74))-(U38+U39+U40)</f>
        <v>1.92</v>
      </c>
      <c r="V89" s="351" t="n">
        <f aca="false">(V87+V44+SUM(V61:V68)+V45+SUM(V71:V74))-(V38+V39+V40)</f>
        <v>0.594999999999999</v>
      </c>
      <c r="W89" s="351" t="n">
        <f aca="false">(W87+W44+SUM(W61:W68)+W45+SUM(W71:W74))-(W38+W39+W40)</f>
        <v>0.370000000000001</v>
      </c>
      <c r="X89" s="351" t="n">
        <f aca="false">(X87+X44+SUM(X61:X68)+X45+SUM(X71:X74))-(X38+X39+X40)</f>
        <v>1.47</v>
      </c>
      <c r="Y89" s="351" t="n">
        <f aca="false">(Y87+Y44+SUM(Y61:Y68)+Y45+SUM(Y71:Y74))-(Y38+Y39+Y40)</f>
        <v>2.795</v>
      </c>
      <c r="Z89" s="351" t="n">
        <f aca="false">(Z87+Z44+SUM(Z61:Z68)+Z45+SUM(Z71:Z74))-(Z38+Z39+Z40)</f>
        <v>3.02</v>
      </c>
      <c r="AA89" s="351" t="n">
        <f aca="false">(AA87+AA44+SUM(AA61:AA68)+AA45+SUM(AA71:AA74))-(AA38+AA39+AA40)</f>
        <v>3.02</v>
      </c>
      <c r="AB89" s="351" t="n">
        <f aca="false">(AB87+AB44+SUM(AB61:AB68)+AB45+SUM(AB71:AB74))-(AB38+AB39+AB40)</f>
        <v>3.02</v>
      </c>
      <c r="AC89" s="351" t="n">
        <f aca="false">(AC87+AC44+SUM(AC61:AC68)+AC45+SUM(AC71:AC74))-(AC38+AC39+AC40)</f>
        <v>4.12</v>
      </c>
      <c r="AD89" s="351" t="n">
        <f aca="false">(AD87+AD44+SUM(AD61:AD68)+AD45+SUM(AD71:AD74))-(AD38+AD39+AD40)</f>
        <v>3.7775</v>
      </c>
      <c r="AE89" s="351" t="n">
        <f aca="false">(AE87+AE44+SUM(AE61:AE68)+AE45+SUM(AE71:AE74))-(AE38+AE39+AE40)</f>
        <v>2.235</v>
      </c>
      <c r="AF89" s="351" t="n">
        <f aca="false">(AF87+AF44+SUM(AF61:AF68)+AF45+SUM(AF71:AF74))-(AF38+AF39+AF40)</f>
        <v>2.46</v>
      </c>
      <c r="AG89" s="351" t="n">
        <f aca="false">(AG87+AG44+SUM(AG61:AG68)+AG45+SUM(AG71:AG74))-(AG38+AG39+AG40)</f>
        <v>2.46</v>
      </c>
      <c r="AH89" s="351" t="n">
        <f aca="false">(AH87+AH44+SUM(AH61:AH68)+AH45+SUM(AH71:AH74))-(AH38+AH39+AH40)</f>
        <v>4.2175</v>
      </c>
      <c r="AI89" s="351" t="n">
        <f aca="false">(AI87+AI44+SUM(AI61:AI68)+AI45+SUM(AI71:AI74))-(AI38+AI39+AI40)</f>
        <v>4.425</v>
      </c>
      <c r="AJ89" s="351" t="n">
        <f aca="false">(AJ87+AJ44+SUM(AJ61:AJ68)+AJ45+SUM(AJ71:AJ74))-(AJ38+AJ39+AJ40)</f>
        <v>5.525</v>
      </c>
      <c r="AK89" s="351" t="n">
        <f aca="false">(AK87+AK44+SUM(AK61:AK68)+AK45+SUM(AK71:AK74))-(AK38+AK39+AK40)</f>
        <v>5.525</v>
      </c>
      <c r="AL89" s="351" t="n">
        <f aca="false">(AL87+AL44+SUM(AL61:AL68)+AL45+SUM(AL71:AL74))-(AL38+AL39+AL40)</f>
        <v>8.45</v>
      </c>
      <c r="AM89" s="351" t="n">
        <f aca="false">(AM87+AM44+SUM(AM61:AM68)+AM45+SUM(AM71:AM74))-(AM38+AM39+AM40)</f>
        <v>6.675</v>
      </c>
      <c r="AN89" s="351" t="n">
        <f aca="false">(AN87+AN44+SUM(AN61:AN68)+AN45+SUM(AN71:AN74))-(AN38+AN39+AN40)</f>
        <v>5.675</v>
      </c>
      <c r="AO89" s="351" t="n">
        <f aca="false">(AO87+AO44+SUM(AO61:AO68)+AO45+SUM(AO71:AO74))-(AO38+AO39+AO40)</f>
        <v>4.675</v>
      </c>
      <c r="AP89" s="351" t="n">
        <f aca="false">(AP87+AP44+SUM(AP61:AP68)+AP45+SUM(AP71:AP74))-(AP38+AP39+AP40)</f>
        <v>7.15</v>
      </c>
      <c r="AQ89" s="351" t="n">
        <f aca="false">(AQ87+AQ44+SUM(AQ61:AQ68)+AQ45+SUM(AQ71:AQ74))-(AQ38+AQ39+AQ40)</f>
        <v>8.25</v>
      </c>
      <c r="AR89" s="351" t="n">
        <f aca="false">(AR87+AR44+SUM(AR61:AR68)+AR45+SUM(AR71:AR74))-(AR38+AR39+AR40)</f>
        <v>8.25</v>
      </c>
      <c r="AS89" s="351" t="n">
        <f aca="false">(AS87+AS44+SUM(AS61:AS68)+AS45+SUM(AS71:AS74))-(AS38+AS39+AS40)</f>
        <v>8.25</v>
      </c>
      <c r="AT89" s="351" t="n">
        <f aca="false">(AT87+AT44+SUM(AT61:AT68)+AT45+SUM(AT71:AT74))-(AT38+AT39+AT40)</f>
        <v>8.75</v>
      </c>
      <c r="AU89" s="351" t="n">
        <f aca="false">(AU87+AU44+SUM(AU61:AU68)+AU45+SUM(AU71:AU74))-(AU38+AU39+AU40)</f>
        <v>8.75</v>
      </c>
      <c r="AV89" s="351" t="n">
        <f aca="false">(AV87+AV44+SUM(AV61:AV68)+AV45+SUM(AV71:AV74))-(AV38+AV39+AV40)</f>
        <v>8.75</v>
      </c>
      <c r="AW89" s="351" t="n">
        <f aca="false">(AW87+AW44+SUM(AW61:AW68)+AW45+SUM(AW71:AW74))-(AW38+AW39+AW40)</f>
        <v>8.75</v>
      </c>
      <c r="AX89" s="351" t="n">
        <f aca="false">(AX87+AX44+SUM(AX61:AX68)+AX45+SUM(AX71:AX74))-(AX38+AX39+AX40)</f>
        <v>10.125</v>
      </c>
      <c r="AY89" s="351" t="n">
        <f aca="false">(AY87+AY44+SUM(AY61:AY68)+AY45+SUM(AY71:AY74))-(AY38+AY39+AY40)</f>
        <v>10.125</v>
      </c>
      <c r="AZ89" s="351" t="n">
        <f aca="false">(AZ87+AZ44+SUM(AZ61:AZ68)+AZ45+SUM(AZ71:AZ74))-(AZ38+AZ39+AZ40)</f>
        <v>10.125</v>
      </c>
      <c r="BA89" s="351" t="n">
        <f aca="false">(BA87+BA44+SUM(BA61:BA68)+BA45+SUM(BA71:BA74))-(BA38+BA39+BA40)</f>
        <v>10.125</v>
      </c>
      <c r="BB89" s="351" t="n">
        <f aca="false">(BB87+BB44+SUM(BB61:BB68)+BB45+SUM(BB71:BB74))-(BB38+BB39+BB40)</f>
        <v>10.125</v>
      </c>
      <c r="BC89" s="351" t="n">
        <f aca="false">(BC87+BC44+SUM(BC61:BC68)+BC45+SUM(BC71:BC74))-(BC38+BC39+BC40)</f>
        <v>10.125</v>
      </c>
      <c r="BD89" s="351" t="n">
        <f aca="false">(BD87+BD44+SUM(BD61:BD68)+BD45+SUM(BD71:BD74))-(BD38+BD39+BD40)</f>
        <v>10.125</v>
      </c>
      <c r="BE89" s="351" t="n">
        <f aca="false">(BE87+BE44+SUM(BE61:BE68)+BE45+SUM(BE71:BE74))-(BE38+BE39+BE40)</f>
        <v>10.125</v>
      </c>
      <c r="BF89" s="351" t="n">
        <f aca="false">(BF87+BF44+SUM(BF61:BF68)+BF45+SUM(BF71:BF74))-(BF38+BF39+BF40)</f>
        <v>10.625</v>
      </c>
      <c r="BG89" s="351" t="n">
        <f aca="false">(BG87+BG44+SUM(BG61:BG68)+BG45+SUM(BG71:BG74))-(BG38+BG39+BG40)</f>
        <v>10.625</v>
      </c>
      <c r="BH89" s="351" t="n">
        <f aca="false">(BH87+BH44+SUM(BH61:BH68)+BH45+SUM(BH71:BH74))-(BH38+BH39+BH40)</f>
        <v>10.625</v>
      </c>
      <c r="BI89" s="351" t="n">
        <f aca="false">(BI87+BI44+SUM(BI61:BI68)+BI45+SUM(BI71:BI74))-(BI38+BI39+BI40)</f>
        <v>10.625</v>
      </c>
      <c r="BJ89" s="351" t="n">
        <f aca="false">(BJ87+BJ44+SUM(BJ61:BJ68)+BJ45+SUM(BJ71:BJ74))-(BJ38+BJ39+BJ40)</f>
        <v>12</v>
      </c>
      <c r="BK89" s="351" t="n">
        <f aca="false">(BK87+BK44+SUM(BK61:BK68)+BK45+SUM(BK71:BK74))-(BK38+BK39+BK40)</f>
        <v>12</v>
      </c>
      <c r="BL89" s="351" t="n">
        <f aca="false">(BL87+BL44+SUM(BL61:BL68)+BL45+SUM(BL71:BL74))-(BL38+BL39+BL40)</f>
        <v>12</v>
      </c>
      <c r="BM89" s="351" t="n">
        <f aca="false">(BM87+BM44+SUM(BM61:BM68)+BM45+SUM(BM71:BM74))-(BM38+BM39+BM40)</f>
        <v>12</v>
      </c>
      <c r="BN89" s="351" t="n">
        <f aca="false">(BN87+BN44+SUM(BN61:BN68)+BN45+SUM(BN71:BN74))-(BN38+BN39+BN40)</f>
        <v>12</v>
      </c>
      <c r="BO89" s="351" t="n">
        <f aca="false">(BO87+BO44+SUM(BO61:BO68)+BO45+SUM(BO71:BO74))-(BO38+BO39+BO40)</f>
        <v>12</v>
      </c>
      <c r="BP89" s="351" t="n">
        <f aca="false">(BP87+BP44+SUM(BP61:BP68)+BP45+SUM(BP71:BP74))-(BP38+BP39+BP40)</f>
        <v>12</v>
      </c>
      <c r="BQ89" s="351" t="n">
        <f aca="false">(BQ87+BQ44+SUM(BQ61:BQ68)+BQ45+SUM(BQ71:BQ74))-(BQ38+BQ39+BQ40)</f>
        <v>12</v>
      </c>
      <c r="BR89" s="351" t="n">
        <f aca="false">(BR87+BR44+SUM(BR61:BR68)+BR45+SUM(BR71:BR74))-(BR38+BR39+BR40)</f>
        <v>12</v>
      </c>
      <c r="BS89" s="351" t="n">
        <f aca="false">(BS87+BS44+SUM(BS61:BS68)+BS45+SUM(BS71:BS74))-(BS38+BS39+BS40)</f>
        <v>12</v>
      </c>
      <c r="BT89" s="351" t="n">
        <f aca="false">(BT87+BT44+SUM(BT61:BT68)+BT45+SUM(BT71:BT74))-(BT38+BT39+BT40)</f>
        <v>12</v>
      </c>
      <c r="BU89" s="351" t="n">
        <f aca="false">(BU87+BU44+SUM(BU61:BU68)+BU45+SUM(BU71:BU74))-(BU38+BU39+BU40)</f>
        <v>12</v>
      </c>
      <c r="BV89" s="351" t="n">
        <f aca="false">(BV87+BV44+SUM(BV61:BV68)+BV45+SUM(BV71:BV74))-(BV38+BV39+BV40)</f>
        <v>12</v>
      </c>
      <c r="BW89" s="351" t="n">
        <f aca="false">(BW87+BW44+SUM(BW61:BW68)+BW45+SUM(BW71:BW74))-(BW38+BW39+BW40)</f>
        <v>12</v>
      </c>
      <c r="BX89" s="351" t="n">
        <f aca="false">(BX87+BX44+SUM(BX61:BX68)+BX45+SUM(BX71:BX74))-(BX38+BX39+BX40)</f>
        <v>12</v>
      </c>
      <c r="BY89" s="351" t="n">
        <f aca="false">(BY87+BY44+SUM(BY61:BY68)+BY45+SUM(BY71:BY74))-(BY38+BY39+BY40)</f>
        <v>12</v>
      </c>
      <c r="BZ89" s="351" t="n">
        <f aca="false">(BZ87+BZ44+SUM(BZ61:BZ68)+BZ45+SUM(BZ71:BZ74))-(BZ38+BZ39+BZ40)</f>
        <v>12</v>
      </c>
      <c r="CA89" s="351" t="n">
        <f aca="false">(CA87+CA44+SUM(CA61:CA68)+CA45+SUM(CA71:CA74))-(CA38+CA39+CA40)</f>
        <v>12</v>
      </c>
      <c r="CB89" s="351" t="n">
        <f aca="false">(CB87+CB44+SUM(CB61:CB68)+CB45+SUM(CB71:CB74))-(CB38+CB39+CB40)</f>
        <v>12</v>
      </c>
      <c r="CC89" s="351" t="n">
        <f aca="false">(CC87+CC44+SUM(CC61:CC68)+CC45+SUM(CC71:CC74))-(CC38+CC39+CC40)</f>
        <v>12</v>
      </c>
      <c r="CD89" s="351" t="n">
        <f aca="false">(CD87+CD44+SUM(CD61:CD68)+CD45+SUM(CD71:CD74))-(CD38+CD39+CD40)</f>
        <v>12</v>
      </c>
      <c r="CE89" s="351" t="n">
        <f aca="false">(CE87+CE44+SUM(CE61:CE68)+CE45+SUM(CE71:CE74))-(CE38+CE39+CE40)</f>
        <v>12</v>
      </c>
      <c r="CF89" s="351" t="n">
        <f aca="false">(CF87+CF44+SUM(CF61:CF68)+CF45+SUM(CF71:CF74))-(CF38+CF39+CF40)</f>
        <v>12</v>
      </c>
      <c r="CG89" s="351" t="n">
        <f aca="false">(CG87+CG44+SUM(CG61:CG68)+CG45+SUM(CG71:CG74))-(CG38+CG39+CG40)</f>
        <v>12</v>
      </c>
      <c r="CH89" s="351" t="n">
        <f aca="false">(CH87+CH44+SUM(CH61:CH68)+CH45+SUM(CH71:CH74))-(CH38+CH39+CH40)</f>
        <v>12</v>
      </c>
      <c r="CI89" s="351" t="n">
        <f aca="false">(CI87+CI44+SUM(CI61:CI68)+CI45+SUM(CI71:CI74))-(CI38+CI39+CI40)</f>
        <v>12</v>
      </c>
      <c r="CJ89" s="351" t="n">
        <f aca="false">(CJ87+CJ44+SUM(CJ61:CJ68)+CJ45+SUM(CJ71:CJ74))-(CJ38+CJ39+CJ40)</f>
        <v>12</v>
      </c>
      <c r="CK89" s="351" t="n">
        <f aca="false">(CK87+CK44+SUM(CK61:CK68)+CK45+SUM(CK71:CK74))-(CK38+CK39+CK40)</f>
        <v>12</v>
      </c>
      <c r="CL89" s="351" t="n">
        <f aca="false">(CL87+CL44+SUM(CL61:CL68)+CL45+SUM(CL71:CL74))-(CL38+CL39+CL40)</f>
        <v>12</v>
      </c>
      <c r="CM89" s="351" t="n">
        <f aca="false">(CM87+CM44+SUM(CM61:CM68)+CM45+SUM(CM71:CM74))-(CM38+CM39+CM40)</f>
        <v>12</v>
      </c>
      <c r="CN89" s="351" t="n">
        <f aca="false">(CN87+CN44+SUM(CN61:CN68)+CN45+SUM(CN71:CN74))-(CN38+CN39+CN40)</f>
        <v>12</v>
      </c>
      <c r="CO89" s="351" t="n">
        <f aca="false">(CO87+CO44+SUM(CO61:CO68)+CO45+SUM(CO71:CO74))-(CO38+CO39+CO40)</f>
        <v>12</v>
      </c>
      <c r="CP89" s="351" t="n">
        <f aca="false">(CP87+CP44+SUM(CP61:CP68)+CP45+SUM(CP71:CP74))-(CP38+CP39+CP40)</f>
        <v>12</v>
      </c>
      <c r="CQ89" s="351" t="n">
        <f aca="false">(CQ87+CQ44+SUM(CQ61:CQ68)+CQ45+SUM(CQ71:CQ74))-(CQ38+CQ39+CQ40)</f>
        <v>12</v>
      </c>
      <c r="CR89" s="351" t="n">
        <f aca="false">(CR87+CR44+SUM(CR61:CR68)+CR45+SUM(CR71:CR74))-(CR38+CR39+CR40)</f>
        <v>12</v>
      </c>
      <c r="CS89" s="351" t="n">
        <f aca="false">(CS87+CS44+SUM(CS61:CS68)+CS45+SUM(CS71:CS74))-(CS38+CS39+CS40)</f>
        <v>12</v>
      </c>
      <c r="CT89" s="351" t="n">
        <f aca="false">(CT87+CT44+SUM(CT61:CT68)+CT45+SUM(CT71:CT74))-(CT38+CT39+CT40)</f>
        <v>12</v>
      </c>
      <c r="CU89" s="351" t="n">
        <f aca="false">(CU87+CU44+SUM(CU61:CU68)+CU45+SUM(CU71:CU74))-(CU38+CU39+CU40)</f>
        <v>12</v>
      </c>
      <c r="CV89" s="351" t="n">
        <f aca="false">(CV87+CV44+SUM(CV61:CV68)+CV45+SUM(CV71:CV74))-(CV38+CV39+CV40)</f>
        <v>12</v>
      </c>
      <c r="CW89" s="351" t="n">
        <f aca="false">(CW87+CW44+SUM(CW61:CW68)+CW45+SUM(CW71:CW74))-(CW38+CW39+CW40)</f>
        <v>12</v>
      </c>
      <c r="CX89" s="351" t="n">
        <f aca="false">(CX87+CX44+SUM(CX61:CX68)+CX45+SUM(CX71:CX74))-(CX38+CX39+CX40)</f>
        <v>12</v>
      </c>
      <c r="CY89" s="351" t="n">
        <f aca="false">(CY87+CY44+SUM(CY61:CY68)+CY45+SUM(CY71:CY74))-(CY38+CY39+CY40)</f>
        <v>12</v>
      </c>
      <c r="CZ89" s="351" t="n">
        <f aca="false">(CZ87+CZ44+SUM(CZ61:CZ68)+CZ45+SUM(CZ71:CZ74))-(CZ38+CZ39+CZ40)</f>
        <v>12</v>
      </c>
      <c r="DA89" s="351" t="n">
        <f aca="false">(DA87+DA44+SUM(DA61:DA68)+DA45+SUM(DA71:DA74))-(DA38+DA39+DA40)</f>
        <v>12</v>
      </c>
      <c r="DB89" s="351" t="n">
        <f aca="false">(DB87+DB44+SUM(DB61:DB68)+DB45+SUM(DB71:DB74))-(DB38+DB39+DB40)</f>
        <v>12</v>
      </c>
      <c r="DC89" s="351" t="n">
        <f aca="false">(DC87+DC44+SUM(DC61:DC68)+DC45+SUM(DC71:DC74))-(DC38+DC39+DC40)</f>
        <v>12</v>
      </c>
      <c r="DD89" s="351" t="n">
        <f aca="false">(DD87+DD44+SUM(DD61:DD68)+DD45+SUM(DD71:DD74))-(DD38+DD39+DD40)</f>
        <v>12</v>
      </c>
      <c r="DE89" s="351" t="n">
        <f aca="false">(DE87+DE44+SUM(DE61:DE68)+DE45+SUM(DE71:DE74))-(DE38+DE39+DE40)</f>
        <v>12</v>
      </c>
    </row>
    <row r="91" customFormat="false" ht="13.5" hidden="false" customHeight="true" outlineLevel="0" collapsed="false">
      <c r="A91" s="209" t="s">
        <v>1211</v>
      </c>
      <c r="B91" s="210"/>
    </row>
    <row r="92" customFormat="false" ht="13.5" hidden="false" customHeight="true" outlineLevel="0" collapsed="false">
      <c r="A92" s="109" t="s">
        <v>1212</v>
      </c>
      <c r="B92" s="348" t="n">
        <v>1</v>
      </c>
    </row>
    <row r="93" customFormat="false" ht="13.5" hidden="false" customHeight="true" outlineLevel="0" collapsed="false">
      <c r="A93" s="109" t="s">
        <v>1213</v>
      </c>
      <c r="B93" s="348" t="n">
        <v>0.5</v>
      </c>
    </row>
    <row r="94" customFormat="false" ht="13.5" hidden="false" customHeight="true" outlineLevel="0" collapsed="false">
      <c r="A94" s="109" t="s">
        <v>1214</v>
      </c>
      <c r="B94" s="348" t="n">
        <v>0.33</v>
      </c>
    </row>
    <row r="96" customFormat="false" ht="13.5" hidden="false" customHeight="true" outlineLevel="0" collapsed="false">
      <c r="A96" s="1" t="s">
        <v>1215</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5.99</v>
      </c>
      <c r="R96" s="1" t="n">
        <f aca="false">SUMPRODUCT((Projects!$G$2:$G$45="Yes")*(14&gt;=Projects!$C$2:$C$45-$B$15)*(14&lt;=Projects!$W$2:$W$45+$B$17)*((Projects!$B$2:$B$45&gt;=$B$12)*$B$92+(Projects!$B$2:$B$45&lt;$B$12)*(Projects!$B$2:$B$45&gt;=$B$13)*$B$93+(Projects!$B$2:$B$45&lt;$B$13)*$B$94))</f>
        <v>6.49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7.16</v>
      </c>
      <c r="Y96" s="1" t="n">
        <f aca="false">SUMPRODUCT((Projects!$G$2:$G$45="Yes")*(21&gt;=Projects!$C$2:$C$45-$B$15)*(21&lt;=Projects!$W$2:$W$45+$B$17)*((Projects!$B$2:$B$45&gt;=$B$12)*$B$92+(Projects!$B$2:$B$45&lt;$B$12)*(Projects!$B$2:$B$45&gt;=$B$13)*$B$93+(Projects!$B$2:$B$45&lt;$B$13)*$B$94))</f>
        <v>6.66</v>
      </c>
      <c r="Z96" s="1" t="n">
        <f aca="false">SUMPRODUCT((Projects!$G$2:$G$45="Yes")*(22&gt;=Projects!$C$2:$C$45-$B$15)*(22&lt;=Projects!$W$2:$W$45+$B$17)*((Projects!$B$2:$B$45&gt;=$B$12)*$B$92+(Projects!$B$2:$B$45&lt;$B$12)*(Projects!$B$2:$B$45&gt;=$B$13)*$B$93+(Projects!$B$2:$B$45&lt;$B$13)*$B$94))</f>
        <v>6.66</v>
      </c>
      <c r="AA96" s="1" t="n">
        <f aca="false">SUMPRODUCT((Projects!$G$2:$G$45="Yes")*(23&gt;=Projects!$C$2:$C$45-$B$15)*(23&lt;=Projects!$W$2:$W$45+$B$17)*((Projects!$B$2:$B$45&gt;=$B$12)*$B$92+(Projects!$B$2:$B$45&lt;$B$12)*(Projects!$B$2:$B$45&gt;=$B$13)*$B$93+(Projects!$B$2:$B$45&lt;$B$13)*$B$94))</f>
        <v>6.66</v>
      </c>
      <c r="AB96" s="1" t="n">
        <f aca="false">SUMPRODUCT((Projects!$G$2:$G$45="Yes")*(24&gt;=Projects!$C$2:$C$45-$B$15)*(24&lt;=Projects!$W$2:$W$45+$B$17)*((Projects!$B$2:$B$45&gt;=$B$12)*$B$92+(Projects!$B$2:$B$45&lt;$B$12)*(Projects!$B$2:$B$45&gt;=$B$13)*$B$93+(Projects!$B$2:$B$45&lt;$B$13)*$B$94))</f>
        <v>6.66</v>
      </c>
      <c r="AC96" s="1" t="n">
        <f aca="false">SUMPRODUCT((Projects!$G$2:$G$45="Yes")*(25&gt;=Projects!$C$2:$C$45-$B$15)*(25&lt;=Projects!$W$2:$W$45+$B$17)*((Projects!$B$2:$B$45&gt;=$B$12)*$B$92+(Projects!$B$2:$B$45&lt;$B$12)*(Projects!$B$2:$B$45&gt;=$B$13)*$B$93+(Projects!$B$2:$B$45&lt;$B$13)*$B$94))</f>
        <v>6.16</v>
      </c>
      <c r="AD96" s="1" t="n">
        <f aca="false">SUMPRODUCT((Projects!$G$2:$G$45="Yes")*(26&gt;=Projects!$C$2:$C$45-$B$15)*(26&lt;=Projects!$W$2:$W$45+$B$17)*((Projects!$B$2:$B$45&gt;=$B$12)*$B$92+(Projects!$B$2:$B$45&lt;$B$12)*(Projects!$B$2:$B$45&gt;=$B$13)*$B$93+(Projects!$B$2:$B$45&lt;$B$13)*$B$94))</f>
        <v>5.66</v>
      </c>
      <c r="AE96" s="1" t="n">
        <f aca="false">SUMPRODUCT((Projects!$G$2:$G$45="Yes")*(27&gt;=Projects!$C$2:$C$45-$B$15)*(27&lt;=Projects!$W$2:$W$45+$B$17)*((Projects!$B$2:$B$45&gt;=$B$12)*$B$92+(Projects!$B$2:$B$45&lt;$B$12)*(Projects!$B$2:$B$45&gt;=$B$13)*$B$93+(Projects!$B$2:$B$45&lt;$B$13)*$B$94))</f>
        <v>6.66</v>
      </c>
      <c r="AF96" s="1" t="n">
        <f aca="false">SUMPRODUCT((Projects!$G$2:$G$45="Yes")*(28&gt;=Projects!$C$2:$C$45-$B$15)*(28&lt;=Projects!$W$2:$W$45+$B$17)*((Projects!$B$2:$B$45&gt;=$B$12)*$B$92+(Projects!$B$2:$B$45&lt;$B$12)*(Projects!$B$2:$B$45&gt;=$B$13)*$B$93+(Projects!$B$2:$B$45&lt;$B$13)*$B$94))</f>
        <v>6.66</v>
      </c>
      <c r="AG96" s="1" t="n">
        <f aca="false">SUMPRODUCT((Projects!$G$2:$G$45="Yes")*(29&gt;=Projects!$C$2:$C$45-$B$15)*(29&lt;=Projects!$W$2:$W$45+$B$17)*((Projects!$B$2:$B$45&gt;=$B$12)*$B$92+(Projects!$B$2:$B$45&lt;$B$12)*(Projects!$B$2:$B$45&gt;=$B$13)*$B$93+(Projects!$B$2:$B$45&lt;$B$13)*$B$94))</f>
        <v>6.66</v>
      </c>
      <c r="AH96" s="1" t="n">
        <f aca="false">SUMPRODUCT((Projects!$G$2:$G$45="Yes")*(30&gt;=Projects!$C$2:$C$45-$B$15)*(30&lt;=Projects!$W$2:$W$45+$B$17)*((Projects!$B$2:$B$45&gt;=$B$12)*$B$92+(Projects!$B$2:$B$45&lt;$B$12)*(Projects!$B$2:$B$45&gt;=$B$13)*$B$93+(Projects!$B$2:$B$45&lt;$B$13)*$B$94))</f>
        <v>5.83</v>
      </c>
      <c r="AI96" s="1" t="n">
        <f aca="false">SUMPRODUCT((Projects!$G$2:$G$45="Yes")*(31&gt;=Projects!$C$2:$C$45-$B$15)*(31&lt;=Projects!$W$2:$W$45+$B$17)*((Projects!$B$2:$B$45&gt;=$B$12)*$B$92+(Projects!$B$2:$B$45&lt;$B$12)*(Projects!$B$2:$B$45&gt;=$B$13)*$B$93+(Projects!$B$2:$B$45&lt;$B$13)*$B$94))</f>
        <v>5.5</v>
      </c>
      <c r="AJ96" s="1" t="n">
        <f aca="false">SUMPRODUCT((Projects!$G$2:$G$45="Yes")*(32&gt;=Projects!$C$2:$C$45-$B$15)*(32&lt;=Projects!$W$2:$W$45+$B$17)*((Projects!$B$2:$B$45&gt;=$B$12)*$B$92+(Projects!$B$2:$B$45&lt;$B$12)*(Projects!$B$2:$B$45&gt;=$B$13)*$B$93+(Projects!$B$2:$B$45&lt;$B$13)*$B$94))</f>
        <v>5</v>
      </c>
      <c r="AK96" s="1" t="n">
        <f aca="false">SUMPRODUCT((Projects!$G$2:$G$45="Yes")*(33&gt;=Projects!$C$2:$C$45-$B$15)*(33&lt;=Projects!$W$2:$W$45+$B$17)*((Projects!$B$2:$B$45&gt;=$B$12)*$B$92+(Projects!$B$2:$B$45&lt;$B$12)*(Projects!$B$2:$B$45&gt;=$B$13)*$B$93+(Projects!$B$2:$B$45&lt;$B$13)*$B$94))</f>
        <v>5</v>
      </c>
      <c r="AL96" s="1" t="n">
        <f aca="false">SUMPRODUCT((Projects!$G$2:$G$45="Yes")*(34&gt;=Projects!$C$2:$C$45-$B$15)*(34&lt;=Projects!$W$2:$W$45+$B$17)*((Projects!$B$2:$B$45&gt;=$B$12)*$B$92+(Projects!$B$2:$B$45&lt;$B$12)*(Projects!$B$2:$B$45&gt;=$B$13)*$B$93+(Projects!$B$2:$B$45&lt;$B$13)*$B$94))</f>
        <v>4</v>
      </c>
      <c r="AM96" s="1" t="n">
        <f aca="false">SUMPRODUCT((Projects!$G$2:$G$45="Yes")*(35&gt;=Projects!$C$2:$C$45-$B$15)*(35&lt;=Projects!$W$2:$W$45+$B$17)*((Projects!$B$2:$B$45&gt;=$B$12)*$B$92+(Projects!$B$2:$B$45&lt;$B$12)*(Projects!$B$2:$B$45&gt;=$B$13)*$B$93+(Projects!$B$2:$B$45&lt;$B$13)*$B$94))</f>
        <v>4</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2.5</v>
      </c>
      <c r="AQ96" s="1" t="n">
        <f aca="false">SUMPRODUCT((Projects!$G$2:$G$45="Yes")*(39&gt;=Projects!$C$2:$C$45-$B$15)*(39&lt;=Projects!$W$2:$W$45+$B$17)*((Projects!$B$2:$B$45&gt;=$B$12)*$B$92+(Projects!$B$2:$B$45&lt;$B$12)*(Projects!$B$2:$B$45&gt;=$B$13)*$B$93+(Projects!$B$2:$B$45&lt;$B$13)*$B$94))</f>
        <v>2</v>
      </c>
      <c r="AR96" s="1" t="n">
        <f aca="false">SUMPRODUCT((Projects!$G$2:$G$45="Yes")*(40&gt;=Projects!$C$2:$C$45-$B$15)*(40&lt;=Projects!$W$2:$W$45+$B$17)*((Projects!$B$2:$B$45&gt;=$B$12)*$B$92+(Projects!$B$2:$B$45&lt;$B$12)*(Projects!$B$2:$B$45&gt;=$B$13)*$B$93+(Projects!$B$2:$B$45&lt;$B$13)*$B$94))</f>
        <v>2</v>
      </c>
      <c r="AS96" s="1" t="n">
        <f aca="false">SUMPRODUCT((Projects!$G$2:$G$45="Yes")*(41&gt;=Projects!$C$2:$C$45-$B$15)*(41&lt;=Projects!$W$2:$W$45+$B$17)*((Projects!$B$2:$B$45&gt;=$B$12)*$B$92+(Projects!$B$2:$B$45&lt;$B$12)*(Projects!$B$2:$B$45&gt;=$B$13)*$B$93+(Projects!$B$2:$B$45&lt;$B$13)*$B$94))</f>
        <v>2</v>
      </c>
      <c r="AT96" s="1" t="n">
        <f aca="false">SUMPRODUCT((Projects!$G$2:$G$45="Yes")*(42&gt;=Projects!$C$2:$C$45-$B$15)*(42&lt;=Projects!$W$2:$W$45+$B$17)*((Projects!$B$2:$B$45&gt;=$B$12)*$B$92+(Projects!$B$2:$B$45&lt;$B$12)*(Projects!$B$2:$B$45&gt;=$B$13)*$B$93+(Projects!$B$2:$B$45&lt;$B$13)*$B$94))</f>
        <v>2</v>
      </c>
      <c r="AU96" s="1" t="n">
        <f aca="false">SUMPRODUCT((Projects!$G$2:$G$45="Yes")*(43&gt;=Projects!$C$2:$C$45-$B$15)*(43&lt;=Projects!$W$2:$W$45+$B$17)*((Projects!$B$2:$B$45&gt;=$B$12)*$B$92+(Projects!$B$2:$B$45&lt;$B$12)*(Projects!$B$2:$B$45&gt;=$B$13)*$B$93+(Projects!$B$2:$B$45&lt;$B$13)*$B$94))</f>
        <v>2</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2</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1216</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1217</v>
      </c>
      <c r="B99" s="211" t="n">
        <f aca="false">$B$27</f>
        <v>125000</v>
      </c>
      <c r="E99" s="352" t="n">
        <f aca="false">IF(1&lt;5,0,IF(MAX(E96)&gt;E97+0+$B$18,1,0))</f>
        <v>0</v>
      </c>
      <c r="F99" s="352" t="n">
        <f aca="false">IF(2&lt;5,0,IF(MAX(E96:F96)&gt;F97+0+$B$18,1,0))</f>
        <v>0</v>
      </c>
      <c r="G99" s="352" t="n">
        <f aca="false">IF(3&lt;5,0,IF(MAX(E96:G96)&gt;G97+0+$B$18,1,0))</f>
        <v>0</v>
      </c>
      <c r="H99" s="352" t="n">
        <f aca="false">IF(4&lt;5,0,IF(MAX(E96:H96)&gt;H97+0+$B$18,1,0))</f>
        <v>0</v>
      </c>
      <c r="I99" s="352" t="n">
        <f aca="false">IF(5&lt;5,0,IF(MAX(E96:I96)&gt;I97+0+$B$18,1,0))</f>
        <v>0</v>
      </c>
      <c r="J99" s="352" t="n">
        <f aca="false">IF(6&lt;5,0,IF(MAX(E96:J96)&gt;J97+0+$B$18,1,0))</f>
        <v>0</v>
      </c>
      <c r="K99" s="352" t="n">
        <f aca="false">IF(7&lt;5,0,IF(MAX(F96:K96)&gt;K97+0+$B$18,1,0))</f>
        <v>0</v>
      </c>
      <c r="L99" s="352" t="n">
        <f aca="false">IF(8&lt;5,0,IF(MAX(G96:L96)&gt;L97+0+$B$18,1,0))</f>
        <v>0</v>
      </c>
      <c r="M99" s="352" t="n">
        <f aca="false">IF(9&lt;5,0,IF(MAX(H96:M96)&gt;M97+0+$B$18,1,0))</f>
        <v>1</v>
      </c>
      <c r="N99" s="352" t="n">
        <f aca="false">IF(10&lt;5,0,IF(MAX(I96:N96)&gt;N97+0+$B$18,1,0))</f>
        <v>1</v>
      </c>
      <c r="O99" s="352" t="n">
        <f aca="false">IF(11&lt;5,0,IF(MAX(J96:O96)&gt;O97+0+$B$18,1,0))</f>
        <v>1</v>
      </c>
      <c r="P99" s="352" t="n">
        <f aca="false">IF(12&lt;5,0,IF(MAX(K96:P96)&gt;P97+0+$B$18,1,0))</f>
        <v>1</v>
      </c>
      <c r="Q99" s="352" t="n">
        <f aca="false">IF(13&lt;5,0,IF(MAX(L96:Q96)&gt;Q97+0+$B$18,1,0))</f>
        <v>1</v>
      </c>
      <c r="R99" s="352" t="n">
        <f aca="false">IF(14&lt;5,0,IF(MAX(M96:R96)&gt;R97+0+$B$18,1,0))</f>
        <v>1</v>
      </c>
      <c r="S99" s="352" t="n">
        <f aca="false">IF(15&lt;5,0,IF(MAX(N96:S96)&gt;S97+0+$B$18,1,0))</f>
        <v>1</v>
      </c>
      <c r="T99" s="352" t="n">
        <f aca="false">IF(16&lt;5,0,IF(MAX(O96:T96)&gt;T97+0+$B$18,1,0))</f>
        <v>1</v>
      </c>
      <c r="U99" s="352" t="n">
        <f aca="false">IF(17&lt;5,0,IF(MAX(P96:U96)&gt;U97+0+$B$18,1,0))</f>
        <v>1</v>
      </c>
      <c r="V99" s="352" t="n">
        <f aca="false">IF(18&lt;5,0,IF(MAX(Q96:V96)&gt;V97+0+$B$18,1,0))</f>
        <v>1</v>
      </c>
      <c r="W99" s="352" t="n">
        <f aca="false">IF(19&lt;5,0,IF(MAX(R96:W96)&gt;W97+0+$B$18,1,0))</f>
        <v>1</v>
      </c>
      <c r="X99" s="352" t="n">
        <f aca="false">IF(20&lt;5,0,IF(MAX(S96:X96)&gt;X97+0+$B$18,1,0))</f>
        <v>1</v>
      </c>
      <c r="Y99" s="352" t="n">
        <f aca="false">IF(21&lt;5,0,IF(MAX(T96:Y96)&gt;Y97+0+$B$18,1,0))</f>
        <v>1</v>
      </c>
      <c r="Z99" s="352" t="n">
        <f aca="false">IF(22&lt;5,0,IF(MAX(U96:Z96)&gt;Z97+0+$B$18,1,0))</f>
        <v>1</v>
      </c>
      <c r="AA99" s="352" t="n">
        <f aca="false">IF(23&lt;5,0,IF(MAX(V96:AA96)&gt;AA97+0+$B$18,1,0))</f>
        <v>1</v>
      </c>
      <c r="AB99" s="352" t="n">
        <f aca="false">IF(24&lt;5,0,IF(MAX(W96:AB96)&gt;AB97+0+$B$18,1,0))</f>
        <v>1</v>
      </c>
      <c r="AC99" s="352" t="n">
        <f aca="false">IF(25&lt;5,0,IF(MAX(X96:AC96)&gt;AC97+0+$B$18,1,0))</f>
        <v>1</v>
      </c>
      <c r="AD99" s="352" t="n">
        <f aca="false">IF(26&lt;5,0,IF(MAX(Y96:AD96)&gt;AD97+0+$B$18,1,0))</f>
        <v>1</v>
      </c>
      <c r="AE99" s="352" t="n">
        <f aca="false">IF(27&lt;5,0,IF(MAX(Z96:AE96)&gt;AE97+0+$B$18,1,0))</f>
        <v>1</v>
      </c>
      <c r="AF99" s="352" t="n">
        <f aca="false">IF(28&lt;5,0,IF(MAX(AA96:AF96)&gt;AF97+0+$B$18,1,0))</f>
        <v>1</v>
      </c>
      <c r="AG99" s="352" t="n">
        <f aca="false">IF(29&lt;5,0,IF(MAX(AB96:AG96)&gt;AG97+0+$B$18,1,0))</f>
        <v>1</v>
      </c>
      <c r="AH99" s="352" t="n">
        <f aca="false">IF(30&lt;5,0,IF(MAX(AC96:AH96)&gt;AH97+0+$B$18,1,0))</f>
        <v>1</v>
      </c>
      <c r="AI99" s="352" t="n">
        <f aca="false">IF(31&lt;5,0,IF(MAX(AD96:AI96)&gt;AI97+0+$B$18,1,0))</f>
        <v>1</v>
      </c>
      <c r="AJ99" s="352" t="n">
        <f aca="false">IF(32&lt;5,0,IF(MAX(AE96:AJ96)&gt;AJ97+0+$B$18,1,0))</f>
        <v>1</v>
      </c>
      <c r="AK99" s="352" t="n">
        <f aca="false">IF(33&lt;5,0,IF(MAX(AF96:AK96)&gt;AK97+0+$B$18,1,0))</f>
        <v>1</v>
      </c>
      <c r="AL99" s="352" t="n">
        <f aca="false">IF(34&lt;5,0,IF(MAX(AG96:AL96)&gt;AL97+0+$B$18,1,0))</f>
        <v>1</v>
      </c>
      <c r="AM99" s="352" t="n">
        <f aca="false">IF(35&lt;5,0,IF(MAX(AH96:AM96)&gt;AM97+0+$B$18,1,0))</f>
        <v>1</v>
      </c>
      <c r="AN99" s="352" t="n">
        <f aca="false">IF(36&lt;5,0,IF(MAX(AI96:AN96)&gt;AN97+0+$B$18,1,0))</f>
        <v>1</v>
      </c>
      <c r="AO99" s="352" t="n">
        <f aca="false">IF(37&lt;5,0,IF(MAX(AJ96:AO96)&gt;AO97+0+$B$18,1,0))</f>
        <v>1</v>
      </c>
      <c r="AP99" s="352" t="n">
        <f aca="false">IF(38&lt;5,0,IF(MAX(AK96:AP96)&gt;AP97+0+$B$18,1,0))</f>
        <v>1</v>
      </c>
      <c r="AQ99" s="352" t="n">
        <f aca="false">IF(39&lt;5,0,IF(MAX(AL96:AQ96)&gt;AQ97+0+$B$18,1,0))</f>
        <v>0</v>
      </c>
      <c r="AR99" s="352" t="n">
        <f aca="false">IF(40&lt;5,0,IF(MAX(AM96:AR96)&gt;AR97+0+$B$18,1,0))</f>
        <v>0</v>
      </c>
      <c r="AS99" s="352" t="n">
        <f aca="false">IF(41&lt;5,0,IF(MAX(AN96:AS96)&gt;AS97+0+$B$18,1,0))</f>
        <v>0</v>
      </c>
      <c r="AT99" s="352" t="n">
        <f aca="false">IF(42&lt;5,0,IF(MAX(AO96:AT96)&gt;AT97+0+$B$18,1,0))</f>
        <v>0</v>
      </c>
      <c r="AU99" s="352" t="n">
        <f aca="false">IF(43&lt;5,0,IF(MAX(AP96:AU96)&gt;AU97+0+$B$18,1,0))</f>
        <v>0</v>
      </c>
      <c r="AV99" s="352" t="n">
        <f aca="false">IF(44&lt;5,0,IF(MAX(AQ96:AV96)&gt;AV97+0+$B$18,1,0))</f>
        <v>0</v>
      </c>
      <c r="AW99" s="352" t="n">
        <f aca="false">IF(45&lt;5,0,IF(MAX(AR96:AW96)&gt;AW97+0+$B$18,1,0))</f>
        <v>0</v>
      </c>
      <c r="AX99" s="352" t="n">
        <f aca="false">IF(46&lt;5,0,IF(MAX(AS96:AX96)&gt;AX97+0+$B$18,1,0))</f>
        <v>0</v>
      </c>
      <c r="AY99" s="352" t="n">
        <f aca="false">IF(47&lt;5,0,IF(MAX(AT96:AY96)&gt;AY97+0+$B$18,1,0))</f>
        <v>0</v>
      </c>
      <c r="AZ99" s="352" t="n">
        <f aca="false">IF(48&lt;5,0,IF(MAX(AU96:AZ96)&gt;AZ97+0+$B$18,1,0))</f>
        <v>0</v>
      </c>
      <c r="BA99" s="352" t="n">
        <f aca="false">IF(49&lt;5,0,IF(MAX(AV96:BA96)&gt;BA97+0+$B$18,1,0))</f>
        <v>0</v>
      </c>
      <c r="BB99" s="352" t="n">
        <f aca="false">IF(50&lt;5,0,IF(MAX(AW96:BB96)&gt;BB97+0+$B$18,1,0))</f>
        <v>0</v>
      </c>
      <c r="BC99" s="352" t="n">
        <f aca="false">IF(51&lt;5,0,IF(MAX(AX96:BC96)&gt;BC97+0+$B$18,1,0))</f>
        <v>0</v>
      </c>
      <c r="BD99" s="352" t="n">
        <f aca="false">IF(52&lt;5,0,IF(MAX(AY96:BD96)&gt;BD97+0+$B$18,1,0))</f>
        <v>0</v>
      </c>
      <c r="BE99" s="352" t="n">
        <f aca="false">IF(53&lt;5,0,IF(MAX(AZ96:BE96)&gt;BE97+0+$B$18,1,0))</f>
        <v>0</v>
      </c>
      <c r="BF99" s="352" t="n">
        <f aca="false">IF(54&lt;5,0,IF(MAX(BA96:BF96)&gt;BF97+0+$B$18,1,0))</f>
        <v>0</v>
      </c>
      <c r="BG99" s="352" t="n">
        <f aca="false">IF(55&lt;5,0,IF(MAX(BB96:BG96)&gt;BG97+0+$B$18,1,0))</f>
        <v>0</v>
      </c>
      <c r="BH99" s="352" t="n">
        <f aca="false">IF(56&lt;5,0,IF(MAX(BC96:BH96)&gt;BH97+0+$B$18,1,0))</f>
        <v>0</v>
      </c>
      <c r="BI99" s="352" t="n">
        <f aca="false">IF(57&lt;5,0,IF(MAX(BD96:BI96)&gt;BI97+0+$B$18,1,0))</f>
        <v>0</v>
      </c>
      <c r="BJ99" s="352" t="n">
        <f aca="false">IF(58&lt;5,0,IF(MAX(BE96:BJ96)&gt;BJ97+0+$B$18,1,0))</f>
        <v>0</v>
      </c>
      <c r="BK99" s="352" t="n">
        <f aca="false">IF(59&lt;5,0,IF(MAX(BF96:BK96)&gt;BK97+0+$B$18,1,0))</f>
        <v>0</v>
      </c>
      <c r="BL99" s="352" t="n">
        <f aca="false">IF(60&lt;5,0,IF(MAX(BG96:BL96)&gt;BL97+0+$B$18,1,0))</f>
        <v>0</v>
      </c>
      <c r="BM99" s="352" t="n">
        <f aca="false">IF(61&lt;5,0,IF(MAX(BH96:BM96)&gt;BM97+0+$B$18,1,0))</f>
        <v>0</v>
      </c>
      <c r="BN99" s="352" t="n">
        <f aca="false">IF(62&lt;5,0,IF(MAX(BI96:BN96)&gt;BN97+0+$B$18,1,0))</f>
        <v>0</v>
      </c>
      <c r="BO99" s="352" t="n">
        <f aca="false">IF(63&lt;5,0,IF(MAX(BJ96:BO96)&gt;BO97+0+$B$18,1,0))</f>
        <v>0</v>
      </c>
      <c r="BP99" s="352" t="n">
        <f aca="false">IF(64&lt;5,0,IF(MAX(BK96:BP96)&gt;BP97+0+$B$18,1,0))</f>
        <v>0</v>
      </c>
      <c r="BQ99" s="352" t="n">
        <f aca="false">IF(65&lt;5,0,IF(MAX(BL96:BQ96)&gt;BQ97+0+$B$18,1,0))</f>
        <v>0</v>
      </c>
      <c r="BR99" s="352" t="n">
        <f aca="false">IF(66&lt;5,0,IF(MAX(BM96:BR96)&gt;BR97+0+$B$18,1,0))</f>
        <v>0</v>
      </c>
      <c r="BS99" s="352" t="n">
        <f aca="false">IF(67&lt;5,0,IF(MAX(BN96:BS96)&gt;BS97+0+$B$18,1,0))</f>
        <v>0</v>
      </c>
      <c r="BT99" s="352" t="n">
        <f aca="false">IF(68&lt;5,0,IF(MAX(BO96:BT96)&gt;BT97+0+$B$18,1,0))</f>
        <v>0</v>
      </c>
      <c r="BU99" s="352" t="n">
        <f aca="false">IF(69&lt;5,0,IF(MAX(BP96:BU96)&gt;BU97+0+$B$18,1,0))</f>
        <v>0</v>
      </c>
      <c r="BV99" s="352" t="n">
        <f aca="false">IF(70&lt;5,0,IF(MAX(BQ96:BV96)&gt;BV97+0+$B$18,1,0))</f>
        <v>0</v>
      </c>
      <c r="BW99" s="352" t="n">
        <f aca="false">IF(71&lt;5,0,IF(MAX(BR96:BW96)&gt;BW97+0+$B$18,1,0))</f>
        <v>0</v>
      </c>
      <c r="BX99" s="352" t="n">
        <f aca="false">IF(72&lt;5,0,IF(MAX(BS96:BX96)&gt;BX97+0+$B$18,1,0))</f>
        <v>0</v>
      </c>
      <c r="BY99" s="352" t="n">
        <f aca="false">IF(73&lt;5,0,IF(MAX(BT96:BY96)&gt;BY97+0+$B$18,1,0))</f>
        <v>0</v>
      </c>
      <c r="BZ99" s="352" t="n">
        <f aca="false">IF(74&lt;5,0,IF(MAX(BU96:BZ96)&gt;BZ97+0+$B$18,1,0))</f>
        <v>0</v>
      </c>
      <c r="CA99" s="352" t="n">
        <f aca="false">IF(75&lt;5,0,IF(MAX(BV96:CA96)&gt;CA97+0+$B$18,1,0))</f>
        <v>0</v>
      </c>
      <c r="CB99" s="352" t="n">
        <f aca="false">IF(76&lt;5,0,IF(MAX(BW96:CB96)&gt;CB97+0+$B$18,1,0))</f>
        <v>0</v>
      </c>
      <c r="CC99" s="352" t="n">
        <f aca="false">IF(77&lt;5,0,IF(MAX(BX96:CC96)&gt;CC97+0+$B$18,1,0))</f>
        <v>0</v>
      </c>
      <c r="CD99" s="352" t="n">
        <f aca="false">IF(78&lt;5,0,IF(MAX(BY96:CD96)&gt;CD97+0+$B$18,1,0))</f>
        <v>0</v>
      </c>
      <c r="CE99" s="352" t="n">
        <f aca="false">IF(79&lt;5,0,IF(MAX(BZ96:CE96)&gt;CE97+0+$B$18,1,0))</f>
        <v>0</v>
      </c>
      <c r="CF99" s="352" t="n">
        <f aca="false">IF(80&lt;5,0,IF(MAX(CA96:CF96)&gt;CF97+0+$B$18,1,0))</f>
        <v>0</v>
      </c>
      <c r="CG99" s="352" t="n">
        <f aca="false">IF(81&lt;5,0,IF(MAX(CB96:CG96)&gt;CG97+0+$B$18,1,0))</f>
        <v>0</v>
      </c>
      <c r="CH99" s="352" t="n">
        <f aca="false">IF(82&lt;5,0,IF(MAX(CC96:CH96)&gt;CH97+0+$B$18,1,0))</f>
        <v>0</v>
      </c>
      <c r="CI99" s="352" t="n">
        <f aca="false">IF(83&lt;5,0,IF(MAX(CD96:CI96)&gt;CI97+0+$B$18,1,0))</f>
        <v>0</v>
      </c>
      <c r="CJ99" s="352" t="n">
        <f aca="false">IF(84&lt;5,0,IF(MAX(CE96:CJ96)&gt;CJ97+0+$B$18,1,0))</f>
        <v>0</v>
      </c>
      <c r="CK99" s="352" t="n">
        <f aca="false">IF(85&lt;5,0,IF(MAX(CF96:CK96)&gt;CK97+0+$B$18,1,0))</f>
        <v>0</v>
      </c>
      <c r="CL99" s="352" t="n">
        <f aca="false">IF(86&lt;5,0,IF(MAX(CG96:CL96)&gt;CL97+0+$B$18,1,0))</f>
        <v>0</v>
      </c>
      <c r="CM99" s="352" t="n">
        <f aca="false">IF(87&lt;5,0,IF(MAX(CH96:CM96)&gt;CM97+0+$B$18,1,0))</f>
        <v>0</v>
      </c>
      <c r="CN99" s="352" t="n">
        <f aca="false">IF(88&lt;5,0,IF(MAX(CI96:CN96)&gt;CN97+0+$B$18,1,0))</f>
        <v>0</v>
      </c>
      <c r="CO99" s="352" t="n">
        <f aca="false">IF(89&lt;5,0,IF(MAX(CJ96:CO96)&gt;CO97+0+$B$18,1,0))</f>
        <v>0</v>
      </c>
      <c r="CP99" s="352" t="n">
        <f aca="false">IF(90&lt;5,0,IF(MAX(CK96:CP96)&gt;CP97+0+$B$18,1,0))</f>
        <v>0</v>
      </c>
      <c r="CQ99" s="352" t="n">
        <f aca="false">IF(91&lt;5,0,IF(MAX(CL96:CQ96)&gt;CQ97+0+$B$18,1,0))</f>
        <v>0</v>
      </c>
      <c r="CR99" s="352" t="n">
        <f aca="false">IF(92&lt;5,0,IF(MAX(CM96:CR96)&gt;CR97+0+$B$18,1,0))</f>
        <v>0</v>
      </c>
      <c r="CS99" s="352" t="n">
        <f aca="false">IF(93&lt;5,0,IF(MAX(CN96:CS96)&gt;CS97+0+$B$18,1,0))</f>
        <v>0</v>
      </c>
      <c r="CT99" s="352" t="n">
        <f aca="false">IF(94&lt;5,0,IF(MAX(CO96:CT96)&gt;CT97+0+$B$18,1,0))</f>
        <v>0</v>
      </c>
      <c r="CU99" s="352" t="n">
        <f aca="false">IF(95&lt;5,0,IF(MAX(CP96:CU96)&gt;CU97+0+$B$18,1,0))</f>
        <v>0</v>
      </c>
      <c r="CV99" s="352" t="n">
        <f aca="false">IF(96&lt;5,0,IF(MAX(CQ96:CV96)&gt;CV97+0+$B$18,1,0))</f>
        <v>0</v>
      </c>
      <c r="CW99" s="352" t="n">
        <f aca="false">IF(97&lt;5,0,IF(MAX(CR96:CW96)&gt;CW97+0+$B$18,1,0))</f>
        <v>0</v>
      </c>
      <c r="CX99" s="352" t="n">
        <f aca="false">IF(98&lt;5,0,IF(MAX(CS96:CX96)&gt;CX97+0+$B$18,1,0))</f>
        <v>0</v>
      </c>
      <c r="CY99" s="352" t="n">
        <f aca="false">IF(99&lt;5,0,IF(MAX(CT96:CY96)&gt;CY97+0+$B$18,1,0))</f>
        <v>0</v>
      </c>
      <c r="CZ99" s="352" t="n">
        <f aca="false">IF(100&lt;5,0,IF(MAX(CU96:CZ96)&gt;CZ97+0+$B$18,1,0))</f>
        <v>0</v>
      </c>
      <c r="DA99" s="352" t="n">
        <f aca="false">IF(101&lt;5,0,IF(MAX(CV96:DA96)&gt;DA97+0+$B$18,1,0))</f>
        <v>0</v>
      </c>
      <c r="DB99" s="352" t="n">
        <f aca="false">IF(102&lt;5,0,IF(MAX(CW96:DB96)&gt;DB97+0+$B$18,1,0))</f>
        <v>0</v>
      </c>
      <c r="DC99" s="352" t="n">
        <f aca="false">IF(103&lt;5,0,IF(MAX(CX96:DC96)&gt;DC97+0+$B$18,1,0))</f>
        <v>0</v>
      </c>
      <c r="DD99" s="352" t="n">
        <f aca="false">IF(104&lt;5,0,IF(MAX(CY96:DD96)&gt;DD97+0+$B$18,1,0))</f>
        <v>0</v>
      </c>
      <c r="DE99" s="352" t="n">
        <f aca="false">IF(105&lt;5,0,IF(MAX(CZ96:DE96)&gt;DE97+0+$B$18,1,0))</f>
        <v>0</v>
      </c>
    </row>
    <row r="100" customFormat="false" ht="13.5" hidden="false" customHeight="true" outlineLevel="0" collapsed="false">
      <c r="A100" s="109" t="s">
        <v>1218</v>
      </c>
      <c r="B100" s="211" t="n">
        <f aca="false">$B$27</f>
        <v>125000</v>
      </c>
      <c r="E100" s="352" t="n">
        <f aca="false">IF(1&lt;5,0,IF(MAX(E96)&gt;E97+1+$B$18,1,0))</f>
        <v>0</v>
      </c>
      <c r="F100" s="352" t="n">
        <f aca="false">IF(2&lt;5,0,IF(MAX(E96:F96)&gt;F97+1+$B$18,1,0))</f>
        <v>0</v>
      </c>
      <c r="G100" s="352" t="n">
        <f aca="false">IF(3&lt;5,0,IF(MAX(E96:G96)&gt;G97+1+$B$18,1,0))</f>
        <v>0</v>
      </c>
      <c r="H100" s="352" t="n">
        <f aca="false">IF(4&lt;5,0,IF(MAX(E96:H96)&gt;H97+1+$B$18,1,0))</f>
        <v>0</v>
      </c>
      <c r="I100" s="352" t="n">
        <f aca="false">IF(5&lt;5,0,IF(MAX(E96:I96)&gt;I97+1+$B$18,1,0))</f>
        <v>0</v>
      </c>
      <c r="J100" s="352" t="n">
        <f aca="false">IF(6&lt;5,0,IF(MAX(E96:J96)&gt;J97+1+$B$18,1,0))</f>
        <v>0</v>
      </c>
      <c r="K100" s="352" t="n">
        <f aca="false">IF(7&lt;5,0,IF(MAX(F96:K96)&gt;K97+1+$B$18,1,0))</f>
        <v>0</v>
      </c>
      <c r="L100" s="352" t="n">
        <f aca="false">IF(8&lt;5,0,IF(MAX(G96:L96)&gt;L97+1+$B$18,1,0))</f>
        <v>0</v>
      </c>
      <c r="M100" s="352" t="n">
        <f aca="false">IF(9&lt;5,0,IF(MAX(H96:M96)&gt;M97+1+$B$18,1,0))</f>
        <v>0</v>
      </c>
      <c r="N100" s="352" t="n">
        <f aca="false">IF(10&lt;5,0,IF(MAX(I96:N96)&gt;N97+1+$B$18,1,0))</f>
        <v>0</v>
      </c>
      <c r="O100" s="352" t="n">
        <f aca="false">IF(11&lt;5,0,IF(MAX(J96:O96)&gt;O97+1+$B$18,1,0))</f>
        <v>1</v>
      </c>
      <c r="P100" s="352" t="n">
        <f aca="false">IF(12&lt;5,0,IF(MAX(K96:P96)&gt;P97+1+$B$18,1,0))</f>
        <v>1</v>
      </c>
      <c r="Q100" s="352" t="n">
        <f aca="false">IF(13&lt;5,0,IF(MAX(L96:Q96)&gt;Q97+1+$B$18,1,0))</f>
        <v>1</v>
      </c>
      <c r="R100" s="352" t="n">
        <f aca="false">IF(14&lt;5,0,IF(MAX(M96:R96)&gt;R97+1+$B$18,1,0))</f>
        <v>1</v>
      </c>
      <c r="S100" s="352" t="n">
        <f aca="false">IF(15&lt;5,0,IF(MAX(N96:S96)&gt;S97+1+$B$18,1,0))</f>
        <v>1</v>
      </c>
      <c r="T100" s="352" t="n">
        <f aca="false">IF(16&lt;5,0,IF(MAX(O96:T96)&gt;T97+1+$B$18,1,0))</f>
        <v>1</v>
      </c>
      <c r="U100" s="352" t="n">
        <f aca="false">IF(17&lt;5,0,IF(MAX(P96:U96)&gt;U97+1+$B$18,1,0))</f>
        <v>1</v>
      </c>
      <c r="V100" s="352" t="n">
        <f aca="false">IF(18&lt;5,0,IF(MAX(Q96:V96)&gt;V97+1+$B$18,1,0))</f>
        <v>1</v>
      </c>
      <c r="W100" s="352" t="n">
        <f aca="false">IF(19&lt;5,0,IF(MAX(R96:W96)&gt;W97+1+$B$18,1,0))</f>
        <v>1</v>
      </c>
      <c r="X100" s="352" t="n">
        <f aca="false">IF(20&lt;5,0,IF(MAX(S96:X96)&gt;X97+1+$B$18,1,0))</f>
        <v>1</v>
      </c>
      <c r="Y100" s="352" t="n">
        <f aca="false">IF(21&lt;5,0,IF(MAX(T96:Y96)&gt;Y97+1+$B$18,1,0))</f>
        <v>1</v>
      </c>
      <c r="Z100" s="352" t="n">
        <f aca="false">IF(22&lt;5,0,IF(MAX(U96:Z96)&gt;Z97+1+$B$18,1,0))</f>
        <v>1</v>
      </c>
      <c r="AA100" s="352" t="n">
        <f aca="false">IF(23&lt;5,0,IF(MAX(V96:AA96)&gt;AA97+1+$B$18,1,0))</f>
        <v>1</v>
      </c>
      <c r="AB100" s="352" t="n">
        <f aca="false">IF(24&lt;5,0,IF(MAX(W96:AB96)&gt;AB97+1+$B$18,1,0))</f>
        <v>1</v>
      </c>
      <c r="AC100" s="352" t="n">
        <f aca="false">IF(25&lt;5,0,IF(MAX(X96:AC96)&gt;AC97+1+$B$18,1,0))</f>
        <v>1</v>
      </c>
      <c r="AD100" s="352" t="n">
        <f aca="false">IF(26&lt;5,0,IF(MAX(Y96:AD96)&gt;AD97+1+$B$18,1,0))</f>
        <v>1</v>
      </c>
      <c r="AE100" s="352" t="n">
        <f aca="false">IF(27&lt;5,0,IF(MAX(Z96:AE96)&gt;AE97+1+$B$18,1,0))</f>
        <v>1</v>
      </c>
      <c r="AF100" s="352" t="n">
        <f aca="false">IF(28&lt;5,0,IF(MAX(AA96:AF96)&gt;AF97+1+$B$18,1,0))</f>
        <v>1</v>
      </c>
      <c r="AG100" s="352" t="n">
        <f aca="false">IF(29&lt;5,0,IF(MAX(AB96:AG96)&gt;AG97+1+$B$18,1,0))</f>
        <v>1</v>
      </c>
      <c r="AH100" s="352" t="n">
        <f aca="false">IF(30&lt;5,0,IF(MAX(AC96:AH96)&gt;AH97+1+$B$18,1,0))</f>
        <v>1</v>
      </c>
      <c r="AI100" s="352" t="n">
        <f aca="false">IF(31&lt;5,0,IF(MAX(AD96:AI96)&gt;AI97+1+$B$18,1,0))</f>
        <v>1</v>
      </c>
      <c r="AJ100" s="352" t="n">
        <f aca="false">IF(32&lt;5,0,IF(MAX(AE96:AJ96)&gt;AJ97+1+$B$18,1,0))</f>
        <v>1</v>
      </c>
      <c r="AK100" s="352" t="n">
        <f aca="false">IF(33&lt;5,0,IF(MAX(AF96:AK96)&gt;AK97+1+$B$18,1,0))</f>
        <v>1</v>
      </c>
      <c r="AL100" s="352" t="n">
        <f aca="false">IF(34&lt;5,0,IF(MAX(AG96:AL96)&gt;AL97+1+$B$18,1,0))</f>
        <v>1</v>
      </c>
      <c r="AM100" s="352" t="n">
        <f aca="false">IF(35&lt;5,0,IF(MAX(AH96:AM96)&gt;AM97+1+$B$18,1,0))</f>
        <v>1</v>
      </c>
      <c r="AN100" s="352" t="n">
        <f aca="false">IF(36&lt;5,0,IF(MAX(AI96:AN96)&gt;AN97+1+$B$18,1,0))</f>
        <v>1</v>
      </c>
      <c r="AO100" s="352" t="n">
        <f aca="false">IF(37&lt;5,0,IF(MAX(AJ96:AO96)&gt;AO97+1+$B$18,1,0))</f>
        <v>0</v>
      </c>
      <c r="AP100" s="352" t="n">
        <f aca="false">IF(38&lt;5,0,IF(MAX(AK96:AP96)&gt;AP97+1+$B$18,1,0))</f>
        <v>0</v>
      </c>
      <c r="AQ100" s="352" t="n">
        <f aca="false">IF(39&lt;5,0,IF(MAX(AL96:AQ96)&gt;AQ97+1+$B$18,1,0))</f>
        <v>0</v>
      </c>
      <c r="AR100" s="352" t="n">
        <f aca="false">IF(40&lt;5,0,IF(MAX(AM96:AR96)&gt;AR97+1+$B$18,1,0))</f>
        <v>0</v>
      </c>
      <c r="AS100" s="352" t="n">
        <f aca="false">IF(41&lt;5,0,IF(MAX(AN96:AS96)&gt;AS97+1+$B$18,1,0))</f>
        <v>0</v>
      </c>
      <c r="AT100" s="352" t="n">
        <f aca="false">IF(42&lt;5,0,IF(MAX(AO96:AT96)&gt;AT97+1+$B$18,1,0))</f>
        <v>0</v>
      </c>
      <c r="AU100" s="352" t="n">
        <f aca="false">IF(43&lt;5,0,IF(MAX(AP96:AU96)&gt;AU97+1+$B$18,1,0))</f>
        <v>0</v>
      </c>
      <c r="AV100" s="352" t="n">
        <f aca="false">IF(44&lt;5,0,IF(MAX(AQ96:AV96)&gt;AV97+1+$B$18,1,0))</f>
        <v>0</v>
      </c>
      <c r="AW100" s="352" t="n">
        <f aca="false">IF(45&lt;5,0,IF(MAX(AR96:AW96)&gt;AW97+1+$B$18,1,0))</f>
        <v>0</v>
      </c>
      <c r="AX100" s="352" t="n">
        <f aca="false">IF(46&lt;5,0,IF(MAX(AS96:AX96)&gt;AX97+1+$B$18,1,0))</f>
        <v>0</v>
      </c>
      <c r="AY100" s="352" t="n">
        <f aca="false">IF(47&lt;5,0,IF(MAX(AT96:AY96)&gt;AY97+1+$B$18,1,0))</f>
        <v>0</v>
      </c>
      <c r="AZ100" s="352" t="n">
        <f aca="false">IF(48&lt;5,0,IF(MAX(AU96:AZ96)&gt;AZ97+1+$B$18,1,0))</f>
        <v>0</v>
      </c>
      <c r="BA100" s="352" t="n">
        <f aca="false">IF(49&lt;5,0,IF(MAX(AV96:BA96)&gt;BA97+1+$B$18,1,0))</f>
        <v>0</v>
      </c>
      <c r="BB100" s="352" t="n">
        <f aca="false">IF(50&lt;5,0,IF(MAX(AW96:BB96)&gt;BB97+1+$B$18,1,0))</f>
        <v>0</v>
      </c>
      <c r="BC100" s="352" t="n">
        <f aca="false">IF(51&lt;5,0,IF(MAX(AX96:BC96)&gt;BC97+1+$B$18,1,0))</f>
        <v>0</v>
      </c>
      <c r="BD100" s="352" t="n">
        <f aca="false">IF(52&lt;5,0,IF(MAX(AY96:BD96)&gt;BD97+1+$B$18,1,0))</f>
        <v>0</v>
      </c>
      <c r="BE100" s="352" t="n">
        <f aca="false">IF(53&lt;5,0,IF(MAX(AZ96:BE96)&gt;BE97+1+$B$18,1,0))</f>
        <v>0</v>
      </c>
      <c r="BF100" s="352" t="n">
        <f aca="false">IF(54&lt;5,0,IF(MAX(BA96:BF96)&gt;BF97+1+$B$18,1,0))</f>
        <v>0</v>
      </c>
      <c r="BG100" s="352" t="n">
        <f aca="false">IF(55&lt;5,0,IF(MAX(BB96:BG96)&gt;BG97+1+$B$18,1,0))</f>
        <v>0</v>
      </c>
      <c r="BH100" s="352" t="n">
        <f aca="false">IF(56&lt;5,0,IF(MAX(BC96:BH96)&gt;BH97+1+$B$18,1,0))</f>
        <v>0</v>
      </c>
      <c r="BI100" s="352" t="n">
        <f aca="false">IF(57&lt;5,0,IF(MAX(BD96:BI96)&gt;BI97+1+$B$18,1,0))</f>
        <v>0</v>
      </c>
      <c r="BJ100" s="352" t="n">
        <f aca="false">IF(58&lt;5,0,IF(MAX(BE96:BJ96)&gt;BJ97+1+$B$18,1,0))</f>
        <v>0</v>
      </c>
      <c r="BK100" s="352" t="n">
        <f aca="false">IF(59&lt;5,0,IF(MAX(BF96:BK96)&gt;BK97+1+$B$18,1,0))</f>
        <v>0</v>
      </c>
      <c r="BL100" s="352" t="n">
        <f aca="false">IF(60&lt;5,0,IF(MAX(BG96:BL96)&gt;BL97+1+$B$18,1,0))</f>
        <v>0</v>
      </c>
      <c r="BM100" s="352" t="n">
        <f aca="false">IF(61&lt;5,0,IF(MAX(BH96:BM96)&gt;BM97+1+$B$18,1,0))</f>
        <v>0</v>
      </c>
      <c r="BN100" s="352" t="n">
        <f aca="false">IF(62&lt;5,0,IF(MAX(BI96:BN96)&gt;BN97+1+$B$18,1,0))</f>
        <v>0</v>
      </c>
      <c r="BO100" s="352" t="n">
        <f aca="false">IF(63&lt;5,0,IF(MAX(BJ96:BO96)&gt;BO97+1+$B$18,1,0))</f>
        <v>0</v>
      </c>
      <c r="BP100" s="352" t="n">
        <f aca="false">IF(64&lt;5,0,IF(MAX(BK96:BP96)&gt;BP97+1+$B$18,1,0))</f>
        <v>0</v>
      </c>
      <c r="BQ100" s="352" t="n">
        <f aca="false">IF(65&lt;5,0,IF(MAX(BL96:BQ96)&gt;BQ97+1+$B$18,1,0))</f>
        <v>0</v>
      </c>
      <c r="BR100" s="352" t="n">
        <f aca="false">IF(66&lt;5,0,IF(MAX(BM96:BR96)&gt;BR97+1+$B$18,1,0))</f>
        <v>0</v>
      </c>
      <c r="BS100" s="352" t="n">
        <f aca="false">IF(67&lt;5,0,IF(MAX(BN96:BS96)&gt;BS97+1+$B$18,1,0))</f>
        <v>0</v>
      </c>
      <c r="BT100" s="352" t="n">
        <f aca="false">IF(68&lt;5,0,IF(MAX(BO96:BT96)&gt;BT97+1+$B$18,1,0))</f>
        <v>0</v>
      </c>
      <c r="BU100" s="352" t="n">
        <f aca="false">IF(69&lt;5,0,IF(MAX(BP96:BU96)&gt;BU97+1+$B$18,1,0))</f>
        <v>0</v>
      </c>
      <c r="BV100" s="352" t="n">
        <f aca="false">IF(70&lt;5,0,IF(MAX(BQ96:BV96)&gt;BV97+1+$B$18,1,0))</f>
        <v>0</v>
      </c>
      <c r="BW100" s="352" t="n">
        <f aca="false">IF(71&lt;5,0,IF(MAX(BR96:BW96)&gt;BW97+1+$B$18,1,0))</f>
        <v>0</v>
      </c>
      <c r="BX100" s="352" t="n">
        <f aca="false">IF(72&lt;5,0,IF(MAX(BS96:BX96)&gt;BX97+1+$B$18,1,0))</f>
        <v>0</v>
      </c>
      <c r="BY100" s="352" t="n">
        <f aca="false">IF(73&lt;5,0,IF(MAX(BT96:BY96)&gt;BY97+1+$B$18,1,0))</f>
        <v>0</v>
      </c>
      <c r="BZ100" s="352" t="n">
        <f aca="false">IF(74&lt;5,0,IF(MAX(BU96:BZ96)&gt;BZ97+1+$B$18,1,0))</f>
        <v>0</v>
      </c>
      <c r="CA100" s="352" t="n">
        <f aca="false">IF(75&lt;5,0,IF(MAX(BV96:CA96)&gt;CA97+1+$B$18,1,0))</f>
        <v>0</v>
      </c>
      <c r="CB100" s="352" t="n">
        <f aca="false">IF(76&lt;5,0,IF(MAX(BW96:CB96)&gt;CB97+1+$B$18,1,0))</f>
        <v>0</v>
      </c>
      <c r="CC100" s="352" t="n">
        <f aca="false">IF(77&lt;5,0,IF(MAX(BX96:CC96)&gt;CC97+1+$B$18,1,0))</f>
        <v>0</v>
      </c>
      <c r="CD100" s="352" t="n">
        <f aca="false">IF(78&lt;5,0,IF(MAX(BY96:CD96)&gt;CD97+1+$B$18,1,0))</f>
        <v>0</v>
      </c>
      <c r="CE100" s="352" t="n">
        <f aca="false">IF(79&lt;5,0,IF(MAX(BZ96:CE96)&gt;CE97+1+$B$18,1,0))</f>
        <v>0</v>
      </c>
      <c r="CF100" s="352" t="n">
        <f aca="false">IF(80&lt;5,0,IF(MAX(CA96:CF96)&gt;CF97+1+$B$18,1,0))</f>
        <v>0</v>
      </c>
      <c r="CG100" s="352" t="n">
        <f aca="false">IF(81&lt;5,0,IF(MAX(CB96:CG96)&gt;CG97+1+$B$18,1,0))</f>
        <v>0</v>
      </c>
      <c r="CH100" s="352" t="n">
        <f aca="false">IF(82&lt;5,0,IF(MAX(CC96:CH96)&gt;CH97+1+$B$18,1,0))</f>
        <v>0</v>
      </c>
      <c r="CI100" s="352" t="n">
        <f aca="false">IF(83&lt;5,0,IF(MAX(CD96:CI96)&gt;CI97+1+$B$18,1,0))</f>
        <v>0</v>
      </c>
      <c r="CJ100" s="352" t="n">
        <f aca="false">IF(84&lt;5,0,IF(MAX(CE96:CJ96)&gt;CJ97+1+$B$18,1,0))</f>
        <v>0</v>
      </c>
      <c r="CK100" s="352" t="n">
        <f aca="false">IF(85&lt;5,0,IF(MAX(CF96:CK96)&gt;CK97+1+$B$18,1,0))</f>
        <v>0</v>
      </c>
      <c r="CL100" s="352" t="n">
        <f aca="false">IF(86&lt;5,0,IF(MAX(CG96:CL96)&gt;CL97+1+$B$18,1,0))</f>
        <v>0</v>
      </c>
      <c r="CM100" s="352" t="n">
        <f aca="false">IF(87&lt;5,0,IF(MAX(CH96:CM96)&gt;CM97+1+$B$18,1,0))</f>
        <v>0</v>
      </c>
      <c r="CN100" s="352" t="n">
        <f aca="false">IF(88&lt;5,0,IF(MAX(CI96:CN96)&gt;CN97+1+$B$18,1,0))</f>
        <v>0</v>
      </c>
      <c r="CO100" s="352" t="n">
        <f aca="false">IF(89&lt;5,0,IF(MAX(CJ96:CO96)&gt;CO97+1+$B$18,1,0))</f>
        <v>0</v>
      </c>
      <c r="CP100" s="352" t="n">
        <f aca="false">IF(90&lt;5,0,IF(MAX(CK96:CP96)&gt;CP97+1+$B$18,1,0))</f>
        <v>0</v>
      </c>
      <c r="CQ100" s="352" t="n">
        <f aca="false">IF(91&lt;5,0,IF(MAX(CL96:CQ96)&gt;CQ97+1+$B$18,1,0))</f>
        <v>0</v>
      </c>
      <c r="CR100" s="352" t="n">
        <f aca="false">IF(92&lt;5,0,IF(MAX(CM96:CR96)&gt;CR97+1+$B$18,1,0))</f>
        <v>0</v>
      </c>
      <c r="CS100" s="352" t="n">
        <f aca="false">IF(93&lt;5,0,IF(MAX(CN96:CS96)&gt;CS97+1+$B$18,1,0))</f>
        <v>0</v>
      </c>
      <c r="CT100" s="352" t="n">
        <f aca="false">IF(94&lt;5,0,IF(MAX(CO96:CT96)&gt;CT97+1+$B$18,1,0))</f>
        <v>0</v>
      </c>
      <c r="CU100" s="352" t="n">
        <f aca="false">IF(95&lt;5,0,IF(MAX(CP96:CU96)&gt;CU97+1+$B$18,1,0))</f>
        <v>0</v>
      </c>
      <c r="CV100" s="352" t="n">
        <f aca="false">IF(96&lt;5,0,IF(MAX(CQ96:CV96)&gt;CV97+1+$B$18,1,0))</f>
        <v>0</v>
      </c>
      <c r="CW100" s="352" t="n">
        <f aca="false">IF(97&lt;5,0,IF(MAX(CR96:CW96)&gt;CW97+1+$B$18,1,0))</f>
        <v>0</v>
      </c>
      <c r="CX100" s="352" t="n">
        <f aca="false">IF(98&lt;5,0,IF(MAX(CS96:CX96)&gt;CX97+1+$B$18,1,0))</f>
        <v>0</v>
      </c>
      <c r="CY100" s="352" t="n">
        <f aca="false">IF(99&lt;5,0,IF(MAX(CT96:CY96)&gt;CY97+1+$B$18,1,0))</f>
        <v>0</v>
      </c>
      <c r="CZ100" s="352" t="n">
        <f aca="false">IF(100&lt;5,0,IF(MAX(CU96:CZ96)&gt;CZ97+1+$B$18,1,0))</f>
        <v>0</v>
      </c>
      <c r="DA100" s="352" t="n">
        <f aca="false">IF(101&lt;5,0,IF(MAX(CV96:DA96)&gt;DA97+1+$B$18,1,0))</f>
        <v>0</v>
      </c>
      <c r="DB100" s="352" t="n">
        <f aca="false">IF(102&lt;5,0,IF(MAX(CW96:DB96)&gt;DB97+1+$B$18,1,0))</f>
        <v>0</v>
      </c>
      <c r="DC100" s="352" t="n">
        <f aca="false">IF(103&lt;5,0,IF(MAX(CX96:DC96)&gt;DC97+1+$B$18,1,0))</f>
        <v>0</v>
      </c>
      <c r="DD100" s="352" t="n">
        <f aca="false">IF(104&lt;5,0,IF(MAX(CY96:DD96)&gt;DD97+1+$B$18,1,0))</f>
        <v>0</v>
      </c>
      <c r="DE100" s="352" t="n">
        <f aca="false">IF(105&lt;5,0,IF(MAX(CZ96:DE96)&gt;DE97+1+$B$18,1,0))</f>
        <v>0</v>
      </c>
    </row>
    <row r="101" customFormat="false" ht="13.5" hidden="false" customHeight="true" outlineLevel="0" collapsed="false">
      <c r="A101" s="109" t="s">
        <v>1219</v>
      </c>
      <c r="B101" s="211" t="n">
        <f aca="false">$B$27</f>
        <v>125000</v>
      </c>
      <c r="E101" s="352" t="n">
        <f aca="false">IF(1&lt;5,0,IF(MAX(E96)&gt;E97+2+$B$18,1,0))</f>
        <v>0</v>
      </c>
      <c r="F101" s="352" t="n">
        <f aca="false">IF(2&lt;5,0,IF(MAX(E96:F96)&gt;F97+2+$B$18,1,0))</f>
        <v>0</v>
      </c>
      <c r="G101" s="352" t="n">
        <f aca="false">IF(3&lt;5,0,IF(MAX(E96:G96)&gt;G97+2+$B$18,1,0))</f>
        <v>0</v>
      </c>
      <c r="H101" s="352" t="n">
        <f aca="false">IF(4&lt;5,0,IF(MAX(E96:H96)&gt;H97+2+$B$18,1,0))</f>
        <v>0</v>
      </c>
      <c r="I101" s="352" t="n">
        <f aca="false">IF(5&lt;5,0,IF(MAX(E96:I96)&gt;I97+2+$B$18,1,0))</f>
        <v>0</v>
      </c>
      <c r="J101" s="352" t="n">
        <f aca="false">IF(6&lt;5,0,IF(MAX(E96:J96)&gt;J97+2+$B$18,1,0))</f>
        <v>0</v>
      </c>
      <c r="K101" s="352" t="n">
        <f aca="false">IF(7&lt;5,0,IF(MAX(F96:K96)&gt;K97+2+$B$18,1,0))</f>
        <v>0</v>
      </c>
      <c r="L101" s="352" t="n">
        <f aca="false">IF(8&lt;5,0,IF(MAX(G96:L96)&gt;L97+2+$B$18,1,0))</f>
        <v>0</v>
      </c>
      <c r="M101" s="352" t="n">
        <f aca="false">IF(9&lt;5,0,IF(MAX(H96:M96)&gt;M97+2+$B$18,1,0))</f>
        <v>0</v>
      </c>
      <c r="N101" s="352" t="n">
        <f aca="false">IF(10&lt;5,0,IF(MAX(I96:N96)&gt;N97+2+$B$18,1,0))</f>
        <v>0</v>
      </c>
      <c r="O101" s="352" t="n">
        <f aca="false">IF(11&lt;5,0,IF(MAX(J96:O96)&gt;O97+2+$B$18,1,0))</f>
        <v>0</v>
      </c>
      <c r="P101" s="352" t="n">
        <f aca="false">IF(12&lt;5,0,IF(MAX(K96:P96)&gt;P97+2+$B$18,1,0))</f>
        <v>0</v>
      </c>
      <c r="Q101" s="352" t="n">
        <f aca="false">IF(13&lt;5,0,IF(MAX(L96:Q96)&gt;Q97+2+$B$18,1,0))</f>
        <v>0</v>
      </c>
      <c r="R101" s="352" t="n">
        <f aca="false">IF(14&lt;5,0,IF(MAX(M96:R96)&gt;R97+2+$B$18,1,0))</f>
        <v>1</v>
      </c>
      <c r="S101" s="352" t="n">
        <f aca="false">IF(15&lt;5,0,IF(MAX(N96:S96)&gt;S97+2+$B$18,1,0))</f>
        <v>1</v>
      </c>
      <c r="T101" s="352" t="n">
        <f aca="false">IF(16&lt;5,0,IF(MAX(O96:T96)&gt;T97+2+$B$18,1,0))</f>
        <v>1</v>
      </c>
      <c r="U101" s="352" t="n">
        <f aca="false">IF(17&lt;5,0,IF(MAX(P96:U96)&gt;U97+2+$B$18,1,0))</f>
        <v>1</v>
      </c>
      <c r="V101" s="352" t="n">
        <f aca="false">IF(18&lt;5,0,IF(MAX(Q96:V96)&gt;V97+2+$B$18,1,0))</f>
        <v>1</v>
      </c>
      <c r="W101" s="352" t="n">
        <f aca="false">IF(19&lt;5,0,IF(MAX(R96:W96)&gt;W97+2+$B$18,1,0))</f>
        <v>1</v>
      </c>
      <c r="X101" s="352" t="n">
        <f aca="false">IF(20&lt;5,0,IF(MAX(S96:X96)&gt;X97+2+$B$18,1,0))</f>
        <v>1</v>
      </c>
      <c r="Y101" s="352" t="n">
        <f aca="false">IF(21&lt;5,0,IF(MAX(T96:Y96)&gt;Y97+2+$B$18,1,0))</f>
        <v>1</v>
      </c>
      <c r="Z101" s="352" t="n">
        <f aca="false">IF(22&lt;5,0,IF(MAX(U96:Z96)&gt;Z97+2+$B$18,1,0))</f>
        <v>1</v>
      </c>
      <c r="AA101" s="352" t="n">
        <f aca="false">IF(23&lt;5,0,IF(MAX(V96:AA96)&gt;AA97+2+$B$18,1,0))</f>
        <v>1</v>
      </c>
      <c r="AB101" s="352" t="n">
        <f aca="false">IF(24&lt;5,0,IF(MAX(W96:AB96)&gt;AB97+2+$B$18,1,0))</f>
        <v>1</v>
      </c>
      <c r="AC101" s="352" t="n">
        <f aca="false">IF(25&lt;5,0,IF(MAX(X96:AC96)&gt;AC97+2+$B$18,1,0))</f>
        <v>1</v>
      </c>
      <c r="AD101" s="352" t="n">
        <f aca="false">IF(26&lt;5,0,IF(MAX(Y96:AD96)&gt;AD97+2+$B$18,1,0))</f>
        <v>1</v>
      </c>
      <c r="AE101" s="352" t="n">
        <f aca="false">IF(27&lt;5,0,IF(MAX(Z96:AE96)&gt;AE97+2+$B$18,1,0))</f>
        <v>1</v>
      </c>
      <c r="AF101" s="352" t="n">
        <f aca="false">IF(28&lt;5,0,IF(MAX(AA96:AF96)&gt;AF97+2+$B$18,1,0))</f>
        <v>1</v>
      </c>
      <c r="AG101" s="352" t="n">
        <f aca="false">IF(29&lt;5,0,IF(MAX(AB96:AG96)&gt;AG97+2+$B$18,1,0))</f>
        <v>1</v>
      </c>
      <c r="AH101" s="352" t="n">
        <f aca="false">IF(30&lt;5,0,IF(MAX(AC96:AH96)&gt;AH97+2+$B$18,1,0))</f>
        <v>1</v>
      </c>
      <c r="AI101" s="352" t="n">
        <f aca="false">IF(31&lt;5,0,IF(MAX(AD96:AI96)&gt;AI97+2+$B$18,1,0))</f>
        <v>1</v>
      </c>
      <c r="AJ101" s="352" t="n">
        <f aca="false">IF(32&lt;5,0,IF(MAX(AE96:AJ96)&gt;AJ97+2+$B$18,1,0))</f>
        <v>1</v>
      </c>
      <c r="AK101" s="352" t="n">
        <f aca="false">IF(33&lt;5,0,IF(MAX(AF96:AK96)&gt;AK97+2+$B$18,1,0))</f>
        <v>1</v>
      </c>
      <c r="AL101" s="352" t="n">
        <f aca="false">IF(34&lt;5,0,IF(MAX(AG96:AL96)&gt;AL97+2+$B$18,1,0))</f>
        <v>1</v>
      </c>
      <c r="AM101" s="352" t="n">
        <f aca="false">IF(35&lt;5,0,IF(MAX(AH96:AM96)&gt;AM97+2+$B$18,1,0))</f>
        <v>0</v>
      </c>
      <c r="AN101" s="352" t="n">
        <f aca="false">IF(36&lt;5,0,IF(MAX(AI96:AN96)&gt;AN97+2+$B$18,1,0))</f>
        <v>0</v>
      </c>
      <c r="AO101" s="352" t="n">
        <f aca="false">IF(37&lt;5,0,IF(MAX(AJ96:AO96)&gt;AO97+2+$B$18,1,0))</f>
        <v>0</v>
      </c>
      <c r="AP101" s="352" t="n">
        <f aca="false">IF(38&lt;5,0,IF(MAX(AK96:AP96)&gt;AP97+2+$B$18,1,0))</f>
        <v>0</v>
      </c>
      <c r="AQ101" s="352" t="n">
        <f aca="false">IF(39&lt;5,0,IF(MAX(AL96:AQ96)&gt;AQ97+2+$B$18,1,0))</f>
        <v>0</v>
      </c>
      <c r="AR101" s="352" t="n">
        <f aca="false">IF(40&lt;5,0,IF(MAX(AM96:AR96)&gt;AR97+2+$B$18,1,0))</f>
        <v>0</v>
      </c>
      <c r="AS101" s="352" t="n">
        <f aca="false">IF(41&lt;5,0,IF(MAX(AN96:AS96)&gt;AS97+2+$B$18,1,0))</f>
        <v>0</v>
      </c>
      <c r="AT101" s="352" t="n">
        <f aca="false">IF(42&lt;5,0,IF(MAX(AO96:AT96)&gt;AT97+2+$B$18,1,0))</f>
        <v>0</v>
      </c>
      <c r="AU101" s="352" t="n">
        <f aca="false">IF(43&lt;5,0,IF(MAX(AP96:AU96)&gt;AU97+2+$B$18,1,0))</f>
        <v>0</v>
      </c>
      <c r="AV101" s="352" t="n">
        <f aca="false">IF(44&lt;5,0,IF(MAX(AQ96:AV96)&gt;AV97+2+$B$18,1,0))</f>
        <v>0</v>
      </c>
      <c r="AW101" s="352" t="n">
        <f aca="false">IF(45&lt;5,0,IF(MAX(AR96:AW96)&gt;AW97+2+$B$18,1,0))</f>
        <v>0</v>
      </c>
      <c r="AX101" s="352" t="n">
        <f aca="false">IF(46&lt;5,0,IF(MAX(AS96:AX96)&gt;AX97+2+$B$18,1,0))</f>
        <v>0</v>
      </c>
      <c r="AY101" s="352" t="n">
        <f aca="false">IF(47&lt;5,0,IF(MAX(AT96:AY96)&gt;AY97+2+$B$18,1,0))</f>
        <v>0</v>
      </c>
      <c r="AZ101" s="352" t="n">
        <f aca="false">IF(48&lt;5,0,IF(MAX(AU96:AZ96)&gt;AZ97+2+$B$18,1,0))</f>
        <v>0</v>
      </c>
      <c r="BA101" s="352" t="n">
        <f aca="false">IF(49&lt;5,0,IF(MAX(AV96:BA96)&gt;BA97+2+$B$18,1,0))</f>
        <v>0</v>
      </c>
      <c r="BB101" s="352" t="n">
        <f aca="false">IF(50&lt;5,0,IF(MAX(AW96:BB96)&gt;BB97+2+$B$18,1,0))</f>
        <v>0</v>
      </c>
      <c r="BC101" s="352" t="n">
        <f aca="false">IF(51&lt;5,0,IF(MAX(AX96:BC96)&gt;BC97+2+$B$18,1,0))</f>
        <v>0</v>
      </c>
      <c r="BD101" s="352" t="n">
        <f aca="false">IF(52&lt;5,0,IF(MAX(AY96:BD96)&gt;BD97+2+$B$18,1,0))</f>
        <v>0</v>
      </c>
      <c r="BE101" s="352" t="n">
        <f aca="false">IF(53&lt;5,0,IF(MAX(AZ96:BE96)&gt;BE97+2+$B$18,1,0))</f>
        <v>0</v>
      </c>
      <c r="BF101" s="352" t="n">
        <f aca="false">IF(54&lt;5,0,IF(MAX(BA96:BF96)&gt;BF97+2+$B$18,1,0))</f>
        <v>0</v>
      </c>
      <c r="BG101" s="352" t="n">
        <f aca="false">IF(55&lt;5,0,IF(MAX(BB96:BG96)&gt;BG97+2+$B$18,1,0))</f>
        <v>0</v>
      </c>
      <c r="BH101" s="352" t="n">
        <f aca="false">IF(56&lt;5,0,IF(MAX(BC96:BH96)&gt;BH97+2+$B$18,1,0))</f>
        <v>0</v>
      </c>
      <c r="BI101" s="352" t="n">
        <f aca="false">IF(57&lt;5,0,IF(MAX(BD96:BI96)&gt;BI97+2+$B$18,1,0))</f>
        <v>0</v>
      </c>
      <c r="BJ101" s="352" t="n">
        <f aca="false">IF(58&lt;5,0,IF(MAX(BE96:BJ96)&gt;BJ97+2+$B$18,1,0))</f>
        <v>0</v>
      </c>
      <c r="BK101" s="352" t="n">
        <f aca="false">IF(59&lt;5,0,IF(MAX(BF96:BK96)&gt;BK97+2+$B$18,1,0))</f>
        <v>0</v>
      </c>
      <c r="BL101" s="352" t="n">
        <f aca="false">IF(60&lt;5,0,IF(MAX(BG96:BL96)&gt;BL97+2+$B$18,1,0))</f>
        <v>0</v>
      </c>
      <c r="BM101" s="352" t="n">
        <f aca="false">IF(61&lt;5,0,IF(MAX(BH96:BM96)&gt;BM97+2+$B$18,1,0))</f>
        <v>0</v>
      </c>
      <c r="BN101" s="352" t="n">
        <f aca="false">IF(62&lt;5,0,IF(MAX(BI96:BN96)&gt;BN97+2+$B$18,1,0))</f>
        <v>0</v>
      </c>
      <c r="BO101" s="352" t="n">
        <f aca="false">IF(63&lt;5,0,IF(MAX(BJ96:BO96)&gt;BO97+2+$B$18,1,0))</f>
        <v>0</v>
      </c>
      <c r="BP101" s="352" t="n">
        <f aca="false">IF(64&lt;5,0,IF(MAX(BK96:BP96)&gt;BP97+2+$B$18,1,0))</f>
        <v>0</v>
      </c>
      <c r="BQ101" s="352" t="n">
        <f aca="false">IF(65&lt;5,0,IF(MAX(BL96:BQ96)&gt;BQ97+2+$B$18,1,0))</f>
        <v>0</v>
      </c>
      <c r="BR101" s="352" t="n">
        <f aca="false">IF(66&lt;5,0,IF(MAX(BM96:BR96)&gt;BR97+2+$B$18,1,0))</f>
        <v>0</v>
      </c>
      <c r="BS101" s="352" t="n">
        <f aca="false">IF(67&lt;5,0,IF(MAX(BN96:BS96)&gt;BS97+2+$B$18,1,0))</f>
        <v>0</v>
      </c>
      <c r="BT101" s="352" t="n">
        <f aca="false">IF(68&lt;5,0,IF(MAX(BO96:BT96)&gt;BT97+2+$B$18,1,0))</f>
        <v>0</v>
      </c>
      <c r="BU101" s="352" t="n">
        <f aca="false">IF(69&lt;5,0,IF(MAX(BP96:BU96)&gt;BU97+2+$B$18,1,0))</f>
        <v>0</v>
      </c>
      <c r="BV101" s="352" t="n">
        <f aca="false">IF(70&lt;5,0,IF(MAX(BQ96:BV96)&gt;BV97+2+$B$18,1,0))</f>
        <v>0</v>
      </c>
      <c r="BW101" s="352" t="n">
        <f aca="false">IF(71&lt;5,0,IF(MAX(BR96:BW96)&gt;BW97+2+$B$18,1,0))</f>
        <v>0</v>
      </c>
      <c r="BX101" s="352" t="n">
        <f aca="false">IF(72&lt;5,0,IF(MAX(BS96:BX96)&gt;BX97+2+$B$18,1,0))</f>
        <v>0</v>
      </c>
      <c r="BY101" s="352" t="n">
        <f aca="false">IF(73&lt;5,0,IF(MAX(BT96:BY96)&gt;BY97+2+$B$18,1,0))</f>
        <v>0</v>
      </c>
      <c r="BZ101" s="352" t="n">
        <f aca="false">IF(74&lt;5,0,IF(MAX(BU96:BZ96)&gt;BZ97+2+$B$18,1,0))</f>
        <v>0</v>
      </c>
      <c r="CA101" s="352" t="n">
        <f aca="false">IF(75&lt;5,0,IF(MAX(BV96:CA96)&gt;CA97+2+$B$18,1,0))</f>
        <v>0</v>
      </c>
      <c r="CB101" s="352" t="n">
        <f aca="false">IF(76&lt;5,0,IF(MAX(BW96:CB96)&gt;CB97+2+$B$18,1,0))</f>
        <v>0</v>
      </c>
      <c r="CC101" s="352" t="n">
        <f aca="false">IF(77&lt;5,0,IF(MAX(BX96:CC96)&gt;CC97+2+$B$18,1,0))</f>
        <v>0</v>
      </c>
      <c r="CD101" s="352" t="n">
        <f aca="false">IF(78&lt;5,0,IF(MAX(BY96:CD96)&gt;CD97+2+$B$18,1,0))</f>
        <v>0</v>
      </c>
      <c r="CE101" s="352" t="n">
        <f aca="false">IF(79&lt;5,0,IF(MAX(BZ96:CE96)&gt;CE97+2+$B$18,1,0))</f>
        <v>0</v>
      </c>
      <c r="CF101" s="352" t="n">
        <f aca="false">IF(80&lt;5,0,IF(MAX(CA96:CF96)&gt;CF97+2+$B$18,1,0))</f>
        <v>0</v>
      </c>
      <c r="CG101" s="352" t="n">
        <f aca="false">IF(81&lt;5,0,IF(MAX(CB96:CG96)&gt;CG97+2+$B$18,1,0))</f>
        <v>0</v>
      </c>
      <c r="CH101" s="352" t="n">
        <f aca="false">IF(82&lt;5,0,IF(MAX(CC96:CH96)&gt;CH97+2+$B$18,1,0))</f>
        <v>0</v>
      </c>
      <c r="CI101" s="352" t="n">
        <f aca="false">IF(83&lt;5,0,IF(MAX(CD96:CI96)&gt;CI97+2+$B$18,1,0))</f>
        <v>0</v>
      </c>
      <c r="CJ101" s="352" t="n">
        <f aca="false">IF(84&lt;5,0,IF(MAX(CE96:CJ96)&gt;CJ97+2+$B$18,1,0))</f>
        <v>0</v>
      </c>
      <c r="CK101" s="352" t="n">
        <f aca="false">IF(85&lt;5,0,IF(MAX(CF96:CK96)&gt;CK97+2+$B$18,1,0))</f>
        <v>0</v>
      </c>
      <c r="CL101" s="352" t="n">
        <f aca="false">IF(86&lt;5,0,IF(MAX(CG96:CL96)&gt;CL97+2+$B$18,1,0))</f>
        <v>0</v>
      </c>
      <c r="CM101" s="352" t="n">
        <f aca="false">IF(87&lt;5,0,IF(MAX(CH96:CM96)&gt;CM97+2+$B$18,1,0))</f>
        <v>0</v>
      </c>
      <c r="CN101" s="352" t="n">
        <f aca="false">IF(88&lt;5,0,IF(MAX(CI96:CN96)&gt;CN97+2+$B$18,1,0))</f>
        <v>0</v>
      </c>
      <c r="CO101" s="352" t="n">
        <f aca="false">IF(89&lt;5,0,IF(MAX(CJ96:CO96)&gt;CO97+2+$B$18,1,0))</f>
        <v>0</v>
      </c>
      <c r="CP101" s="352" t="n">
        <f aca="false">IF(90&lt;5,0,IF(MAX(CK96:CP96)&gt;CP97+2+$B$18,1,0))</f>
        <v>0</v>
      </c>
      <c r="CQ101" s="352" t="n">
        <f aca="false">IF(91&lt;5,0,IF(MAX(CL96:CQ96)&gt;CQ97+2+$B$18,1,0))</f>
        <v>0</v>
      </c>
      <c r="CR101" s="352" t="n">
        <f aca="false">IF(92&lt;5,0,IF(MAX(CM96:CR96)&gt;CR97+2+$B$18,1,0))</f>
        <v>0</v>
      </c>
      <c r="CS101" s="352" t="n">
        <f aca="false">IF(93&lt;5,0,IF(MAX(CN96:CS96)&gt;CS97+2+$B$18,1,0))</f>
        <v>0</v>
      </c>
      <c r="CT101" s="352" t="n">
        <f aca="false">IF(94&lt;5,0,IF(MAX(CO96:CT96)&gt;CT97+2+$B$18,1,0))</f>
        <v>0</v>
      </c>
      <c r="CU101" s="352" t="n">
        <f aca="false">IF(95&lt;5,0,IF(MAX(CP96:CU96)&gt;CU97+2+$B$18,1,0))</f>
        <v>0</v>
      </c>
      <c r="CV101" s="352" t="n">
        <f aca="false">IF(96&lt;5,0,IF(MAX(CQ96:CV96)&gt;CV97+2+$B$18,1,0))</f>
        <v>0</v>
      </c>
      <c r="CW101" s="352" t="n">
        <f aca="false">IF(97&lt;5,0,IF(MAX(CR96:CW96)&gt;CW97+2+$B$18,1,0))</f>
        <v>0</v>
      </c>
      <c r="CX101" s="352" t="n">
        <f aca="false">IF(98&lt;5,0,IF(MAX(CS96:CX96)&gt;CX97+2+$B$18,1,0))</f>
        <v>0</v>
      </c>
      <c r="CY101" s="352" t="n">
        <f aca="false">IF(99&lt;5,0,IF(MAX(CT96:CY96)&gt;CY97+2+$B$18,1,0))</f>
        <v>0</v>
      </c>
      <c r="CZ101" s="352" t="n">
        <f aca="false">IF(100&lt;5,0,IF(MAX(CU96:CZ96)&gt;CZ97+2+$B$18,1,0))</f>
        <v>0</v>
      </c>
      <c r="DA101" s="352" t="n">
        <f aca="false">IF(101&lt;5,0,IF(MAX(CV96:DA96)&gt;DA97+2+$B$18,1,0))</f>
        <v>0</v>
      </c>
      <c r="DB101" s="352" t="n">
        <f aca="false">IF(102&lt;5,0,IF(MAX(CW96:DB96)&gt;DB97+2+$B$18,1,0))</f>
        <v>0</v>
      </c>
      <c r="DC101" s="352" t="n">
        <f aca="false">IF(103&lt;5,0,IF(MAX(CX96:DC96)&gt;DC97+2+$B$18,1,0))</f>
        <v>0</v>
      </c>
      <c r="DD101" s="352" t="n">
        <f aca="false">IF(104&lt;5,0,IF(MAX(CY96:DD96)&gt;DD97+2+$B$18,1,0))</f>
        <v>0</v>
      </c>
      <c r="DE101" s="352" t="n">
        <f aca="false">IF(105&lt;5,0,IF(MAX(CZ96:DE96)&gt;DE97+2+$B$18,1,0))</f>
        <v>0</v>
      </c>
    </row>
    <row r="102" customFormat="false" ht="13.5" hidden="false" customHeight="true" outlineLevel="0" collapsed="false">
      <c r="A102" s="109" t="s">
        <v>1220</v>
      </c>
      <c r="B102" s="211" t="n">
        <f aca="false">$B$27</f>
        <v>125000</v>
      </c>
      <c r="E102" s="352" t="n">
        <f aca="false">IF(1&lt;5,0,IF(MAX(E96)&gt;E97+3+$B$18,1,0))</f>
        <v>0</v>
      </c>
      <c r="F102" s="352" t="n">
        <f aca="false">IF(2&lt;5,0,IF(MAX(E96:F96)&gt;F97+3+$B$18,1,0))</f>
        <v>0</v>
      </c>
      <c r="G102" s="352" t="n">
        <f aca="false">IF(3&lt;5,0,IF(MAX(E96:G96)&gt;G97+3+$B$18,1,0))</f>
        <v>0</v>
      </c>
      <c r="H102" s="352" t="n">
        <f aca="false">IF(4&lt;5,0,IF(MAX(E96:H96)&gt;H97+3+$B$18,1,0))</f>
        <v>0</v>
      </c>
      <c r="I102" s="352" t="n">
        <f aca="false">IF(5&lt;5,0,IF(MAX(E96:I96)&gt;I97+3+$B$18,1,0))</f>
        <v>0</v>
      </c>
      <c r="J102" s="352" t="n">
        <f aca="false">IF(6&lt;5,0,IF(MAX(E96:J96)&gt;J97+3+$B$18,1,0))</f>
        <v>0</v>
      </c>
      <c r="K102" s="352" t="n">
        <f aca="false">IF(7&lt;5,0,IF(MAX(F96:K96)&gt;K97+3+$B$18,1,0))</f>
        <v>0</v>
      </c>
      <c r="L102" s="352" t="n">
        <f aca="false">IF(8&lt;5,0,IF(MAX(G96:L96)&gt;L97+3+$B$18,1,0))</f>
        <v>0</v>
      </c>
      <c r="M102" s="352" t="n">
        <f aca="false">IF(9&lt;5,0,IF(MAX(H96:M96)&gt;M97+3+$B$18,1,0))</f>
        <v>0</v>
      </c>
      <c r="N102" s="352" t="n">
        <f aca="false">IF(10&lt;5,0,IF(MAX(I96:N96)&gt;N97+3+$B$18,1,0))</f>
        <v>0</v>
      </c>
      <c r="O102" s="352" t="n">
        <f aca="false">IF(11&lt;5,0,IF(MAX(J96:O96)&gt;O97+3+$B$18,1,0))</f>
        <v>0</v>
      </c>
      <c r="P102" s="352" t="n">
        <f aca="false">IF(12&lt;5,0,IF(MAX(K96:P96)&gt;P97+3+$B$18,1,0))</f>
        <v>0</v>
      </c>
      <c r="Q102" s="352" t="n">
        <f aca="false">IF(13&lt;5,0,IF(MAX(L96:Q96)&gt;Q97+3+$B$18,1,0))</f>
        <v>0</v>
      </c>
      <c r="R102" s="352" t="n">
        <f aca="false">IF(14&lt;5,0,IF(MAX(M96:R96)&gt;R97+3+$B$18,1,0))</f>
        <v>0</v>
      </c>
      <c r="S102" s="352" t="n">
        <f aca="false">IF(15&lt;5,0,IF(MAX(N96:S96)&gt;S97+3+$B$18,1,0))</f>
        <v>1</v>
      </c>
      <c r="T102" s="352" t="n">
        <f aca="false">IF(16&lt;5,0,IF(MAX(O96:T96)&gt;T97+3+$B$18,1,0))</f>
        <v>1</v>
      </c>
      <c r="U102" s="352" t="n">
        <f aca="false">IF(17&lt;5,0,IF(MAX(P96:U96)&gt;U97+3+$B$18,1,0))</f>
        <v>1</v>
      </c>
      <c r="V102" s="352" t="n">
        <f aca="false">IF(18&lt;5,0,IF(MAX(Q96:V96)&gt;V97+3+$B$18,1,0))</f>
        <v>1</v>
      </c>
      <c r="W102" s="352" t="n">
        <f aca="false">IF(19&lt;5,0,IF(MAX(R96:W96)&gt;W97+3+$B$18,1,0))</f>
        <v>1</v>
      </c>
      <c r="X102" s="352" t="n">
        <f aca="false">IF(20&lt;5,0,IF(MAX(S96:X96)&gt;X97+3+$B$18,1,0))</f>
        <v>1</v>
      </c>
      <c r="Y102" s="352" t="n">
        <f aca="false">IF(21&lt;5,0,IF(MAX(T96:Y96)&gt;Y97+3+$B$18,1,0))</f>
        <v>1</v>
      </c>
      <c r="Z102" s="352" t="n">
        <f aca="false">IF(22&lt;5,0,IF(MAX(U96:Z96)&gt;Z97+3+$B$18,1,0))</f>
        <v>1</v>
      </c>
      <c r="AA102" s="352" t="n">
        <f aca="false">IF(23&lt;5,0,IF(MAX(V96:AA96)&gt;AA97+3+$B$18,1,0))</f>
        <v>1</v>
      </c>
      <c r="AB102" s="352" t="n">
        <f aca="false">IF(24&lt;5,0,IF(MAX(W96:AB96)&gt;AB97+3+$B$18,1,0))</f>
        <v>1</v>
      </c>
      <c r="AC102" s="352" t="n">
        <f aca="false">IF(25&lt;5,0,IF(MAX(X96:AC96)&gt;AC97+3+$B$18,1,0))</f>
        <v>0</v>
      </c>
      <c r="AD102" s="352" t="n">
        <f aca="false">IF(26&lt;5,0,IF(MAX(Y96:AD96)&gt;AD97+3+$B$18,1,0))</f>
        <v>0</v>
      </c>
      <c r="AE102" s="352" t="n">
        <f aca="false">IF(27&lt;5,0,IF(MAX(Z96:AE96)&gt;AE97+3+$B$18,1,0))</f>
        <v>0</v>
      </c>
      <c r="AF102" s="352" t="n">
        <f aca="false">IF(28&lt;5,0,IF(MAX(AA96:AF96)&gt;AF97+3+$B$18,1,0))</f>
        <v>0</v>
      </c>
      <c r="AG102" s="352" t="n">
        <f aca="false">IF(29&lt;5,0,IF(MAX(AB96:AG96)&gt;AG97+3+$B$18,1,0))</f>
        <v>0</v>
      </c>
      <c r="AH102" s="352" t="n">
        <f aca="false">IF(30&lt;5,0,IF(MAX(AC96:AH96)&gt;AH97+3+$B$18,1,0))</f>
        <v>0</v>
      </c>
      <c r="AI102" s="352" t="n">
        <f aca="false">IF(31&lt;5,0,IF(MAX(AD96:AI96)&gt;AI97+3+$B$18,1,0))</f>
        <v>0</v>
      </c>
      <c r="AJ102" s="352" t="n">
        <f aca="false">IF(32&lt;5,0,IF(MAX(AE96:AJ96)&gt;AJ97+3+$B$18,1,0))</f>
        <v>0</v>
      </c>
      <c r="AK102" s="352" t="n">
        <f aca="false">IF(33&lt;5,0,IF(MAX(AF96:AK96)&gt;AK97+3+$B$18,1,0))</f>
        <v>0</v>
      </c>
      <c r="AL102" s="352" t="n">
        <f aca="false">IF(34&lt;5,0,IF(MAX(AG96:AL96)&gt;AL97+3+$B$18,1,0))</f>
        <v>0</v>
      </c>
      <c r="AM102" s="352" t="n">
        <f aca="false">IF(35&lt;5,0,IF(MAX(AH96:AM96)&gt;AM97+3+$B$18,1,0))</f>
        <v>0</v>
      </c>
      <c r="AN102" s="352" t="n">
        <f aca="false">IF(36&lt;5,0,IF(MAX(AI96:AN96)&gt;AN97+3+$B$18,1,0))</f>
        <v>0</v>
      </c>
      <c r="AO102" s="352" t="n">
        <f aca="false">IF(37&lt;5,0,IF(MAX(AJ96:AO96)&gt;AO97+3+$B$18,1,0))</f>
        <v>0</v>
      </c>
      <c r="AP102" s="352" t="n">
        <f aca="false">IF(38&lt;5,0,IF(MAX(AK96:AP96)&gt;AP97+3+$B$18,1,0))</f>
        <v>0</v>
      </c>
      <c r="AQ102" s="352" t="n">
        <f aca="false">IF(39&lt;5,0,IF(MAX(AL96:AQ96)&gt;AQ97+3+$B$18,1,0))</f>
        <v>0</v>
      </c>
      <c r="AR102" s="352" t="n">
        <f aca="false">IF(40&lt;5,0,IF(MAX(AM96:AR96)&gt;AR97+3+$B$18,1,0))</f>
        <v>0</v>
      </c>
      <c r="AS102" s="352" t="n">
        <f aca="false">IF(41&lt;5,0,IF(MAX(AN96:AS96)&gt;AS97+3+$B$18,1,0))</f>
        <v>0</v>
      </c>
      <c r="AT102" s="352" t="n">
        <f aca="false">IF(42&lt;5,0,IF(MAX(AO96:AT96)&gt;AT97+3+$B$18,1,0))</f>
        <v>0</v>
      </c>
      <c r="AU102" s="352" t="n">
        <f aca="false">IF(43&lt;5,0,IF(MAX(AP96:AU96)&gt;AU97+3+$B$18,1,0))</f>
        <v>0</v>
      </c>
      <c r="AV102" s="352" t="n">
        <f aca="false">IF(44&lt;5,0,IF(MAX(AQ96:AV96)&gt;AV97+3+$B$18,1,0))</f>
        <v>0</v>
      </c>
      <c r="AW102" s="352" t="n">
        <f aca="false">IF(45&lt;5,0,IF(MAX(AR96:AW96)&gt;AW97+3+$B$18,1,0))</f>
        <v>0</v>
      </c>
      <c r="AX102" s="352" t="n">
        <f aca="false">IF(46&lt;5,0,IF(MAX(AS96:AX96)&gt;AX97+3+$B$18,1,0))</f>
        <v>0</v>
      </c>
      <c r="AY102" s="352" t="n">
        <f aca="false">IF(47&lt;5,0,IF(MAX(AT96:AY96)&gt;AY97+3+$B$18,1,0))</f>
        <v>0</v>
      </c>
      <c r="AZ102" s="352" t="n">
        <f aca="false">IF(48&lt;5,0,IF(MAX(AU96:AZ96)&gt;AZ97+3+$B$18,1,0))</f>
        <v>0</v>
      </c>
      <c r="BA102" s="352" t="n">
        <f aca="false">IF(49&lt;5,0,IF(MAX(AV96:BA96)&gt;BA97+3+$B$18,1,0))</f>
        <v>0</v>
      </c>
      <c r="BB102" s="352" t="n">
        <f aca="false">IF(50&lt;5,0,IF(MAX(AW96:BB96)&gt;BB97+3+$B$18,1,0))</f>
        <v>0</v>
      </c>
      <c r="BC102" s="352" t="n">
        <f aca="false">IF(51&lt;5,0,IF(MAX(AX96:BC96)&gt;BC97+3+$B$18,1,0))</f>
        <v>0</v>
      </c>
      <c r="BD102" s="352" t="n">
        <f aca="false">IF(52&lt;5,0,IF(MAX(AY96:BD96)&gt;BD97+3+$B$18,1,0))</f>
        <v>0</v>
      </c>
      <c r="BE102" s="352" t="n">
        <f aca="false">IF(53&lt;5,0,IF(MAX(AZ96:BE96)&gt;BE97+3+$B$18,1,0))</f>
        <v>0</v>
      </c>
      <c r="BF102" s="352" t="n">
        <f aca="false">IF(54&lt;5,0,IF(MAX(BA96:BF96)&gt;BF97+3+$B$18,1,0))</f>
        <v>0</v>
      </c>
      <c r="BG102" s="352" t="n">
        <f aca="false">IF(55&lt;5,0,IF(MAX(BB96:BG96)&gt;BG97+3+$B$18,1,0))</f>
        <v>0</v>
      </c>
      <c r="BH102" s="352" t="n">
        <f aca="false">IF(56&lt;5,0,IF(MAX(BC96:BH96)&gt;BH97+3+$B$18,1,0))</f>
        <v>0</v>
      </c>
      <c r="BI102" s="352" t="n">
        <f aca="false">IF(57&lt;5,0,IF(MAX(BD96:BI96)&gt;BI97+3+$B$18,1,0))</f>
        <v>0</v>
      </c>
      <c r="BJ102" s="352" t="n">
        <f aca="false">IF(58&lt;5,0,IF(MAX(BE96:BJ96)&gt;BJ97+3+$B$18,1,0))</f>
        <v>0</v>
      </c>
      <c r="BK102" s="352" t="n">
        <f aca="false">IF(59&lt;5,0,IF(MAX(BF96:BK96)&gt;BK97+3+$B$18,1,0))</f>
        <v>0</v>
      </c>
      <c r="BL102" s="352" t="n">
        <f aca="false">IF(60&lt;5,0,IF(MAX(BG96:BL96)&gt;BL97+3+$B$18,1,0))</f>
        <v>0</v>
      </c>
      <c r="BM102" s="352" t="n">
        <f aca="false">IF(61&lt;5,0,IF(MAX(BH96:BM96)&gt;BM97+3+$B$18,1,0))</f>
        <v>0</v>
      </c>
      <c r="BN102" s="352" t="n">
        <f aca="false">IF(62&lt;5,0,IF(MAX(BI96:BN96)&gt;BN97+3+$B$18,1,0))</f>
        <v>0</v>
      </c>
      <c r="BO102" s="352" t="n">
        <f aca="false">IF(63&lt;5,0,IF(MAX(BJ96:BO96)&gt;BO97+3+$B$18,1,0))</f>
        <v>0</v>
      </c>
      <c r="BP102" s="352" t="n">
        <f aca="false">IF(64&lt;5,0,IF(MAX(BK96:BP96)&gt;BP97+3+$B$18,1,0))</f>
        <v>0</v>
      </c>
      <c r="BQ102" s="352" t="n">
        <f aca="false">IF(65&lt;5,0,IF(MAX(BL96:BQ96)&gt;BQ97+3+$B$18,1,0))</f>
        <v>0</v>
      </c>
      <c r="BR102" s="352" t="n">
        <f aca="false">IF(66&lt;5,0,IF(MAX(BM96:BR96)&gt;BR97+3+$B$18,1,0))</f>
        <v>0</v>
      </c>
      <c r="BS102" s="352" t="n">
        <f aca="false">IF(67&lt;5,0,IF(MAX(BN96:BS96)&gt;BS97+3+$B$18,1,0))</f>
        <v>0</v>
      </c>
      <c r="BT102" s="352" t="n">
        <f aca="false">IF(68&lt;5,0,IF(MAX(BO96:BT96)&gt;BT97+3+$B$18,1,0))</f>
        <v>0</v>
      </c>
      <c r="BU102" s="352" t="n">
        <f aca="false">IF(69&lt;5,0,IF(MAX(BP96:BU96)&gt;BU97+3+$B$18,1,0))</f>
        <v>0</v>
      </c>
      <c r="BV102" s="352" t="n">
        <f aca="false">IF(70&lt;5,0,IF(MAX(BQ96:BV96)&gt;BV97+3+$B$18,1,0))</f>
        <v>0</v>
      </c>
      <c r="BW102" s="352" t="n">
        <f aca="false">IF(71&lt;5,0,IF(MAX(BR96:BW96)&gt;BW97+3+$B$18,1,0))</f>
        <v>0</v>
      </c>
      <c r="BX102" s="352" t="n">
        <f aca="false">IF(72&lt;5,0,IF(MAX(BS96:BX96)&gt;BX97+3+$B$18,1,0))</f>
        <v>0</v>
      </c>
      <c r="BY102" s="352" t="n">
        <f aca="false">IF(73&lt;5,0,IF(MAX(BT96:BY96)&gt;BY97+3+$B$18,1,0))</f>
        <v>0</v>
      </c>
      <c r="BZ102" s="352" t="n">
        <f aca="false">IF(74&lt;5,0,IF(MAX(BU96:BZ96)&gt;BZ97+3+$B$18,1,0))</f>
        <v>0</v>
      </c>
      <c r="CA102" s="352" t="n">
        <f aca="false">IF(75&lt;5,0,IF(MAX(BV96:CA96)&gt;CA97+3+$B$18,1,0))</f>
        <v>0</v>
      </c>
      <c r="CB102" s="352" t="n">
        <f aca="false">IF(76&lt;5,0,IF(MAX(BW96:CB96)&gt;CB97+3+$B$18,1,0))</f>
        <v>0</v>
      </c>
      <c r="CC102" s="352" t="n">
        <f aca="false">IF(77&lt;5,0,IF(MAX(BX96:CC96)&gt;CC97+3+$B$18,1,0))</f>
        <v>0</v>
      </c>
      <c r="CD102" s="352" t="n">
        <f aca="false">IF(78&lt;5,0,IF(MAX(BY96:CD96)&gt;CD97+3+$B$18,1,0))</f>
        <v>0</v>
      </c>
      <c r="CE102" s="352" t="n">
        <f aca="false">IF(79&lt;5,0,IF(MAX(BZ96:CE96)&gt;CE97+3+$B$18,1,0))</f>
        <v>0</v>
      </c>
      <c r="CF102" s="352" t="n">
        <f aca="false">IF(80&lt;5,0,IF(MAX(CA96:CF96)&gt;CF97+3+$B$18,1,0))</f>
        <v>0</v>
      </c>
      <c r="CG102" s="352" t="n">
        <f aca="false">IF(81&lt;5,0,IF(MAX(CB96:CG96)&gt;CG97+3+$B$18,1,0))</f>
        <v>0</v>
      </c>
      <c r="CH102" s="352" t="n">
        <f aca="false">IF(82&lt;5,0,IF(MAX(CC96:CH96)&gt;CH97+3+$B$18,1,0))</f>
        <v>0</v>
      </c>
      <c r="CI102" s="352" t="n">
        <f aca="false">IF(83&lt;5,0,IF(MAX(CD96:CI96)&gt;CI97+3+$B$18,1,0))</f>
        <v>0</v>
      </c>
      <c r="CJ102" s="352" t="n">
        <f aca="false">IF(84&lt;5,0,IF(MAX(CE96:CJ96)&gt;CJ97+3+$B$18,1,0))</f>
        <v>0</v>
      </c>
      <c r="CK102" s="352" t="n">
        <f aca="false">IF(85&lt;5,0,IF(MAX(CF96:CK96)&gt;CK97+3+$B$18,1,0))</f>
        <v>0</v>
      </c>
      <c r="CL102" s="352" t="n">
        <f aca="false">IF(86&lt;5,0,IF(MAX(CG96:CL96)&gt;CL97+3+$B$18,1,0))</f>
        <v>0</v>
      </c>
      <c r="CM102" s="352" t="n">
        <f aca="false">IF(87&lt;5,0,IF(MAX(CH96:CM96)&gt;CM97+3+$B$18,1,0))</f>
        <v>0</v>
      </c>
      <c r="CN102" s="352" t="n">
        <f aca="false">IF(88&lt;5,0,IF(MAX(CI96:CN96)&gt;CN97+3+$B$18,1,0))</f>
        <v>0</v>
      </c>
      <c r="CO102" s="352" t="n">
        <f aca="false">IF(89&lt;5,0,IF(MAX(CJ96:CO96)&gt;CO97+3+$B$18,1,0))</f>
        <v>0</v>
      </c>
      <c r="CP102" s="352" t="n">
        <f aca="false">IF(90&lt;5,0,IF(MAX(CK96:CP96)&gt;CP97+3+$B$18,1,0))</f>
        <v>0</v>
      </c>
      <c r="CQ102" s="352" t="n">
        <f aca="false">IF(91&lt;5,0,IF(MAX(CL96:CQ96)&gt;CQ97+3+$B$18,1,0))</f>
        <v>0</v>
      </c>
      <c r="CR102" s="352" t="n">
        <f aca="false">IF(92&lt;5,0,IF(MAX(CM96:CR96)&gt;CR97+3+$B$18,1,0))</f>
        <v>0</v>
      </c>
      <c r="CS102" s="352" t="n">
        <f aca="false">IF(93&lt;5,0,IF(MAX(CN96:CS96)&gt;CS97+3+$B$18,1,0))</f>
        <v>0</v>
      </c>
      <c r="CT102" s="352" t="n">
        <f aca="false">IF(94&lt;5,0,IF(MAX(CO96:CT96)&gt;CT97+3+$B$18,1,0))</f>
        <v>0</v>
      </c>
      <c r="CU102" s="352" t="n">
        <f aca="false">IF(95&lt;5,0,IF(MAX(CP96:CU96)&gt;CU97+3+$B$18,1,0))</f>
        <v>0</v>
      </c>
      <c r="CV102" s="352" t="n">
        <f aca="false">IF(96&lt;5,0,IF(MAX(CQ96:CV96)&gt;CV97+3+$B$18,1,0))</f>
        <v>0</v>
      </c>
      <c r="CW102" s="352" t="n">
        <f aca="false">IF(97&lt;5,0,IF(MAX(CR96:CW96)&gt;CW97+3+$B$18,1,0))</f>
        <v>0</v>
      </c>
      <c r="CX102" s="352" t="n">
        <f aca="false">IF(98&lt;5,0,IF(MAX(CS96:CX96)&gt;CX97+3+$B$18,1,0))</f>
        <v>0</v>
      </c>
      <c r="CY102" s="352" t="n">
        <f aca="false">IF(99&lt;5,0,IF(MAX(CT96:CY96)&gt;CY97+3+$B$18,1,0))</f>
        <v>0</v>
      </c>
      <c r="CZ102" s="352" t="n">
        <f aca="false">IF(100&lt;5,0,IF(MAX(CU96:CZ96)&gt;CZ97+3+$B$18,1,0))</f>
        <v>0</v>
      </c>
      <c r="DA102" s="352" t="n">
        <f aca="false">IF(101&lt;5,0,IF(MAX(CV96:DA96)&gt;DA97+3+$B$18,1,0))</f>
        <v>0</v>
      </c>
      <c r="DB102" s="352" t="n">
        <f aca="false">IF(102&lt;5,0,IF(MAX(CW96:DB96)&gt;DB97+3+$B$18,1,0))</f>
        <v>0</v>
      </c>
      <c r="DC102" s="352" t="n">
        <f aca="false">IF(103&lt;5,0,IF(MAX(CX96:DC96)&gt;DC97+3+$B$18,1,0))</f>
        <v>0</v>
      </c>
      <c r="DD102" s="352" t="n">
        <f aca="false">IF(104&lt;5,0,IF(MAX(CY96:DD96)&gt;DD97+3+$B$18,1,0))</f>
        <v>0</v>
      </c>
      <c r="DE102" s="352" t="n">
        <f aca="false">IF(105&lt;5,0,IF(MAX(CZ96:DE96)&gt;DE97+3+$B$18,1,0))</f>
        <v>0</v>
      </c>
    </row>
    <row r="103" customFormat="false" ht="13.5" hidden="false" customHeight="true" outlineLevel="0" collapsed="false">
      <c r="A103" s="109" t="s">
        <v>1221</v>
      </c>
      <c r="B103" s="211" t="n">
        <f aca="false">$B$27</f>
        <v>125000</v>
      </c>
      <c r="E103" s="352" t="n">
        <f aca="false">IF(1&lt;5,0,IF(MAX(E96)&gt;E97+4+$B$18,1,0))</f>
        <v>0</v>
      </c>
      <c r="F103" s="352" t="n">
        <f aca="false">IF(2&lt;5,0,IF(MAX(E96:F96)&gt;F97+4+$B$18,1,0))</f>
        <v>0</v>
      </c>
      <c r="G103" s="352" t="n">
        <f aca="false">IF(3&lt;5,0,IF(MAX(E96:G96)&gt;G97+4+$B$18,1,0))</f>
        <v>0</v>
      </c>
      <c r="H103" s="352" t="n">
        <f aca="false">IF(4&lt;5,0,IF(MAX(E96:H96)&gt;H97+4+$B$18,1,0))</f>
        <v>0</v>
      </c>
      <c r="I103" s="352" t="n">
        <f aca="false">IF(5&lt;5,0,IF(MAX(E96:I96)&gt;I97+4+$B$18,1,0))</f>
        <v>0</v>
      </c>
      <c r="J103" s="352" t="n">
        <f aca="false">IF(6&lt;5,0,IF(MAX(E96:J96)&gt;J97+4+$B$18,1,0))</f>
        <v>0</v>
      </c>
      <c r="K103" s="352" t="n">
        <f aca="false">IF(7&lt;5,0,IF(MAX(F96:K96)&gt;K97+4+$B$18,1,0))</f>
        <v>0</v>
      </c>
      <c r="L103" s="352" t="n">
        <f aca="false">IF(8&lt;5,0,IF(MAX(G96:L96)&gt;L97+4+$B$18,1,0))</f>
        <v>0</v>
      </c>
      <c r="M103" s="352" t="n">
        <f aca="false">IF(9&lt;5,0,IF(MAX(H96:M96)&gt;M97+4+$B$18,1,0))</f>
        <v>0</v>
      </c>
      <c r="N103" s="352" t="n">
        <f aca="false">IF(10&lt;5,0,IF(MAX(I96:N96)&gt;N97+4+$B$18,1,0))</f>
        <v>0</v>
      </c>
      <c r="O103" s="352" t="n">
        <f aca="false">IF(11&lt;5,0,IF(MAX(J96:O96)&gt;O97+4+$B$18,1,0))</f>
        <v>0</v>
      </c>
      <c r="P103" s="352" t="n">
        <f aca="false">IF(12&lt;5,0,IF(MAX(K96:P96)&gt;P97+4+$B$18,1,0))</f>
        <v>0</v>
      </c>
      <c r="Q103" s="352" t="n">
        <f aca="false">IF(13&lt;5,0,IF(MAX(L96:Q96)&gt;Q97+4+$B$18,1,0))</f>
        <v>0</v>
      </c>
      <c r="R103" s="352" t="n">
        <f aca="false">IF(14&lt;5,0,IF(MAX(M96:R96)&gt;R97+4+$B$18,1,0))</f>
        <v>0</v>
      </c>
      <c r="S103" s="352" t="n">
        <f aca="false">IF(15&lt;5,0,IF(MAX(N96:S96)&gt;S97+4+$B$18,1,0))</f>
        <v>0</v>
      </c>
      <c r="T103" s="352" t="n">
        <f aca="false">IF(16&lt;5,0,IF(MAX(O96:T96)&gt;T97+4+$B$18,1,0))</f>
        <v>0</v>
      </c>
      <c r="U103" s="352" t="n">
        <f aca="false">IF(17&lt;5,0,IF(MAX(P96:U96)&gt;U97+4+$B$18,1,0))</f>
        <v>0</v>
      </c>
      <c r="V103" s="352" t="n">
        <f aca="false">IF(18&lt;5,0,IF(MAX(Q96:V96)&gt;V97+4+$B$18,1,0))</f>
        <v>0</v>
      </c>
      <c r="W103" s="352" t="n">
        <f aca="false">IF(19&lt;5,0,IF(MAX(R96:W96)&gt;W97+4+$B$18,1,0))</f>
        <v>0</v>
      </c>
      <c r="X103" s="352" t="n">
        <f aca="false">IF(20&lt;5,0,IF(MAX(S96:X96)&gt;X97+4+$B$18,1,0))</f>
        <v>0</v>
      </c>
      <c r="Y103" s="352" t="n">
        <f aca="false">IF(21&lt;5,0,IF(MAX(T96:Y96)&gt;Y97+4+$B$18,1,0))</f>
        <v>0</v>
      </c>
      <c r="Z103" s="352" t="n">
        <f aca="false">IF(22&lt;5,0,IF(MAX(U96:Z96)&gt;Z97+4+$B$18,1,0))</f>
        <v>0</v>
      </c>
      <c r="AA103" s="352" t="n">
        <f aca="false">IF(23&lt;5,0,IF(MAX(V96:AA96)&gt;AA97+4+$B$18,1,0))</f>
        <v>0</v>
      </c>
      <c r="AB103" s="352" t="n">
        <f aca="false">IF(24&lt;5,0,IF(MAX(W96:AB96)&gt;AB97+4+$B$18,1,0))</f>
        <v>0</v>
      </c>
      <c r="AC103" s="352" t="n">
        <f aca="false">IF(25&lt;5,0,IF(MAX(X96:AC96)&gt;AC97+4+$B$18,1,0))</f>
        <v>0</v>
      </c>
      <c r="AD103" s="352" t="n">
        <f aca="false">IF(26&lt;5,0,IF(MAX(Y96:AD96)&gt;AD97+4+$B$18,1,0))</f>
        <v>0</v>
      </c>
      <c r="AE103" s="352" t="n">
        <f aca="false">IF(27&lt;5,0,IF(MAX(Z96:AE96)&gt;AE97+4+$B$18,1,0))</f>
        <v>0</v>
      </c>
      <c r="AF103" s="352" t="n">
        <f aca="false">IF(28&lt;5,0,IF(MAX(AA96:AF96)&gt;AF97+4+$B$18,1,0))</f>
        <v>0</v>
      </c>
      <c r="AG103" s="352" t="n">
        <f aca="false">IF(29&lt;5,0,IF(MAX(AB96:AG96)&gt;AG97+4+$B$18,1,0))</f>
        <v>0</v>
      </c>
      <c r="AH103" s="352" t="n">
        <f aca="false">IF(30&lt;5,0,IF(MAX(AC96:AH96)&gt;AH97+4+$B$18,1,0))</f>
        <v>0</v>
      </c>
      <c r="AI103" s="352" t="n">
        <f aca="false">IF(31&lt;5,0,IF(MAX(AD96:AI96)&gt;AI97+4+$B$18,1,0))</f>
        <v>0</v>
      </c>
      <c r="AJ103" s="352" t="n">
        <f aca="false">IF(32&lt;5,0,IF(MAX(AE96:AJ96)&gt;AJ97+4+$B$18,1,0))</f>
        <v>0</v>
      </c>
      <c r="AK103" s="352" t="n">
        <f aca="false">IF(33&lt;5,0,IF(MAX(AF96:AK96)&gt;AK97+4+$B$18,1,0))</f>
        <v>0</v>
      </c>
      <c r="AL103" s="352" t="n">
        <f aca="false">IF(34&lt;5,0,IF(MAX(AG96:AL96)&gt;AL97+4+$B$18,1,0))</f>
        <v>0</v>
      </c>
      <c r="AM103" s="352" t="n">
        <f aca="false">IF(35&lt;5,0,IF(MAX(AH96:AM96)&gt;AM97+4+$B$18,1,0))</f>
        <v>0</v>
      </c>
      <c r="AN103" s="352" t="n">
        <f aca="false">IF(36&lt;5,0,IF(MAX(AI96:AN96)&gt;AN97+4+$B$18,1,0))</f>
        <v>0</v>
      </c>
      <c r="AO103" s="352" t="n">
        <f aca="false">IF(37&lt;5,0,IF(MAX(AJ96:AO96)&gt;AO97+4+$B$18,1,0))</f>
        <v>0</v>
      </c>
      <c r="AP103" s="352" t="n">
        <f aca="false">IF(38&lt;5,0,IF(MAX(AK96:AP96)&gt;AP97+4+$B$18,1,0))</f>
        <v>0</v>
      </c>
      <c r="AQ103" s="352" t="n">
        <f aca="false">IF(39&lt;5,0,IF(MAX(AL96:AQ96)&gt;AQ97+4+$B$18,1,0))</f>
        <v>0</v>
      </c>
      <c r="AR103" s="352" t="n">
        <f aca="false">IF(40&lt;5,0,IF(MAX(AM96:AR96)&gt;AR97+4+$B$18,1,0))</f>
        <v>0</v>
      </c>
      <c r="AS103" s="352" t="n">
        <f aca="false">IF(41&lt;5,0,IF(MAX(AN96:AS96)&gt;AS97+4+$B$18,1,0))</f>
        <v>0</v>
      </c>
      <c r="AT103" s="352" t="n">
        <f aca="false">IF(42&lt;5,0,IF(MAX(AO96:AT96)&gt;AT97+4+$B$18,1,0))</f>
        <v>0</v>
      </c>
      <c r="AU103" s="352" t="n">
        <f aca="false">IF(43&lt;5,0,IF(MAX(AP96:AU96)&gt;AU97+4+$B$18,1,0))</f>
        <v>0</v>
      </c>
      <c r="AV103" s="352" t="n">
        <f aca="false">IF(44&lt;5,0,IF(MAX(AQ96:AV96)&gt;AV97+4+$B$18,1,0))</f>
        <v>0</v>
      </c>
      <c r="AW103" s="352" t="n">
        <f aca="false">IF(45&lt;5,0,IF(MAX(AR96:AW96)&gt;AW97+4+$B$18,1,0))</f>
        <v>0</v>
      </c>
      <c r="AX103" s="352" t="n">
        <f aca="false">IF(46&lt;5,0,IF(MAX(AS96:AX96)&gt;AX97+4+$B$18,1,0))</f>
        <v>0</v>
      </c>
      <c r="AY103" s="352" t="n">
        <f aca="false">IF(47&lt;5,0,IF(MAX(AT96:AY96)&gt;AY97+4+$B$18,1,0))</f>
        <v>0</v>
      </c>
      <c r="AZ103" s="352" t="n">
        <f aca="false">IF(48&lt;5,0,IF(MAX(AU96:AZ96)&gt;AZ97+4+$B$18,1,0))</f>
        <v>0</v>
      </c>
      <c r="BA103" s="352" t="n">
        <f aca="false">IF(49&lt;5,0,IF(MAX(AV96:BA96)&gt;BA97+4+$B$18,1,0))</f>
        <v>0</v>
      </c>
      <c r="BB103" s="352" t="n">
        <f aca="false">IF(50&lt;5,0,IF(MAX(AW96:BB96)&gt;BB97+4+$B$18,1,0))</f>
        <v>0</v>
      </c>
      <c r="BC103" s="352" t="n">
        <f aca="false">IF(51&lt;5,0,IF(MAX(AX96:BC96)&gt;BC97+4+$B$18,1,0))</f>
        <v>0</v>
      </c>
      <c r="BD103" s="352" t="n">
        <f aca="false">IF(52&lt;5,0,IF(MAX(AY96:BD96)&gt;BD97+4+$B$18,1,0))</f>
        <v>0</v>
      </c>
      <c r="BE103" s="352" t="n">
        <f aca="false">IF(53&lt;5,0,IF(MAX(AZ96:BE96)&gt;BE97+4+$B$18,1,0))</f>
        <v>0</v>
      </c>
      <c r="BF103" s="352" t="n">
        <f aca="false">IF(54&lt;5,0,IF(MAX(BA96:BF96)&gt;BF97+4+$B$18,1,0))</f>
        <v>0</v>
      </c>
      <c r="BG103" s="352" t="n">
        <f aca="false">IF(55&lt;5,0,IF(MAX(BB96:BG96)&gt;BG97+4+$B$18,1,0))</f>
        <v>0</v>
      </c>
      <c r="BH103" s="352" t="n">
        <f aca="false">IF(56&lt;5,0,IF(MAX(BC96:BH96)&gt;BH97+4+$B$18,1,0))</f>
        <v>0</v>
      </c>
      <c r="BI103" s="352" t="n">
        <f aca="false">IF(57&lt;5,0,IF(MAX(BD96:BI96)&gt;BI97+4+$B$18,1,0))</f>
        <v>0</v>
      </c>
      <c r="BJ103" s="352" t="n">
        <f aca="false">IF(58&lt;5,0,IF(MAX(BE96:BJ96)&gt;BJ97+4+$B$18,1,0))</f>
        <v>0</v>
      </c>
      <c r="BK103" s="352" t="n">
        <f aca="false">IF(59&lt;5,0,IF(MAX(BF96:BK96)&gt;BK97+4+$B$18,1,0))</f>
        <v>0</v>
      </c>
      <c r="BL103" s="352" t="n">
        <f aca="false">IF(60&lt;5,0,IF(MAX(BG96:BL96)&gt;BL97+4+$B$18,1,0))</f>
        <v>0</v>
      </c>
      <c r="BM103" s="352" t="n">
        <f aca="false">IF(61&lt;5,0,IF(MAX(BH96:BM96)&gt;BM97+4+$B$18,1,0))</f>
        <v>0</v>
      </c>
      <c r="BN103" s="352" t="n">
        <f aca="false">IF(62&lt;5,0,IF(MAX(BI96:BN96)&gt;BN97+4+$B$18,1,0))</f>
        <v>0</v>
      </c>
      <c r="BO103" s="352" t="n">
        <f aca="false">IF(63&lt;5,0,IF(MAX(BJ96:BO96)&gt;BO97+4+$B$18,1,0))</f>
        <v>0</v>
      </c>
      <c r="BP103" s="352" t="n">
        <f aca="false">IF(64&lt;5,0,IF(MAX(BK96:BP96)&gt;BP97+4+$B$18,1,0))</f>
        <v>0</v>
      </c>
      <c r="BQ103" s="352" t="n">
        <f aca="false">IF(65&lt;5,0,IF(MAX(BL96:BQ96)&gt;BQ97+4+$B$18,1,0))</f>
        <v>0</v>
      </c>
      <c r="BR103" s="352" t="n">
        <f aca="false">IF(66&lt;5,0,IF(MAX(BM96:BR96)&gt;BR97+4+$B$18,1,0))</f>
        <v>0</v>
      </c>
      <c r="BS103" s="352" t="n">
        <f aca="false">IF(67&lt;5,0,IF(MAX(BN96:BS96)&gt;BS97+4+$B$18,1,0))</f>
        <v>0</v>
      </c>
      <c r="BT103" s="352" t="n">
        <f aca="false">IF(68&lt;5,0,IF(MAX(BO96:BT96)&gt;BT97+4+$B$18,1,0))</f>
        <v>0</v>
      </c>
      <c r="BU103" s="352" t="n">
        <f aca="false">IF(69&lt;5,0,IF(MAX(BP96:BU96)&gt;BU97+4+$B$18,1,0))</f>
        <v>0</v>
      </c>
      <c r="BV103" s="352" t="n">
        <f aca="false">IF(70&lt;5,0,IF(MAX(BQ96:BV96)&gt;BV97+4+$B$18,1,0))</f>
        <v>0</v>
      </c>
      <c r="BW103" s="352" t="n">
        <f aca="false">IF(71&lt;5,0,IF(MAX(BR96:BW96)&gt;BW97+4+$B$18,1,0))</f>
        <v>0</v>
      </c>
      <c r="BX103" s="352" t="n">
        <f aca="false">IF(72&lt;5,0,IF(MAX(BS96:BX96)&gt;BX97+4+$B$18,1,0))</f>
        <v>0</v>
      </c>
      <c r="BY103" s="352" t="n">
        <f aca="false">IF(73&lt;5,0,IF(MAX(BT96:BY96)&gt;BY97+4+$B$18,1,0))</f>
        <v>0</v>
      </c>
      <c r="BZ103" s="352" t="n">
        <f aca="false">IF(74&lt;5,0,IF(MAX(BU96:BZ96)&gt;BZ97+4+$B$18,1,0))</f>
        <v>0</v>
      </c>
      <c r="CA103" s="352" t="n">
        <f aca="false">IF(75&lt;5,0,IF(MAX(BV96:CA96)&gt;CA97+4+$B$18,1,0))</f>
        <v>0</v>
      </c>
      <c r="CB103" s="352" t="n">
        <f aca="false">IF(76&lt;5,0,IF(MAX(BW96:CB96)&gt;CB97+4+$B$18,1,0))</f>
        <v>0</v>
      </c>
      <c r="CC103" s="352" t="n">
        <f aca="false">IF(77&lt;5,0,IF(MAX(BX96:CC96)&gt;CC97+4+$B$18,1,0))</f>
        <v>0</v>
      </c>
      <c r="CD103" s="352" t="n">
        <f aca="false">IF(78&lt;5,0,IF(MAX(BY96:CD96)&gt;CD97+4+$B$18,1,0))</f>
        <v>0</v>
      </c>
      <c r="CE103" s="352" t="n">
        <f aca="false">IF(79&lt;5,0,IF(MAX(BZ96:CE96)&gt;CE97+4+$B$18,1,0))</f>
        <v>0</v>
      </c>
      <c r="CF103" s="352" t="n">
        <f aca="false">IF(80&lt;5,0,IF(MAX(CA96:CF96)&gt;CF97+4+$B$18,1,0))</f>
        <v>0</v>
      </c>
      <c r="CG103" s="352" t="n">
        <f aca="false">IF(81&lt;5,0,IF(MAX(CB96:CG96)&gt;CG97+4+$B$18,1,0))</f>
        <v>0</v>
      </c>
      <c r="CH103" s="352" t="n">
        <f aca="false">IF(82&lt;5,0,IF(MAX(CC96:CH96)&gt;CH97+4+$B$18,1,0))</f>
        <v>0</v>
      </c>
      <c r="CI103" s="352" t="n">
        <f aca="false">IF(83&lt;5,0,IF(MAX(CD96:CI96)&gt;CI97+4+$B$18,1,0))</f>
        <v>0</v>
      </c>
      <c r="CJ103" s="352" t="n">
        <f aca="false">IF(84&lt;5,0,IF(MAX(CE96:CJ96)&gt;CJ97+4+$B$18,1,0))</f>
        <v>0</v>
      </c>
      <c r="CK103" s="352" t="n">
        <f aca="false">IF(85&lt;5,0,IF(MAX(CF96:CK96)&gt;CK97+4+$B$18,1,0))</f>
        <v>0</v>
      </c>
      <c r="CL103" s="352" t="n">
        <f aca="false">IF(86&lt;5,0,IF(MAX(CG96:CL96)&gt;CL97+4+$B$18,1,0))</f>
        <v>0</v>
      </c>
      <c r="CM103" s="352" t="n">
        <f aca="false">IF(87&lt;5,0,IF(MAX(CH96:CM96)&gt;CM97+4+$B$18,1,0))</f>
        <v>0</v>
      </c>
      <c r="CN103" s="352" t="n">
        <f aca="false">IF(88&lt;5,0,IF(MAX(CI96:CN96)&gt;CN97+4+$B$18,1,0))</f>
        <v>0</v>
      </c>
      <c r="CO103" s="352" t="n">
        <f aca="false">IF(89&lt;5,0,IF(MAX(CJ96:CO96)&gt;CO97+4+$B$18,1,0))</f>
        <v>0</v>
      </c>
      <c r="CP103" s="352" t="n">
        <f aca="false">IF(90&lt;5,0,IF(MAX(CK96:CP96)&gt;CP97+4+$B$18,1,0))</f>
        <v>0</v>
      </c>
      <c r="CQ103" s="352" t="n">
        <f aca="false">IF(91&lt;5,0,IF(MAX(CL96:CQ96)&gt;CQ97+4+$B$18,1,0))</f>
        <v>0</v>
      </c>
      <c r="CR103" s="352" t="n">
        <f aca="false">IF(92&lt;5,0,IF(MAX(CM96:CR96)&gt;CR97+4+$B$18,1,0))</f>
        <v>0</v>
      </c>
      <c r="CS103" s="352" t="n">
        <f aca="false">IF(93&lt;5,0,IF(MAX(CN96:CS96)&gt;CS97+4+$B$18,1,0))</f>
        <v>0</v>
      </c>
      <c r="CT103" s="352" t="n">
        <f aca="false">IF(94&lt;5,0,IF(MAX(CO96:CT96)&gt;CT97+4+$B$18,1,0))</f>
        <v>0</v>
      </c>
      <c r="CU103" s="352" t="n">
        <f aca="false">IF(95&lt;5,0,IF(MAX(CP96:CU96)&gt;CU97+4+$B$18,1,0))</f>
        <v>0</v>
      </c>
      <c r="CV103" s="352" t="n">
        <f aca="false">IF(96&lt;5,0,IF(MAX(CQ96:CV96)&gt;CV97+4+$B$18,1,0))</f>
        <v>0</v>
      </c>
      <c r="CW103" s="352" t="n">
        <f aca="false">IF(97&lt;5,0,IF(MAX(CR96:CW96)&gt;CW97+4+$B$18,1,0))</f>
        <v>0</v>
      </c>
      <c r="CX103" s="352" t="n">
        <f aca="false">IF(98&lt;5,0,IF(MAX(CS96:CX96)&gt;CX97+4+$B$18,1,0))</f>
        <v>0</v>
      </c>
      <c r="CY103" s="352" t="n">
        <f aca="false">IF(99&lt;5,0,IF(MAX(CT96:CY96)&gt;CY97+4+$B$18,1,0))</f>
        <v>0</v>
      </c>
      <c r="CZ103" s="352" t="n">
        <f aca="false">IF(100&lt;5,0,IF(MAX(CU96:CZ96)&gt;CZ97+4+$B$18,1,0))</f>
        <v>0</v>
      </c>
      <c r="DA103" s="352" t="n">
        <f aca="false">IF(101&lt;5,0,IF(MAX(CV96:DA96)&gt;DA97+4+$B$18,1,0))</f>
        <v>0</v>
      </c>
      <c r="DB103" s="352" t="n">
        <f aca="false">IF(102&lt;5,0,IF(MAX(CW96:DB96)&gt;DB97+4+$B$18,1,0))</f>
        <v>0</v>
      </c>
      <c r="DC103" s="352" t="n">
        <f aca="false">IF(103&lt;5,0,IF(MAX(CX96:DC96)&gt;DC97+4+$B$18,1,0))</f>
        <v>0</v>
      </c>
      <c r="DD103" s="352" t="n">
        <f aca="false">IF(104&lt;5,0,IF(MAX(CY96:DD96)&gt;DD97+4+$B$18,1,0))</f>
        <v>0</v>
      </c>
      <c r="DE103" s="352" t="n">
        <f aca="false">IF(105&lt;5,0,IF(MAX(CZ96:DE96)&gt;DE97+4+$B$18,1,0))</f>
        <v>0</v>
      </c>
    </row>
    <row r="104" customFormat="false" ht="13.5" hidden="false" customHeight="true" outlineLevel="0" collapsed="false">
      <c r="A104" s="109" t="s">
        <v>1222</v>
      </c>
      <c r="B104" s="211" t="n">
        <f aca="false">$B$27</f>
        <v>125000</v>
      </c>
      <c r="E104" s="352" t="n">
        <f aca="false">IF(1&lt;5,0,IF(MAX(E96)&gt;E97+5+$B$18,1,0))</f>
        <v>0</v>
      </c>
      <c r="F104" s="352" t="n">
        <f aca="false">IF(2&lt;5,0,IF(MAX(E96:F96)&gt;F97+5+$B$18,1,0))</f>
        <v>0</v>
      </c>
      <c r="G104" s="352" t="n">
        <f aca="false">IF(3&lt;5,0,IF(MAX(E96:G96)&gt;G97+5+$B$18,1,0))</f>
        <v>0</v>
      </c>
      <c r="H104" s="352" t="n">
        <f aca="false">IF(4&lt;5,0,IF(MAX(E96:H96)&gt;H97+5+$B$18,1,0))</f>
        <v>0</v>
      </c>
      <c r="I104" s="352" t="n">
        <f aca="false">IF(5&lt;5,0,IF(MAX(E96:I96)&gt;I97+5+$B$18,1,0))</f>
        <v>0</v>
      </c>
      <c r="J104" s="352" t="n">
        <f aca="false">IF(6&lt;5,0,IF(MAX(E96:J96)&gt;J97+5+$B$18,1,0))</f>
        <v>0</v>
      </c>
      <c r="K104" s="352" t="n">
        <f aca="false">IF(7&lt;5,0,IF(MAX(F96:K96)&gt;K97+5+$B$18,1,0))</f>
        <v>0</v>
      </c>
      <c r="L104" s="352" t="n">
        <f aca="false">IF(8&lt;5,0,IF(MAX(G96:L96)&gt;L97+5+$B$18,1,0))</f>
        <v>0</v>
      </c>
      <c r="M104" s="352" t="n">
        <f aca="false">IF(9&lt;5,0,IF(MAX(H96:M96)&gt;M97+5+$B$18,1,0))</f>
        <v>0</v>
      </c>
      <c r="N104" s="352" t="n">
        <f aca="false">IF(10&lt;5,0,IF(MAX(I96:N96)&gt;N97+5+$B$18,1,0))</f>
        <v>0</v>
      </c>
      <c r="O104" s="352" t="n">
        <f aca="false">IF(11&lt;5,0,IF(MAX(J96:O96)&gt;O97+5+$B$18,1,0))</f>
        <v>0</v>
      </c>
      <c r="P104" s="352" t="n">
        <f aca="false">IF(12&lt;5,0,IF(MAX(K96:P96)&gt;P97+5+$B$18,1,0))</f>
        <v>0</v>
      </c>
      <c r="Q104" s="352" t="n">
        <f aca="false">IF(13&lt;5,0,IF(MAX(L96:Q96)&gt;Q97+5+$B$18,1,0))</f>
        <v>0</v>
      </c>
      <c r="R104" s="352" t="n">
        <f aca="false">IF(14&lt;5,0,IF(MAX(M96:R96)&gt;R97+5+$B$18,1,0))</f>
        <v>0</v>
      </c>
      <c r="S104" s="352" t="n">
        <f aca="false">IF(15&lt;5,0,IF(MAX(N96:S96)&gt;S97+5+$B$18,1,0))</f>
        <v>0</v>
      </c>
      <c r="T104" s="352" t="n">
        <f aca="false">IF(16&lt;5,0,IF(MAX(O96:T96)&gt;T97+5+$B$18,1,0))</f>
        <v>0</v>
      </c>
      <c r="U104" s="352" t="n">
        <f aca="false">IF(17&lt;5,0,IF(MAX(P96:U96)&gt;U97+5+$B$18,1,0))</f>
        <v>0</v>
      </c>
      <c r="V104" s="352" t="n">
        <f aca="false">IF(18&lt;5,0,IF(MAX(Q96:V96)&gt;V97+5+$B$18,1,0))</f>
        <v>0</v>
      </c>
      <c r="W104" s="352" t="n">
        <f aca="false">IF(19&lt;5,0,IF(MAX(R96:W96)&gt;W97+5+$B$18,1,0))</f>
        <v>0</v>
      </c>
      <c r="X104" s="352" t="n">
        <f aca="false">IF(20&lt;5,0,IF(MAX(S96:X96)&gt;X97+5+$B$18,1,0))</f>
        <v>0</v>
      </c>
      <c r="Y104" s="352" t="n">
        <f aca="false">IF(21&lt;5,0,IF(MAX(T96:Y96)&gt;Y97+5+$B$18,1,0))</f>
        <v>0</v>
      </c>
      <c r="Z104" s="352" t="n">
        <f aca="false">IF(22&lt;5,0,IF(MAX(U96:Z96)&gt;Z97+5+$B$18,1,0))</f>
        <v>0</v>
      </c>
      <c r="AA104" s="352" t="n">
        <f aca="false">IF(23&lt;5,0,IF(MAX(V96:AA96)&gt;AA97+5+$B$18,1,0))</f>
        <v>0</v>
      </c>
      <c r="AB104" s="352" t="n">
        <f aca="false">IF(24&lt;5,0,IF(MAX(W96:AB96)&gt;AB97+5+$B$18,1,0))</f>
        <v>0</v>
      </c>
      <c r="AC104" s="352" t="n">
        <f aca="false">IF(25&lt;5,0,IF(MAX(X96:AC96)&gt;AC97+5+$B$18,1,0))</f>
        <v>0</v>
      </c>
      <c r="AD104" s="352" t="n">
        <f aca="false">IF(26&lt;5,0,IF(MAX(Y96:AD96)&gt;AD97+5+$B$18,1,0))</f>
        <v>0</v>
      </c>
      <c r="AE104" s="352" t="n">
        <f aca="false">IF(27&lt;5,0,IF(MAX(Z96:AE96)&gt;AE97+5+$B$18,1,0))</f>
        <v>0</v>
      </c>
      <c r="AF104" s="352" t="n">
        <f aca="false">IF(28&lt;5,0,IF(MAX(AA96:AF96)&gt;AF97+5+$B$18,1,0))</f>
        <v>0</v>
      </c>
      <c r="AG104" s="352" t="n">
        <f aca="false">IF(29&lt;5,0,IF(MAX(AB96:AG96)&gt;AG97+5+$B$18,1,0))</f>
        <v>0</v>
      </c>
      <c r="AH104" s="352" t="n">
        <f aca="false">IF(30&lt;5,0,IF(MAX(AC96:AH96)&gt;AH97+5+$B$18,1,0))</f>
        <v>0</v>
      </c>
      <c r="AI104" s="352" t="n">
        <f aca="false">IF(31&lt;5,0,IF(MAX(AD96:AI96)&gt;AI97+5+$B$18,1,0))</f>
        <v>0</v>
      </c>
      <c r="AJ104" s="352" t="n">
        <f aca="false">IF(32&lt;5,0,IF(MAX(AE96:AJ96)&gt;AJ97+5+$B$18,1,0))</f>
        <v>0</v>
      </c>
      <c r="AK104" s="352" t="n">
        <f aca="false">IF(33&lt;5,0,IF(MAX(AF96:AK96)&gt;AK97+5+$B$18,1,0))</f>
        <v>0</v>
      </c>
      <c r="AL104" s="352" t="n">
        <f aca="false">IF(34&lt;5,0,IF(MAX(AG96:AL96)&gt;AL97+5+$B$18,1,0))</f>
        <v>0</v>
      </c>
      <c r="AM104" s="352" t="n">
        <f aca="false">IF(35&lt;5,0,IF(MAX(AH96:AM96)&gt;AM97+5+$B$18,1,0))</f>
        <v>0</v>
      </c>
      <c r="AN104" s="352" t="n">
        <f aca="false">IF(36&lt;5,0,IF(MAX(AI96:AN96)&gt;AN97+5+$B$18,1,0))</f>
        <v>0</v>
      </c>
      <c r="AO104" s="352" t="n">
        <f aca="false">IF(37&lt;5,0,IF(MAX(AJ96:AO96)&gt;AO97+5+$B$18,1,0))</f>
        <v>0</v>
      </c>
      <c r="AP104" s="352" t="n">
        <f aca="false">IF(38&lt;5,0,IF(MAX(AK96:AP96)&gt;AP97+5+$B$18,1,0))</f>
        <v>0</v>
      </c>
      <c r="AQ104" s="352" t="n">
        <f aca="false">IF(39&lt;5,0,IF(MAX(AL96:AQ96)&gt;AQ97+5+$B$18,1,0))</f>
        <v>0</v>
      </c>
      <c r="AR104" s="352" t="n">
        <f aca="false">IF(40&lt;5,0,IF(MAX(AM96:AR96)&gt;AR97+5+$B$18,1,0))</f>
        <v>0</v>
      </c>
      <c r="AS104" s="352" t="n">
        <f aca="false">IF(41&lt;5,0,IF(MAX(AN96:AS96)&gt;AS97+5+$B$18,1,0))</f>
        <v>0</v>
      </c>
      <c r="AT104" s="352" t="n">
        <f aca="false">IF(42&lt;5,0,IF(MAX(AO96:AT96)&gt;AT97+5+$B$18,1,0))</f>
        <v>0</v>
      </c>
      <c r="AU104" s="352" t="n">
        <f aca="false">IF(43&lt;5,0,IF(MAX(AP96:AU96)&gt;AU97+5+$B$18,1,0))</f>
        <v>0</v>
      </c>
      <c r="AV104" s="352" t="n">
        <f aca="false">IF(44&lt;5,0,IF(MAX(AQ96:AV96)&gt;AV97+5+$B$18,1,0))</f>
        <v>0</v>
      </c>
      <c r="AW104" s="352" t="n">
        <f aca="false">IF(45&lt;5,0,IF(MAX(AR96:AW96)&gt;AW97+5+$B$18,1,0))</f>
        <v>0</v>
      </c>
      <c r="AX104" s="352" t="n">
        <f aca="false">IF(46&lt;5,0,IF(MAX(AS96:AX96)&gt;AX97+5+$B$18,1,0))</f>
        <v>0</v>
      </c>
      <c r="AY104" s="352" t="n">
        <f aca="false">IF(47&lt;5,0,IF(MAX(AT96:AY96)&gt;AY97+5+$B$18,1,0))</f>
        <v>0</v>
      </c>
      <c r="AZ104" s="352" t="n">
        <f aca="false">IF(48&lt;5,0,IF(MAX(AU96:AZ96)&gt;AZ97+5+$B$18,1,0))</f>
        <v>0</v>
      </c>
      <c r="BA104" s="352" t="n">
        <f aca="false">IF(49&lt;5,0,IF(MAX(AV96:BA96)&gt;BA97+5+$B$18,1,0))</f>
        <v>0</v>
      </c>
      <c r="BB104" s="352" t="n">
        <f aca="false">IF(50&lt;5,0,IF(MAX(AW96:BB96)&gt;BB97+5+$B$18,1,0))</f>
        <v>0</v>
      </c>
      <c r="BC104" s="352" t="n">
        <f aca="false">IF(51&lt;5,0,IF(MAX(AX96:BC96)&gt;BC97+5+$B$18,1,0))</f>
        <v>0</v>
      </c>
      <c r="BD104" s="352" t="n">
        <f aca="false">IF(52&lt;5,0,IF(MAX(AY96:BD96)&gt;BD97+5+$B$18,1,0))</f>
        <v>0</v>
      </c>
      <c r="BE104" s="352" t="n">
        <f aca="false">IF(53&lt;5,0,IF(MAX(AZ96:BE96)&gt;BE97+5+$B$18,1,0))</f>
        <v>0</v>
      </c>
      <c r="BF104" s="352" t="n">
        <f aca="false">IF(54&lt;5,0,IF(MAX(BA96:BF96)&gt;BF97+5+$B$18,1,0))</f>
        <v>0</v>
      </c>
      <c r="BG104" s="352" t="n">
        <f aca="false">IF(55&lt;5,0,IF(MAX(BB96:BG96)&gt;BG97+5+$B$18,1,0))</f>
        <v>0</v>
      </c>
      <c r="BH104" s="352" t="n">
        <f aca="false">IF(56&lt;5,0,IF(MAX(BC96:BH96)&gt;BH97+5+$B$18,1,0))</f>
        <v>0</v>
      </c>
      <c r="BI104" s="352" t="n">
        <f aca="false">IF(57&lt;5,0,IF(MAX(BD96:BI96)&gt;BI97+5+$B$18,1,0))</f>
        <v>0</v>
      </c>
      <c r="BJ104" s="352" t="n">
        <f aca="false">IF(58&lt;5,0,IF(MAX(BE96:BJ96)&gt;BJ97+5+$B$18,1,0))</f>
        <v>0</v>
      </c>
      <c r="BK104" s="352" t="n">
        <f aca="false">IF(59&lt;5,0,IF(MAX(BF96:BK96)&gt;BK97+5+$B$18,1,0))</f>
        <v>0</v>
      </c>
      <c r="BL104" s="352" t="n">
        <f aca="false">IF(60&lt;5,0,IF(MAX(BG96:BL96)&gt;BL97+5+$B$18,1,0))</f>
        <v>0</v>
      </c>
      <c r="BM104" s="352" t="n">
        <f aca="false">IF(61&lt;5,0,IF(MAX(BH96:BM96)&gt;BM97+5+$B$18,1,0))</f>
        <v>0</v>
      </c>
      <c r="BN104" s="352" t="n">
        <f aca="false">IF(62&lt;5,0,IF(MAX(BI96:BN96)&gt;BN97+5+$B$18,1,0))</f>
        <v>0</v>
      </c>
      <c r="BO104" s="352" t="n">
        <f aca="false">IF(63&lt;5,0,IF(MAX(BJ96:BO96)&gt;BO97+5+$B$18,1,0))</f>
        <v>0</v>
      </c>
      <c r="BP104" s="352" t="n">
        <f aca="false">IF(64&lt;5,0,IF(MAX(BK96:BP96)&gt;BP97+5+$B$18,1,0))</f>
        <v>0</v>
      </c>
      <c r="BQ104" s="352" t="n">
        <f aca="false">IF(65&lt;5,0,IF(MAX(BL96:BQ96)&gt;BQ97+5+$B$18,1,0))</f>
        <v>0</v>
      </c>
      <c r="BR104" s="352" t="n">
        <f aca="false">IF(66&lt;5,0,IF(MAX(BM96:BR96)&gt;BR97+5+$B$18,1,0))</f>
        <v>0</v>
      </c>
      <c r="BS104" s="352" t="n">
        <f aca="false">IF(67&lt;5,0,IF(MAX(BN96:BS96)&gt;BS97+5+$B$18,1,0))</f>
        <v>0</v>
      </c>
      <c r="BT104" s="352" t="n">
        <f aca="false">IF(68&lt;5,0,IF(MAX(BO96:BT96)&gt;BT97+5+$B$18,1,0))</f>
        <v>0</v>
      </c>
      <c r="BU104" s="352" t="n">
        <f aca="false">IF(69&lt;5,0,IF(MAX(BP96:BU96)&gt;BU97+5+$B$18,1,0))</f>
        <v>0</v>
      </c>
      <c r="BV104" s="352" t="n">
        <f aca="false">IF(70&lt;5,0,IF(MAX(BQ96:BV96)&gt;BV97+5+$B$18,1,0))</f>
        <v>0</v>
      </c>
      <c r="BW104" s="352" t="n">
        <f aca="false">IF(71&lt;5,0,IF(MAX(BR96:BW96)&gt;BW97+5+$B$18,1,0))</f>
        <v>0</v>
      </c>
      <c r="BX104" s="352" t="n">
        <f aca="false">IF(72&lt;5,0,IF(MAX(BS96:BX96)&gt;BX97+5+$B$18,1,0))</f>
        <v>0</v>
      </c>
      <c r="BY104" s="352" t="n">
        <f aca="false">IF(73&lt;5,0,IF(MAX(BT96:BY96)&gt;BY97+5+$B$18,1,0))</f>
        <v>0</v>
      </c>
      <c r="BZ104" s="352" t="n">
        <f aca="false">IF(74&lt;5,0,IF(MAX(BU96:BZ96)&gt;BZ97+5+$B$18,1,0))</f>
        <v>0</v>
      </c>
      <c r="CA104" s="352" t="n">
        <f aca="false">IF(75&lt;5,0,IF(MAX(BV96:CA96)&gt;CA97+5+$B$18,1,0))</f>
        <v>0</v>
      </c>
      <c r="CB104" s="352" t="n">
        <f aca="false">IF(76&lt;5,0,IF(MAX(BW96:CB96)&gt;CB97+5+$B$18,1,0))</f>
        <v>0</v>
      </c>
      <c r="CC104" s="352" t="n">
        <f aca="false">IF(77&lt;5,0,IF(MAX(BX96:CC96)&gt;CC97+5+$B$18,1,0))</f>
        <v>0</v>
      </c>
      <c r="CD104" s="352" t="n">
        <f aca="false">IF(78&lt;5,0,IF(MAX(BY96:CD96)&gt;CD97+5+$B$18,1,0))</f>
        <v>0</v>
      </c>
      <c r="CE104" s="352" t="n">
        <f aca="false">IF(79&lt;5,0,IF(MAX(BZ96:CE96)&gt;CE97+5+$B$18,1,0))</f>
        <v>0</v>
      </c>
      <c r="CF104" s="352" t="n">
        <f aca="false">IF(80&lt;5,0,IF(MAX(CA96:CF96)&gt;CF97+5+$B$18,1,0))</f>
        <v>0</v>
      </c>
      <c r="CG104" s="352" t="n">
        <f aca="false">IF(81&lt;5,0,IF(MAX(CB96:CG96)&gt;CG97+5+$B$18,1,0))</f>
        <v>0</v>
      </c>
      <c r="CH104" s="352" t="n">
        <f aca="false">IF(82&lt;5,0,IF(MAX(CC96:CH96)&gt;CH97+5+$B$18,1,0))</f>
        <v>0</v>
      </c>
      <c r="CI104" s="352" t="n">
        <f aca="false">IF(83&lt;5,0,IF(MAX(CD96:CI96)&gt;CI97+5+$B$18,1,0))</f>
        <v>0</v>
      </c>
      <c r="CJ104" s="352" t="n">
        <f aca="false">IF(84&lt;5,0,IF(MAX(CE96:CJ96)&gt;CJ97+5+$B$18,1,0))</f>
        <v>0</v>
      </c>
      <c r="CK104" s="352" t="n">
        <f aca="false">IF(85&lt;5,0,IF(MAX(CF96:CK96)&gt;CK97+5+$B$18,1,0))</f>
        <v>0</v>
      </c>
      <c r="CL104" s="352" t="n">
        <f aca="false">IF(86&lt;5,0,IF(MAX(CG96:CL96)&gt;CL97+5+$B$18,1,0))</f>
        <v>0</v>
      </c>
      <c r="CM104" s="352" t="n">
        <f aca="false">IF(87&lt;5,0,IF(MAX(CH96:CM96)&gt;CM97+5+$B$18,1,0))</f>
        <v>0</v>
      </c>
      <c r="CN104" s="352" t="n">
        <f aca="false">IF(88&lt;5,0,IF(MAX(CI96:CN96)&gt;CN97+5+$B$18,1,0))</f>
        <v>0</v>
      </c>
      <c r="CO104" s="352" t="n">
        <f aca="false">IF(89&lt;5,0,IF(MAX(CJ96:CO96)&gt;CO97+5+$B$18,1,0))</f>
        <v>0</v>
      </c>
      <c r="CP104" s="352" t="n">
        <f aca="false">IF(90&lt;5,0,IF(MAX(CK96:CP96)&gt;CP97+5+$B$18,1,0))</f>
        <v>0</v>
      </c>
      <c r="CQ104" s="352" t="n">
        <f aca="false">IF(91&lt;5,0,IF(MAX(CL96:CQ96)&gt;CQ97+5+$B$18,1,0))</f>
        <v>0</v>
      </c>
      <c r="CR104" s="352" t="n">
        <f aca="false">IF(92&lt;5,0,IF(MAX(CM96:CR96)&gt;CR97+5+$B$18,1,0))</f>
        <v>0</v>
      </c>
      <c r="CS104" s="352" t="n">
        <f aca="false">IF(93&lt;5,0,IF(MAX(CN96:CS96)&gt;CS97+5+$B$18,1,0))</f>
        <v>0</v>
      </c>
      <c r="CT104" s="352" t="n">
        <f aca="false">IF(94&lt;5,0,IF(MAX(CO96:CT96)&gt;CT97+5+$B$18,1,0))</f>
        <v>0</v>
      </c>
      <c r="CU104" s="352" t="n">
        <f aca="false">IF(95&lt;5,0,IF(MAX(CP96:CU96)&gt;CU97+5+$B$18,1,0))</f>
        <v>0</v>
      </c>
      <c r="CV104" s="352" t="n">
        <f aca="false">IF(96&lt;5,0,IF(MAX(CQ96:CV96)&gt;CV97+5+$B$18,1,0))</f>
        <v>0</v>
      </c>
      <c r="CW104" s="352" t="n">
        <f aca="false">IF(97&lt;5,0,IF(MAX(CR96:CW96)&gt;CW97+5+$B$18,1,0))</f>
        <v>0</v>
      </c>
      <c r="CX104" s="352" t="n">
        <f aca="false">IF(98&lt;5,0,IF(MAX(CS96:CX96)&gt;CX97+5+$B$18,1,0))</f>
        <v>0</v>
      </c>
      <c r="CY104" s="352" t="n">
        <f aca="false">IF(99&lt;5,0,IF(MAX(CT96:CY96)&gt;CY97+5+$B$18,1,0))</f>
        <v>0</v>
      </c>
      <c r="CZ104" s="352" t="n">
        <f aca="false">IF(100&lt;5,0,IF(MAX(CU96:CZ96)&gt;CZ97+5+$B$18,1,0))</f>
        <v>0</v>
      </c>
      <c r="DA104" s="352" t="n">
        <f aca="false">IF(101&lt;5,0,IF(MAX(CV96:DA96)&gt;DA97+5+$B$18,1,0))</f>
        <v>0</v>
      </c>
      <c r="DB104" s="352" t="n">
        <f aca="false">IF(102&lt;5,0,IF(MAX(CW96:DB96)&gt;DB97+5+$B$18,1,0))</f>
        <v>0</v>
      </c>
      <c r="DC104" s="352" t="n">
        <f aca="false">IF(103&lt;5,0,IF(MAX(CX96:DC96)&gt;DC97+5+$B$18,1,0))</f>
        <v>0</v>
      </c>
      <c r="DD104" s="352" t="n">
        <f aca="false">IF(104&lt;5,0,IF(MAX(CY96:DD96)&gt;DD97+5+$B$18,1,0))</f>
        <v>0</v>
      </c>
      <c r="DE104" s="352" t="n">
        <f aca="false">IF(105&lt;5,0,IF(MAX(CZ96:DE96)&gt;DE97+5+$B$18,1,0))</f>
        <v>0</v>
      </c>
    </row>
    <row r="106" customFormat="false" ht="13.5" hidden="false" customHeight="true" outlineLevel="0" collapsed="false">
      <c r="A106" s="109" t="s">
        <v>1223</v>
      </c>
      <c r="B106" s="348" t="n">
        <v>3</v>
      </c>
    </row>
    <row r="107" customFormat="false" ht="13.5" hidden="false" customHeight="true" outlineLevel="0" collapsed="false">
      <c r="A107" s="109" t="s">
        <v>1224</v>
      </c>
      <c r="B107" s="348" t="n">
        <v>0.5</v>
      </c>
    </row>
    <row r="108" customFormat="false" ht="13.5" hidden="false" customHeight="true" outlineLevel="0" collapsed="false">
      <c r="A108" s="1" t="s">
        <v>1225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1226</v>
      </c>
    </row>
    <row r="2" customFormat="false" ht="13.5" hidden="false" customHeight="true" outlineLevel="0" collapsed="false">
      <c r="A2" s="354" t="s">
        <v>1227</v>
      </c>
    </row>
    <row r="3" customFormat="false" ht="15" hidden="false" customHeight="true" outlineLevel="0" collapsed="false">
      <c r="A3" s="355" t="s">
        <v>1228</v>
      </c>
    </row>
    <row r="4" customFormat="false" ht="15" hidden="false" customHeight="true" outlineLevel="0" collapsed="false">
      <c r="A4" s="118" t="s">
        <v>1229</v>
      </c>
      <c r="C4" s="356" t="n">
        <f aca="false">Assumptions!$B$15</f>
        <v>0.015</v>
      </c>
      <c r="D4" s="357" t="s">
        <v>1230</v>
      </c>
    </row>
    <row r="5" customFormat="false" ht="15" hidden="false" customHeight="true" outlineLevel="0" collapsed="false">
      <c r="A5" s="118" t="s">
        <v>1231</v>
      </c>
      <c r="C5" s="358" t="n">
        <f aca="false">95034/12993776.05</f>
        <v>0.00731380929102591</v>
      </c>
      <c r="D5" s="357" t="s">
        <v>1232</v>
      </c>
    </row>
    <row r="6" customFormat="false" ht="15" hidden="false" customHeight="true" outlineLevel="0" collapsed="false">
      <c r="A6" s="118" t="s">
        <v>1233</v>
      </c>
      <c r="C6" s="356" t="n">
        <f aca="false">Assumptions!$B$17</f>
        <v>0.0325</v>
      </c>
      <c r="D6" s="357" t="s">
        <v>1234</v>
      </c>
    </row>
    <row r="7" customFormat="false" ht="15" hidden="false" customHeight="true" outlineLevel="0" collapsed="false">
      <c r="A7" s="118" t="s">
        <v>1235</v>
      </c>
      <c r="C7" s="359" t="n">
        <v>1800000</v>
      </c>
      <c r="D7" s="357" t="s">
        <v>1236</v>
      </c>
      <c r="F7" s="118" t="s">
        <v>1237</v>
      </c>
      <c r="H7" s="360" t="n">
        <f aca="false">SUMPRODUCT(($S$11:$S$54=1)*($H$11:$H$54&lt;=$C$8)*$Z$11:$Z$54)</f>
        <v>692876.895125</v>
      </c>
    </row>
    <row r="8" customFormat="false" ht="15" hidden="false" customHeight="true" outlineLevel="0" collapsed="false">
      <c r="A8" s="118" t="s">
        <v>1238</v>
      </c>
      <c r="C8" s="361" t="n">
        <f aca="false">SUMPRODUCT(--(Model!$B$4:$DE$4="Actuals"))-3</f>
        <v>5</v>
      </c>
      <c r="D8" s="357" t="s">
        <v>1239</v>
      </c>
      <c r="F8" s="118" t="s">
        <v>1240</v>
      </c>
      <c r="H8" s="360" t="n">
        <f aca="false">SUMIFS($O$11:$O$54,$H$11:$H$54,"&lt;="&amp;$C$8)</f>
        <v>0</v>
      </c>
    </row>
    <row r="9" customFormat="false" ht="15" hidden="false" customHeight="true" outlineLevel="0" collapsed="false">
      <c r="A9" s="118" t="s">
        <v>1241</v>
      </c>
      <c r="C9" s="362" t="n">
        <f aca="false">SUM(AC11:AC54)</f>
        <v>692876.895125</v>
      </c>
      <c r="D9" s="357" t="s">
        <v>1242</v>
      </c>
      <c r="F9" s="118" t="s">
        <v>1243</v>
      </c>
      <c r="H9" s="363" t="n">
        <v>10</v>
      </c>
    </row>
    <row r="10" customFormat="false" ht="48" hidden="false" customHeight="true" outlineLevel="0" collapsed="false">
      <c r="A10" s="173" t="s">
        <v>465</v>
      </c>
      <c r="B10" s="173" t="s">
        <v>1244</v>
      </c>
      <c r="C10" s="173" t="s">
        <v>563</v>
      </c>
      <c r="D10" s="173" t="s">
        <v>564</v>
      </c>
      <c r="E10" s="173" t="s">
        <v>1245</v>
      </c>
      <c r="F10" s="173" t="s">
        <v>1246</v>
      </c>
      <c r="G10" s="173" t="s">
        <v>1247</v>
      </c>
      <c r="H10" s="173" t="s">
        <v>1248</v>
      </c>
      <c r="I10" s="173" t="s">
        <v>1249</v>
      </c>
      <c r="J10" s="173" t="s">
        <v>1250</v>
      </c>
      <c r="K10" s="173" t="s">
        <v>1251</v>
      </c>
      <c r="L10" s="173" t="s">
        <v>1252</v>
      </c>
      <c r="M10" s="173" t="s">
        <v>1251</v>
      </c>
      <c r="N10" s="173" t="s">
        <v>1253</v>
      </c>
      <c r="O10" s="173" t="s">
        <v>1254</v>
      </c>
      <c r="P10" s="173" t="s">
        <v>1251</v>
      </c>
      <c r="Q10" s="173" t="s">
        <v>1255</v>
      </c>
      <c r="R10" s="173" t="s">
        <v>1256</v>
      </c>
      <c r="S10" s="173" t="s">
        <v>1257</v>
      </c>
      <c r="T10" s="173" t="s">
        <v>1258</v>
      </c>
      <c r="U10" s="173" t="s">
        <v>1259</v>
      </c>
      <c r="V10" s="173" t="s">
        <v>1260</v>
      </c>
      <c r="W10" s="173" t="s">
        <v>1261</v>
      </c>
      <c r="X10" s="173" t="s">
        <v>1262</v>
      </c>
      <c r="Y10" s="173" t="s">
        <v>1263</v>
      </c>
      <c r="Z10" s="173" t="s">
        <v>1264</v>
      </c>
      <c r="AA10" s="173" t="s">
        <v>1265</v>
      </c>
      <c r="AB10" s="173" t="s">
        <v>1266</v>
      </c>
      <c r="AC10" s="173" t="s">
        <v>1267</v>
      </c>
      <c r="AD10" s="173" t="s">
        <v>626</v>
      </c>
    </row>
    <row r="11" customFormat="false" ht="15" hidden="false" customHeight="true" outlineLevel="0" collapsed="false">
      <c r="A11" s="364" t="str">
        <f aca="false">Projects!$A$2</f>
        <v>Crenshaw</v>
      </c>
      <c r="B11" s="365"/>
      <c r="C11" s="366" t="str">
        <f aca="false">Projects!$F$2</f>
        <v>No</v>
      </c>
      <c r="D11" s="366" t="str">
        <f aca="false">Projects!$G$2</f>
        <v>Yes</v>
      </c>
      <c r="E11" s="367"/>
      <c r="F11" s="368" t="n">
        <f aca="false">IF($E11&lt;&gt;"",$E11,Projects!$B$2)</f>
        <v>7126075</v>
      </c>
      <c r="G11" s="365"/>
      <c r="H11" s="369" t="n">
        <f aca="false">IF($G11&lt;&gt;"",$G11,Projects!$C$2)</f>
        <v>1</v>
      </c>
      <c r="I11" s="370"/>
      <c r="J11" s="367"/>
      <c r="K11" s="365"/>
      <c r="L11" s="367"/>
      <c r="M11" s="365"/>
      <c r="N11" s="370"/>
      <c r="O11" s="367"/>
      <c r="P11" s="365"/>
      <c r="Q11" s="367"/>
      <c r="R11" s="365"/>
      <c r="S11" s="369" t="n">
        <f aca="false">IF(AND($C11="Yes",$D11="Yes"),1,0)</f>
        <v>0</v>
      </c>
      <c r="T11" s="368" t="n">
        <f aca="false">$S11*IF($J11&lt;&gt;"",$J11,$F11*IF($I11&lt;&gt;"",$I11,$C$4)/(1+IF($I11&lt;&gt;"",$I11,$C$4)))</f>
        <v>0</v>
      </c>
      <c r="U11" s="368" t="n">
        <f aca="false">$S11*IF($L11&lt;&gt;"",$L11,$F11*$C$5)</f>
        <v>0</v>
      </c>
      <c r="V11" s="368" t="n">
        <f aca="false">$S11*$F11*IF($N11&lt;&gt;"",$N11,$C$6)</f>
        <v>0</v>
      </c>
      <c r="W11" s="368" t="n">
        <f aca="false">MAX(0,$V11-$U11)</f>
        <v>0</v>
      </c>
      <c r="X11" s="369" t="n">
        <f aca="false">IF($B11&lt;&gt;"",$B11,100+$H11)</f>
        <v>101</v>
      </c>
      <c r="Y11" s="368" t="n">
        <f aca="false">$S11*MAX(0,MIN($W11,$C$7-SUMIFS($W$11:$W$54,$X$11:$X$54,"&lt;"&amp;$X11)))</f>
        <v>0</v>
      </c>
      <c r="Z11" s="368" t="n">
        <f aca="false">$W11-$Y11</f>
        <v>0</v>
      </c>
      <c r="AA11" s="371" t="n">
        <f aca="false">$S11*($T11-$U11-$Z11)</f>
        <v>0</v>
      </c>
      <c r="AB11" s="371" t="n">
        <f aca="false">$S11*($T11-$U11)</f>
        <v>0</v>
      </c>
      <c r="AC11" s="368" t="n">
        <f aca="false">IF(AND($S11=1,$H11&lt;=$C$8),$Z11-N($O11),0)</f>
        <v>0</v>
      </c>
      <c r="AD11" s="372"/>
    </row>
    <row r="12" customFormat="false" ht="15" hidden="false" customHeight="true" outlineLevel="0" collapsed="false">
      <c r="A12" s="373" t="str">
        <f aca="false">Projects!$A$3</f>
        <v>Ramsgate</v>
      </c>
      <c r="B12" s="365"/>
      <c r="C12" s="374" t="str">
        <f aca="false">Projects!$F$3</f>
        <v>No</v>
      </c>
      <c r="D12" s="374" t="str">
        <f aca="false">Projects!$G$3</f>
        <v>Yes</v>
      </c>
      <c r="E12" s="367"/>
      <c r="F12" s="375" t="n">
        <f aca="false">IF($E12&lt;&gt;"",$E12,Projects!$B$3)</f>
        <v>20176449</v>
      </c>
      <c r="G12" s="365"/>
      <c r="H12" s="376" t="n">
        <f aca="false">IF($G12&lt;&gt;"",$G12,Projects!$C$3)</f>
        <v>1</v>
      </c>
      <c r="I12" s="370"/>
      <c r="J12" s="367"/>
      <c r="K12" s="365"/>
      <c r="L12" s="367"/>
      <c r="M12" s="365"/>
      <c r="N12" s="370"/>
      <c r="O12" s="367"/>
      <c r="P12" s="365"/>
      <c r="Q12" s="367"/>
      <c r="R12" s="365"/>
      <c r="S12" s="376" t="n">
        <f aca="false">IF(AND($C12="Yes",$D12="Yes"),1,0)</f>
        <v>0</v>
      </c>
      <c r="T12" s="375" t="n">
        <f aca="false">$S12*IF($J12&lt;&gt;"",$J12,$F12*IF($I12&lt;&gt;"",$I12,$C$4)/(1+IF($I12&lt;&gt;"",$I12,$C$4)))</f>
        <v>0</v>
      </c>
      <c r="U12" s="375" t="n">
        <f aca="false">$S12*IF($L12&lt;&gt;"",$L12,$F12*$C$5)</f>
        <v>0</v>
      </c>
      <c r="V12" s="375" t="n">
        <f aca="false">$S12*$F12*IF($N12&lt;&gt;"",$N12,$C$6)</f>
        <v>0</v>
      </c>
      <c r="W12" s="375" t="n">
        <f aca="false">MAX(0,$V12-$U12)</f>
        <v>0</v>
      </c>
      <c r="X12" s="376" t="n">
        <f aca="false">IF($B12&lt;&gt;"",$B12,100+$H12)</f>
        <v>101</v>
      </c>
      <c r="Y12" s="375" t="n">
        <f aca="false">$S12*MAX(0,MIN($W12,$C$7-SUMIFS($W$11:$W$54,$X$11:$X$54,"&lt;"&amp;$X12)))</f>
        <v>0</v>
      </c>
      <c r="Z12" s="375" t="n">
        <f aca="false">$W12-$Y12</f>
        <v>0</v>
      </c>
      <c r="AA12" s="377" t="n">
        <f aca="false">$S12*($T12-$U12-$Z12)</f>
        <v>0</v>
      </c>
      <c r="AB12" s="377" t="n">
        <f aca="false">$S12*($T12-$U12)</f>
        <v>0</v>
      </c>
      <c r="AC12" s="375" t="n">
        <f aca="false">IF(AND($S12=1,$H12&lt;=$C$8),$Z12-N($O12),0)</f>
        <v>0</v>
      </c>
      <c r="AD12" s="378"/>
    </row>
    <row r="13" customFormat="false" ht="15" hidden="false" customHeight="true" outlineLevel="0" collapsed="false">
      <c r="A13" s="364" t="str">
        <f aca="false">Projects!$A$4</f>
        <v>Califa</v>
      </c>
      <c r="B13" s="365" t="n">
        <v>1</v>
      </c>
      <c r="C13" s="366" t="str">
        <f aca="false">Projects!$F$4</f>
        <v>Yes</v>
      </c>
      <c r="D13" s="366" t="str">
        <f aca="false">Projects!$G$4</f>
        <v>Yes</v>
      </c>
      <c r="E13" s="367" t="n">
        <v>13425608</v>
      </c>
      <c r="F13" s="368" t="n">
        <f aca="false">IF($E13&lt;&gt;"",$E13,Projects!$B$4)</f>
        <v>13425608</v>
      </c>
      <c r="G13" s="365" t="n">
        <v>-99</v>
      </c>
      <c r="H13" s="369" t="n">
        <f aca="false">IF($G13&lt;&gt;"",$G13,Projects!$C$4)</f>
        <v>-99</v>
      </c>
      <c r="I13" s="370"/>
      <c r="J13" s="367" t="n">
        <v>198408</v>
      </c>
      <c r="K13" s="365" t="n">
        <v>-99</v>
      </c>
      <c r="L13" s="367" t="n">
        <v>97905</v>
      </c>
      <c r="M13" s="365" t="n">
        <v>-99</v>
      </c>
      <c r="N13" s="370"/>
      <c r="O13" s="367"/>
      <c r="P13" s="365"/>
      <c r="Q13" s="367"/>
      <c r="R13" s="365"/>
      <c r="S13" s="369" t="n">
        <f aca="false">IF(AND($C13="Yes",$D13="Yes"),1,0)</f>
        <v>1</v>
      </c>
      <c r="T13" s="368" t="n">
        <f aca="false">$S13*IF($J13&lt;&gt;"",$J13,$F13*IF($I13&lt;&gt;"",$I13,$C$4)/(1+IF($I13&lt;&gt;"",$I13,$C$4)))</f>
        <v>198408</v>
      </c>
      <c r="U13" s="368" t="n">
        <f aca="false">$S13*IF($L13&lt;&gt;"",$L13,$F13*$C$5)</f>
        <v>97905</v>
      </c>
      <c r="V13" s="368" t="n">
        <f aca="false">$S13*$F13*IF($N13&lt;&gt;"",$N13,$C$6)</f>
        <v>436332.26</v>
      </c>
      <c r="W13" s="368" t="n">
        <f aca="false">MAX(0,$V13-$U13)</f>
        <v>338427.26</v>
      </c>
      <c r="X13" s="369" t="n">
        <f aca="false">IF($B13&lt;&gt;"",$B13,100+$H13)</f>
        <v>1</v>
      </c>
      <c r="Y13" s="368" t="n">
        <f aca="false">$S13*MAX(0,MIN($W13,$C$7-SUMIFS($W$11:$W$54,$X$11:$X$54,"&lt;"&amp;$X13)))</f>
        <v>338427.26</v>
      </c>
      <c r="Z13" s="368" t="n">
        <f aca="false">$W13-$Y13</f>
        <v>0</v>
      </c>
      <c r="AA13" s="371" t="n">
        <f aca="false">$S13*($T13-$U13-$Z13)</f>
        <v>100503</v>
      </c>
      <c r="AB13" s="371" t="n">
        <f aca="false">$S13*($T13-$U13)</f>
        <v>100503</v>
      </c>
      <c r="AC13" s="368" t="n">
        <f aca="false">IF(AND($S13=1,$H13&lt;=$C$8),$Z13-N($O13),0)</f>
        <v>0</v>
      </c>
      <c r="AD13" s="372" t="s">
        <v>1268</v>
      </c>
    </row>
    <row r="14" customFormat="false" ht="15" hidden="false" customHeight="true" outlineLevel="0" collapsed="false">
      <c r="A14" s="373" t="str">
        <f aca="false">Projects!$A$5</f>
        <v>Whipple</v>
      </c>
      <c r="B14" s="365" t="n">
        <v>2</v>
      </c>
      <c r="C14" s="374" t="str">
        <f aca="false">Projects!$F$5</f>
        <v>Yes</v>
      </c>
      <c r="D14" s="374" t="str">
        <f aca="false">Projects!$G$5</f>
        <v>Yes</v>
      </c>
      <c r="E14" s="367" t="n">
        <v>15347360</v>
      </c>
      <c r="F14" s="375" t="n">
        <f aca="false">IF($E14&lt;&gt;"",$E14,Projects!$B$5)</f>
        <v>15347360</v>
      </c>
      <c r="G14" s="365" t="n">
        <v>-99</v>
      </c>
      <c r="H14" s="376" t="n">
        <f aca="false">IF($G14&lt;&gt;"",$G14,Projects!$C$5)</f>
        <v>-99</v>
      </c>
      <c r="I14" s="370"/>
      <c r="J14" s="367" t="n">
        <v>226808</v>
      </c>
      <c r="K14" s="365" t="n">
        <v>-99</v>
      </c>
      <c r="L14" s="367" t="n">
        <v>110685</v>
      </c>
      <c r="M14" s="365" t="n">
        <v>-99</v>
      </c>
      <c r="N14" s="370"/>
      <c r="O14" s="367"/>
      <c r="P14" s="365"/>
      <c r="Q14" s="367"/>
      <c r="R14" s="365"/>
      <c r="S14" s="376" t="n">
        <f aca="false">IF(AND($C14="Yes",$D14="Yes"),1,0)</f>
        <v>1</v>
      </c>
      <c r="T14" s="375" t="n">
        <f aca="false">$S14*IF($J14&lt;&gt;"",$J14,$F14*IF($I14&lt;&gt;"",$I14,$C$4)/(1+IF($I14&lt;&gt;"",$I14,$C$4)))</f>
        <v>226808</v>
      </c>
      <c r="U14" s="375" t="n">
        <f aca="false">$S14*IF($L14&lt;&gt;"",$L14,$F14*$C$5)</f>
        <v>110685</v>
      </c>
      <c r="V14" s="375" t="n">
        <f aca="false">$S14*$F14*IF($N14&lt;&gt;"",$N14,$C$6)</f>
        <v>498789.2</v>
      </c>
      <c r="W14" s="375" t="n">
        <f aca="false">MAX(0,$V14-$U14)</f>
        <v>388104.2</v>
      </c>
      <c r="X14" s="376" t="n">
        <f aca="false">IF($B14&lt;&gt;"",$B14,100+$H14)</f>
        <v>2</v>
      </c>
      <c r="Y14" s="375" t="n">
        <f aca="false">$S14*MAX(0,MIN($W14,$C$7-SUMIFS($W$11:$W$54,$X$11:$X$54,"&lt;"&amp;$X14)))</f>
        <v>388104.2</v>
      </c>
      <c r="Z14" s="375" t="n">
        <f aca="false">$W14-$Y14</f>
        <v>0</v>
      </c>
      <c r="AA14" s="377" t="n">
        <f aca="false">$S14*($T14-$U14-$Z14)</f>
        <v>116123</v>
      </c>
      <c r="AB14" s="377" t="n">
        <f aca="false">$S14*($T14-$U14)</f>
        <v>116123</v>
      </c>
      <c r="AC14" s="375" t="n">
        <f aca="false">IF(AND($S14=1,$H14&lt;=$C$8),$Z14-N($O14),0)</f>
        <v>0</v>
      </c>
      <c r="AD14" s="378" t="s">
        <v>1268</v>
      </c>
    </row>
    <row r="15" customFormat="false" ht="15" hidden="false" customHeight="true" outlineLevel="0" collapsed="false">
      <c r="A15" s="364" t="str">
        <f aca="false">Projects!$A$6</f>
        <v>Nelrose</v>
      </c>
      <c r="B15" s="365"/>
      <c r="C15" s="366" t="str">
        <f aca="false">Projects!$F$6</f>
        <v>No</v>
      </c>
      <c r="D15" s="366" t="str">
        <f aca="false">Projects!$G$6</f>
        <v>Yes</v>
      </c>
      <c r="E15" s="367"/>
      <c r="F15" s="368" t="n">
        <f aca="false">IF($E15&lt;&gt;"",$E15,Projects!$B$6)</f>
        <v>3623245</v>
      </c>
      <c r="G15" s="365"/>
      <c r="H15" s="369" t="n">
        <f aca="false">IF($G15&lt;&gt;"",$G15,Projects!$C$6)</f>
        <v>1</v>
      </c>
      <c r="I15" s="370"/>
      <c r="J15" s="367"/>
      <c r="K15" s="365"/>
      <c r="L15" s="367"/>
      <c r="M15" s="365"/>
      <c r="N15" s="370"/>
      <c r="O15" s="367"/>
      <c r="P15" s="365"/>
      <c r="Q15" s="367"/>
      <c r="R15" s="365"/>
      <c r="S15" s="369" t="n">
        <f aca="false">IF(AND($C15="Yes",$D15="Yes"),1,0)</f>
        <v>0</v>
      </c>
      <c r="T15" s="368" t="n">
        <f aca="false">$S15*IF($J15&lt;&gt;"",$J15,$F15*IF($I15&lt;&gt;"",$I15,$C$4)/(1+IF($I15&lt;&gt;"",$I15,$C$4)))</f>
        <v>0</v>
      </c>
      <c r="U15" s="368" t="n">
        <f aca="false">$S15*IF($L15&lt;&gt;"",$L15,$F15*$C$5)</f>
        <v>0</v>
      </c>
      <c r="V15" s="368" t="n">
        <f aca="false">$S15*$F15*IF($N15&lt;&gt;"",$N15,$C$6)</f>
        <v>0</v>
      </c>
      <c r="W15" s="368" t="n">
        <f aca="false">MAX(0,$V15-$U15)</f>
        <v>0</v>
      </c>
      <c r="X15" s="369" t="n">
        <f aca="false">IF($B15&lt;&gt;"",$B15,100+$H15)</f>
        <v>101</v>
      </c>
      <c r="Y15" s="368" t="n">
        <f aca="false">$S15*MAX(0,MIN($W15,$C$7-SUMIFS($W$11:$W$54,$X$11:$X$54,"&lt;"&amp;$X15)))</f>
        <v>0</v>
      </c>
      <c r="Z15" s="368" t="n">
        <f aca="false">$W15-$Y15</f>
        <v>0</v>
      </c>
      <c r="AA15" s="371" t="n">
        <f aca="false">$S15*($T15-$U15-$Z15)</f>
        <v>0</v>
      </c>
      <c r="AB15" s="371" t="n">
        <f aca="false">$S15*($T15-$U15)</f>
        <v>0</v>
      </c>
      <c r="AC15" s="368" t="n">
        <f aca="false">IF(AND($S15=1,$H15&lt;=$C$8),$Z15-N($O15),0)</f>
        <v>0</v>
      </c>
      <c r="AD15" s="372"/>
    </row>
    <row r="16" customFormat="false" ht="15" hidden="false" customHeight="true" outlineLevel="0" collapsed="false">
      <c r="A16" s="373" t="str">
        <f aca="false">Projects!$A$7</f>
        <v>Francis</v>
      </c>
      <c r="B16" s="365" t="n">
        <v>4</v>
      </c>
      <c r="C16" s="374" t="str">
        <f aca="false">Projects!$F$7</f>
        <v>Yes</v>
      </c>
      <c r="D16" s="374" t="str">
        <f aca="false">Projects!$G$7</f>
        <v>Yes</v>
      </c>
      <c r="E16" s="367"/>
      <c r="F16" s="375" t="n">
        <f aca="false">IF($E16&lt;&gt;"",$E16,Projects!$B$7)</f>
        <v>42794765</v>
      </c>
      <c r="G16" s="365" t="n">
        <v>4</v>
      </c>
      <c r="H16" s="376" t="n">
        <f aca="false">IF($G16&lt;&gt;"",$G16,Projects!$C$7)</f>
        <v>4</v>
      </c>
      <c r="I16" s="370" t="n">
        <v>0.02</v>
      </c>
      <c r="J16" s="367" t="n">
        <v>839113</v>
      </c>
      <c r="K16" s="365" t="n">
        <v>4</v>
      </c>
      <c r="L16" s="367" t="n">
        <v>313735</v>
      </c>
      <c r="M16" s="365" t="n">
        <v>5</v>
      </c>
      <c r="N16" s="370"/>
      <c r="O16" s="367"/>
      <c r="P16" s="365"/>
      <c r="Q16" s="367"/>
      <c r="R16" s="365"/>
      <c r="S16" s="376" t="n">
        <f aca="false">IF(AND($C16="Yes",$D16="Yes"),1,0)</f>
        <v>1</v>
      </c>
      <c r="T16" s="375" t="n">
        <f aca="false">$S16*IF($J16&lt;&gt;"",$J16,$F16*IF($I16&lt;&gt;"",$I16,$C$4)/(1+IF($I16&lt;&gt;"",$I16,$C$4)))</f>
        <v>839113</v>
      </c>
      <c r="U16" s="375" t="n">
        <f aca="false">$S16*IF($L16&lt;&gt;"",$L16,$F16*$C$5)</f>
        <v>313735</v>
      </c>
      <c r="V16" s="375" t="n">
        <f aca="false">$S16*$F16*IF($N16&lt;&gt;"",$N16,$C$6)</f>
        <v>1390829.8625</v>
      </c>
      <c r="W16" s="375" t="n">
        <f aca="false">MAX(0,$V16-$U16)</f>
        <v>1077094.8625</v>
      </c>
      <c r="X16" s="376" t="n">
        <f aca="false">IF($B16&lt;&gt;"",$B16,100+$H16)</f>
        <v>4</v>
      </c>
      <c r="Y16" s="375" t="n">
        <f aca="false">$S16*MAX(0,MIN($W16,$C$7-SUMIFS($W$11:$W$54,$X$11:$X$54,"&lt;"&amp;$X16)))</f>
        <v>711481.689</v>
      </c>
      <c r="Z16" s="375" t="n">
        <f aca="false">$W16-$Y16</f>
        <v>365613.1735</v>
      </c>
      <c r="AA16" s="377" t="n">
        <f aca="false">$S16*($T16-$U16-$Z16)</f>
        <v>159764.8265</v>
      </c>
      <c r="AB16" s="377" t="n">
        <f aca="false">$S16*($T16-$U16)</f>
        <v>525378</v>
      </c>
      <c r="AC16" s="375" t="n">
        <f aca="false">IF(AND($S16=1,$H16&lt;=$C$8),$Z16-N($O16),0)</f>
        <v>365613.1735</v>
      </c>
      <c r="AD16" s="378" t="s">
        <v>1269</v>
      </c>
    </row>
    <row r="17" customFormat="false" ht="15" hidden="false" customHeight="true" outlineLevel="0" collapsed="false">
      <c r="A17" s="364" t="str">
        <f aca="false">Projects!$A$8</f>
        <v>Lexington</v>
      </c>
      <c r="B17" s="365" t="n">
        <v>5</v>
      </c>
      <c r="C17" s="366" t="str">
        <f aca="false">Projects!$F$8</f>
        <v>Yes</v>
      </c>
      <c r="D17" s="366" t="str">
        <f aca="false">Projects!$G$8</f>
        <v>Yes</v>
      </c>
      <c r="E17" s="367"/>
      <c r="F17" s="368" t="n">
        <f aca="false">IF($E17&lt;&gt;"",$E17,Projects!$B$8)</f>
        <v>12993776.05</v>
      </c>
      <c r="G17" s="365" t="n">
        <v>5</v>
      </c>
      <c r="H17" s="369" t="n">
        <f aca="false">IF($G17&lt;&gt;"",$G17,Projects!$C$8)</f>
        <v>5</v>
      </c>
      <c r="I17" s="370"/>
      <c r="J17" s="367" t="n">
        <v>192026.25</v>
      </c>
      <c r="K17" s="365" t="n">
        <v>5</v>
      </c>
      <c r="L17" s="367" t="n">
        <v>95034</v>
      </c>
      <c r="M17" s="365" t="n">
        <v>5</v>
      </c>
      <c r="N17" s="370"/>
      <c r="O17" s="367"/>
      <c r="P17" s="365"/>
      <c r="Q17" s="367"/>
      <c r="R17" s="365"/>
      <c r="S17" s="369" t="n">
        <f aca="false">IF(AND($C17="Yes",$D17="Yes"),1,0)</f>
        <v>1</v>
      </c>
      <c r="T17" s="368" t="n">
        <f aca="false">$S17*IF($J17&lt;&gt;"",$J17,$F17*IF($I17&lt;&gt;"",$I17,$C$4)/(1+IF($I17&lt;&gt;"",$I17,$C$4)))</f>
        <v>192026.25</v>
      </c>
      <c r="U17" s="368" t="n">
        <f aca="false">$S17*IF($L17&lt;&gt;"",$L17,$F17*$C$5)</f>
        <v>95034</v>
      </c>
      <c r="V17" s="368" t="n">
        <f aca="false">$S17*$F17*IF($N17&lt;&gt;"",$N17,$C$6)</f>
        <v>422297.721625</v>
      </c>
      <c r="W17" s="368" t="n">
        <f aca="false">MAX(0,$V17-$U17)</f>
        <v>327263.721625</v>
      </c>
      <c r="X17" s="369" t="n">
        <f aca="false">IF($B17&lt;&gt;"",$B17,100+$H17)</f>
        <v>5</v>
      </c>
      <c r="Y17" s="368" t="n">
        <f aca="false">$S17*MAX(0,MIN($W17,$C$7-SUMIFS($W$11:$W$54,$X$11:$X$54,"&lt;"&amp;$X17)))</f>
        <v>0</v>
      </c>
      <c r="Z17" s="368" t="n">
        <f aca="false">$W17-$Y17</f>
        <v>327263.721625</v>
      </c>
      <c r="AA17" s="371" t="n">
        <f aca="false">$S17*($T17-$U17-$Z17)</f>
        <v>-230271.471625</v>
      </c>
      <c r="AB17" s="371" t="n">
        <f aca="false">$S17*($T17-$U17)</f>
        <v>96992.25</v>
      </c>
      <c r="AC17" s="368" t="n">
        <f aca="false">IF(AND($S17=1,$H17&lt;=$C$8),$Z17-N($O17),0)</f>
        <v>327263.721625</v>
      </c>
      <c r="AD17" s="372" t="s">
        <v>1270</v>
      </c>
    </row>
    <row r="18" customFormat="false" ht="15" hidden="false" customHeight="true" outlineLevel="0" collapsed="false">
      <c r="A18" s="373" t="str">
        <f aca="false">Projects!$A$9</f>
        <v>Riverton</v>
      </c>
      <c r="B18" s="365" t="n">
        <v>3</v>
      </c>
      <c r="C18" s="374" t="str">
        <f aca="false">Projects!$F$9</f>
        <v>Yes</v>
      </c>
      <c r="D18" s="374" t="str">
        <f aca="false">Projects!$G$9</f>
        <v>Yes</v>
      </c>
      <c r="E18" s="367"/>
      <c r="F18" s="375" t="n">
        <f aca="false">IF($E18&lt;&gt;"",$E18,Projects!$B$9)</f>
        <v>14337010.8</v>
      </c>
      <c r="G18" s="365" t="n">
        <v>4</v>
      </c>
      <c r="H18" s="376" t="n">
        <f aca="false">IF($G18&lt;&gt;"",$G18,Projects!$C$9)</f>
        <v>4</v>
      </c>
      <c r="I18" s="370"/>
      <c r="J18" s="367" t="n">
        <v>211877</v>
      </c>
      <c r="K18" s="365" t="n">
        <v>4</v>
      </c>
      <c r="L18" s="367" t="n">
        <v>103966</v>
      </c>
      <c r="M18" s="365" t="n">
        <v>4</v>
      </c>
      <c r="N18" s="370"/>
      <c r="O18" s="367"/>
      <c r="P18" s="365"/>
      <c r="Q18" s="367"/>
      <c r="R18" s="365"/>
      <c r="S18" s="376" t="n">
        <f aca="false">IF(AND($C18="Yes",$D18="Yes"),1,0)</f>
        <v>1</v>
      </c>
      <c r="T18" s="375" t="n">
        <f aca="false">$S18*IF($J18&lt;&gt;"",$J18,$F18*IF($I18&lt;&gt;"",$I18,$C$4)/(1+IF($I18&lt;&gt;"",$I18,$C$4)))</f>
        <v>211877</v>
      </c>
      <c r="U18" s="375" t="n">
        <f aca="false">$S18*IF($L18&lt;&gt;"",$L18,$F18*$C$5)</f>
        <v>103966</v>
      </c>
      <c r="V18" s="375" t="n">
        <f aca="false">$S18*$F18*IF($N18&lt;&gt;"",$N18,$C$6)</f>
        <v>465952.851</v>
      </c>
      <c r="W18" s="375" t="n">
        <f aca="false">MAX(0,$V18-$U18)</f>
        <v>361986.851</v>
      </c>
      <c r="X18" s="376" t="n">
        <f aca="false">IF($B18&lt;&gt;"",$B18,100+$H18)</f>
        <v>3</v>
      </c>
      <c r="Y18" s="375" t="n">
        <f aca="false">$S18*MAX(0,MIN($W18,$C$7-SUMIFS($W$11:$W$54,$X$11:$X$54,"&lt;"&amp;$X18)))</f>
        <v>361986.851</v>
      </c>
      <c r="Z18" s="375" t="n">
        <f aca="false">$W18-$Y18</f>
        <v>0</v>
      </c>
      <c r="AA18" s="377" t="n">
        <f aca="false">$S18*($T18-$U18-$Z18)</f>
        <v>107911</v>
      </c>
      <c r="AB18" s="377" t="n">
        <f aca="false">$S18*($T18-$U18)</f>
        <v>107911</v>
      </c>
      <c r="AC18" s="375" t="n">
        <f aca="false">IF(AND($S18=1,$H18&lt;=$C$8),$Z18-N($O18),0)</f>
        <v>0</v>
      </c>
      <c r="AD18" s="378" t="s">
        <v>1271</v>
      </c>
    </row>
    <row r="19" customFormat="false" ht="15" hidden="false" customHeight="true" outlineLevel="0" collapsed="false">
      <c r="A19" s="364" t="str">
        <f aca="false">Projects!$A$10</f>
        <v>Acama</v>
      </c>
      <c r="B19" s="365"/>
      <c r="C19" s="366" t="str">
        <f aca="false">Projects!$F$10</f>
        <v>Yes</v>
      </c>
      <c r="D19" s="366" t="str">
        <f aca="false">Projects!$G$10</f>
        <v>Yes</v>
      </c>
      <c r="E19" s="367"/>
      <c r="F19" s="368" t="n">
        <f aca="false">IF($E19&lt;&gt;"",$E19,Projects!$B$10)</f>
        <v>21263405</v>
      </c>
      <c r="G19" s="365"/>
      <c r="H19" s="369" t="n">
        <f aca="false">IF($G19&lt;&gt;"",$G19,Projects!$C$10)</f>
        <v>9</v>
      </c>
      <c r="I19" s="370"/>
      <c r="J19" s="367"/>
      <c r="K19" s="365"/>
      <c r="L19" s="367"/>
      <c r="M19" s="365"/>
      <c r="N19" s="370"/>
      <c r="O19" s="367"/>
      <c r="P19" s="365"/>
      <c r="Q19" s="367"/>
      <c r="R19" s="365"/>
      <c r="S19" s="369" t="n">
        <f aca="false">IF(AND($C19="Yes",$D19="Yes"),1,0)</f>
        <v>1</v>
      </c>
      <c r="T19" s="368" t="n">
        <f aca="false">$S19*IF($J19&lt;&gt;"",$J19,$F19*IF($I19&lt;&gt;"",$I19,$C$4)/(1+IF($I19&lt;&gt;"",$I19,$C$4)))</f>
        <v>314237.512315271</v>
      </c>
      <c r="U19" s="368" t="n">
        <f aca="false">$S19*IF($L19&lt;&gt;"",$L19,$F19*$C$5)</f>
        <v>155516.489047847</v>
      </c>
      <c r="V19" s="368" t="n">
        <f aca="false">$S19*$F19*IF($N19&lt;&gt;"",$N19,$C$6)</f>
        <v>691060.6625</v>
      </c>
      <c r="W19" s="368" t="n">
        <f aca="false">MAX(0,$V19-$U19)</f>
        <v>535544.173452153</v>
      </c>
      <c r="X19" s="369" t="n">
        <f aca="false">IF($B19&lt;&gt;"",$B19,100+$H19)</f>
        <v>109</v>
      </c>
      <c r="Y19" s="368" t="n">
        <f aca="false">$S19*MAX(0,MIN($W19,$C$7-SUMIFS($W$11:$W$54,$X$11:$X$54,"&lt;"&amp;$X19)))</f>
        <v>0</v>
      </c>
      <c r="Z19" s="368" t="n">
        <f aca="false">$W19-$Y19</f>
        <v>535544.173452153</v>
      </c>
      <c r="AA19" s="371" t="n">
        <f aca="false">$S19*($T19-$U19-$Z19)</f>
        <v>-376823.150184729</v>
      </c>
      <c r="AB19" s="371" t="n">
        <f aca="false">$S19*($T19-$U19)</f>
        <v>158721.023267424</v>
      </c>
      <c r="AC19" s="368" t="n">
        <f aca="false">IF(AND($S19=1,$H19&lt;=$C$8),$Z19-N($O19),0)</f>
        <v>0</v>
      </c>
      <c r="AD19" s="372" t="s">
        <v>1272</v>
      </c>
    </row>
    <row r="20" customFormat="false" ht="15" hidden="false" customHeight="true" outlineLevel="0" collapsed="false">
      <c r="A20" s="373" t="str">
        <f aca="false">Projects!$A$11</f>
        <v>Klump</v>
      </c>
      <c r="B20" s="365"/>
      <c r="C20" s="374" t="str">
        <f aca="false">Projects!$F$11</f>
        <v>No</v>
      </c>
      <c r="D20" s="374" t="str">
        <f aca="false">Projects!$G$11</f>
        <v>Yes</v>
      </c>
      <c r="E20" s="367"/>
      <c r="F20" s="375" t="n">
        <f aca="false">IF($E20&lt;&gt;"",$E20,Projects!$B$11)</f>
        <v>9577109</v>
      </c>
      <c r="G20" s="365"/>
      <c r="H20" s="376" t="n">
        <f aca="false">IF($G20&lt;&gt;"",$G20,Projects!$C$11)</f>
        <v>11</v>
      </c>
      <c r="I20" s="370"/>
      <c r="J20" s="367"/>
      <c r="K20" s="365"/>
      <c r="L20" s="367"/>
      <c r="M20" s="365"/>
      <c r="N20" s="370"/>
      <c r="O20" s="367"/>
      <c r="P20" s="365"/>
      <c r="Q20" s="367"/>
      <c r="R20" s="365"/>
      <c r="S20" s="376" t="n">
        <f aca="false">IF(AND($C20="Yes",$D20="Yes"),1,0)</f>
        <v>0</v>
      </c>
      <c r="T20" s="375" t="n">
        <f aca="false">$S20*IF($J20&lt;&gt;"",$J20,$F20*IF($I20&lt;&gt;"",$I20,$C$4)/(1+IF($I20&lt;&gt;"",$I20,$C$4)))</f>
        <v>0</v>
      </c>
      <c r="U20" s="375" t="n">
        <f aca="false">$S20*IF($L20&lt;&gt;"",$L20,$F20*$C$5)</f>
        <v>0</v>
      </c>
      <c r="V20" s="375" t="n">
        <f aca="false">$S20*$F20*IF($N20&lt;&gt;"",$N20,$C$6)</f>
        <v>0</v>
      </c>
      <c r="W20" s="375" t="n">
        <f aca="false">MAX(0,$V20-$U20)</f>
        <v>0</v>
      </c>
      <c r="X20" s="376" t="n">
        <f aca="false">IF($B20&lt;&gt;"",$B20,100+$H20)</f>
        <v>111</v>
      </c>
      <c r="Y20" s="375" t="n">
        <f aca="false">$S20*MAX(0,MIN($W20,$C$7-SUMIFS($W$11:$W$54,$X$11:$X$54,"&lt;"&amp;$X20)))</f>
        <v>0</v>
      </c>
      <c r="Z20" s="375" t="n">
        <f aca="false">$W20-$Y20</f>
        <v>0</v>
      </c>
      <c r="AA20" s="377" t="n">
        <f aca="false">$S20*($T20-$U20-$Z20)</f>
        <v>0</v>
      </c>
      <c r="AB20" s="377" t="n">
        <f aca="false">$S20*($T20-$U20)</f>
        <v>0</v>
      </c>
      <c r="AC20" s="375" t="n">
        <f aca="false">IF(AND($S20=1,$H20&lt;=$C$8),$Z20-N($O20),0)</f>
        <v>0</v>
      </c>
      <c r="AD20" s="378"/>
    </row>
    <row r="21" customFormat="false" ht="15" hidden="false" customHeight="true" outlineLevel="0" collapsed="false">
      <c r="A21" s="364" t="str">
        <f aca="false">Projects!$A$12</f>
        <v>Scott</v>
      </c>
      <c r="B21" s="365"/>
      <c r="C21" s="366" t="str">
        <f aca="false">Projects!$F$12</f>
        <v>No</v>
      </c>
      <c r="D21" s="366" t="str">
        <f aca="false">Projects!$G$12</f>
        <v>Yes</v>
      </c>
      <c r="E21" s="367"/>
      <c r="F21" s="368" t="n">
        <f aca="false">IF($E21&lt;&gt;"",$E21,Projects!$B$12)</f>
        <v>7545203</v>
      </c>
      <c r="G21" s="365"/>
      <c r="H21" s="369" t="n">
        <f aca="false">IF($G21&lt;&gt;"",$G21,Projects!$C$12)</f>
        <v>10</v>
      </c>
      <c r="I21" s="370"/>
      <c r="J21" s="367"/>
      <c r="K21" s="365"/>
      <c r="L21" s="367"/>
      <c r="M21" s="365"/>
      <c r="N21" s="370"/>
      <c r="O21" s="367"/>
      <c r="P21" s="365"/>
      <c r="Q21" s="367"/>
      <c r="R21" s="365"/>
      <c r="S21" s="369" t="n">
        <f aca="false">IF(AND($C21="Yes",$D21="Yes"),1,0)</f>
        <v>0</v>
      </c>
      <c r="T21" s="368" t="n">
        <f aca="false">$S21*IF($J21&lt;&gt;"",$J21,$F21*IF($I21&lt;&gt;"",$I21,$C$4)/(1+IF($I21&lt;&gt;"",$I21,$C$4)))</f>
        <v>0</v>
      </c>
      <c r="U21" s="368" t="n">
        <f aca="false">$S21*IF($L21&lt;&gt;"",$L21,$F21*$C$5)</f>
        <v>0</v>
      </c>
      <c r="V21" s="368" t="n">
        <f aca="false">$S21*$F21*IF($N21&lt;&gt;"",$N21,$C$6)</f>
        <v>0</v>
      </c>
      <c r="W21" s="368" t="n">
        <f aca="false">MAX(0,$V21-$U21)</f>
        <v>0</v>
      </c>
      <c r="X21" s="369" t="n">
        <f aca="false">IF($B21&lt;&gt;"",$B21,100+$H21)</f>
        <v>110</v>
      </c>
      <c r="Y21" s="368" t="n">
        <f aca="false">$S21*MAX(0,MIN($W21,$C$7-SUMIFS($W$11:$W$54,$X$11:$X$54,"&lt;"&amp;$X21)))</f>
        <v>0</v>
      </c>
      <c r="Z21" s="368" t="n">
        <f aca="false">$W21-$Y21</f>
        <v>0</v>
      </c>
      <c r="AA21" s="371" t="n">
        <f aca="false">$S21*($T21-$U21-$Z21)</f>
        <v>0</v>
      </c>
      <c r="AB21" s="371" t="n">
        <f aca="false">$S21*($T21-$U21)</f>
        <v>0</v>
      </c>
      <c r="AC21" s="368" t="n">
        <f aca="false">IF(AND($S21=1,$H21&lt;=$C$8),$Z21-N($O21),0)</f>
        <v>0</v>
      </c>
      <c r="AD21" s="372"/>
    </row>
    <row r="22" customFormat="false" ht="15" hidden="false" customHeight="true" outlineLevel="0" collapsed="false">
      <c r="A22" s="373" t="str">
        <f aca="false">Projects!$A$13</f>
        <v>Reseda</v>
      </c>
      <c r="B22" s="365"/>
      <c r="C22" s="374" t="str">
        <f aca="false">Projects!$F$13</f>
        <v>Yes</v>
      </c>
      <c r="D22" s="374" t="str">
        <f aca="false">Projects!$G$13</f>
        <v>Yes</v>
      </c>
      <c r="E22" s="367"/>
      <c r="F22" s="375" t="n">
        <f aca="false">IF($E22&lt;&gt;"",$E22,Projects!$B$13)</f>
        <v>45266770</v>
      </c>
      <c r="G22" s="365"/>
      <c r="H22" s="376" t="n">
        <f aca="false">IF($G22&lt;&gt;"",$G22,Projects!$C$13)</f>
        <v>15</v>
      </c>
      <c r="I22" s="370"/>
      <c r="J22" s="367"/>
      <c r="K22" s="365"/>
      <c r="L22" s="367"/>
      <c r="M22" s="365"/>
      <c r="N22" s="370"/>
      <c r="O22" s="367"/>
      <c r="P22" s="365"/>
      <c r="Q22" s="367"/>
      <c r="R22" s="365"/>
      <c r="S22" s="376" t="n">
        <f aca="false">IF(AND($C22="Yes",$D22="Yes"),1,0)</f>
        <v>1</v>
      </c>
      <c r="T22" s="375" t="n">
        <f aca="false">$S22*IF($J22&lt;&gt;"",$J22,$F22*IF($I22&lt;&gt;"",$I22,$C$4)/(1+IF($I22&lt;&gt;"",$I22,$C$4)))</f>
        <v>668967.044334975</v>
      </c>
      <c r="U22" s="375" t="n">
        <f aca="false">$S22*IF($L22&lt;&gt;"",$L22,$F22*$C$5)</f>
        <v>331072.523000733</v>
      </c>
      <c r="V22" s="375" t="n">
        <f aca="false">$S22*$F22*IF($N22&lt;&gt;"",$N22,$C$6)</f>
        <v>1471170.025</v>
      </c>
      <c r="W22" s="375" t="n">
        <f aca="false">MAX(0,$V22-$U22)</f>
        <v>1140097.50199927</v>
      </c>
      <c r="X22" s="376" t="n">
        <f aca="false">IF($B22&lt;&gt;"",$B22,100+$H22)</f>
        <v>115</v>
      </c>
      <c r="Y22" s="375" t="n">
        <f aca="false">$S22*MAX(0,MIN($W22,$C$7-SUMIFS($W$11:$W$54,$X$11:$X$54,"&lt;"&amp;$X22)))</f>
        <v>0</v>
      </c>
      <c r="Z22" s="375" t="n">
        <f aca="false">$W22-$Y22</f>
        <v>1140097.50199927</v>
      </c>
      <c r="AA22" s="377" t="n">
        <f aca="false">$S22*($T22-$U22-$Z22)</f>
        <v>-802202.980665025</v>
      </c>
      <c r="AB22" s="377" t="n">
        <f aca="false">$S22*($T22-$U22)</f>
        <v>337894.521334242</v>
      </c>
      <c r="AC22" s="375" t="n">
        <f aca="false">IF(AND($S22=1,$H22&lt;=$C$8),$Z22-N($O22),0)</f>
        <v>0</v>
      </c>
      <c r="AD22" s="378"/>
    </row>
    <row r="23" customFormat="false" ht="15" hidden="false" customHeight="true" outlineLevel="0" collapsed="false">
      <c r="A23" s="364" t="str">
        <f aca="false">Projects!$A$14</f>
        <v>3rd St</v>
      </c>
      <c r="B23" s="365"/>
      <c r="C23" s="366" t="str">
        <f aca="false">Projects!$F$14</f>
        <v>Yes</v>
      </c>
      <c r="D23" s="366" t="str">
        <f aca="false">Projects!$G$14</f>
        <v>Yes</v>
      </c>
      <c r="E23" s="367"/>
      <c r="F23" s="368" t="n">
        <f aca="false">IF($E23&lt;&gt;"",$E23,Projects!$B$14)</f>
        <v>41354632</v>
      </c>
      <c r="G23" s="365"/>
      <c r="H23" s="369" t="n">
        <f aca="false">IF($G23&lt;&gt;"",$G23,Projects!$C$14)</f>
        <v>27</v>
      </c>
      <c r="I23" s="370"/>
      <c r="J23" s="367"/>
      <c r="K23" s="365"/>
      <c r="L23" s="367"/>
      <c r="M23" s="365"/>
      <c r="N23" s="370"/>
      <c r="O23" s="367"/>
      <c r="P23" s="365"/>
      <c r="Q23" s="367"/>
      <c r="R23" s="365"/>
      <c r="S23" s="369" t="n">
        <f aca="false">IF(AND($C23="Yes",$D23="Yes"),1,0)</f>
        <v>1</v>
      </c>
      <c r="T23" s="368" t="n">
        <f aca="false">$S23*IF($J23&lt;&gt;"",$J23,$F23*IF($I23&lt;&gt;"",$I23,$C$4)/(1+IF($I23&lt;&gt;"",$I23,$C$4)))</f>
        <v>611152.197044335</v>
      </c>
      <c r="U23" s="368" t="n">
        <f aca="false">$S23*IF($L23&lt;&gt;"",$L23,$F23*$C$5)</f>
        <v>302459.891748558</v>
      </c>
      <c r="V23" s="368" t="n">
        <f aca="false">$S23*$F23*IF($N23&lt;&gt;"",$N23,$C$6)</f>
        <v>1344025.54</v>
      </c>
      <c r="W23" s="368" t="n">
        <f aca="false">MAX(0,$V23-$U23)</f>
        <v>1041565.64825144</v>
      </c>
      <c r="X23" s="369" t="n">
        <f aca="false">IF($B23&lt;&gt;"",$B23,100+$H23)</f>
        <v>127</v>
      </c>
      <c r="Y23" s="368" t="n">
        <f aca="false">$S23*MAX(0,MIN($W23,$C$7-SUMIFS($W$11:$W$54,$X$11:$X$54,"&lt;"&amp;$X23)))</f>
        <v>0</v>
      </c>
      <c r="Z23" s="368" t="n">
        <f aca="false">$W23-$Y23</f>
        <v>1041565.64825144</v>
      </c>
      <c r="AA23" s="371" t="n">
        <f aca="false">$S23*($T23-$U23-$Z23)</f>
        <v>-732873.342955665</v>
      </c>
      <c r="AB23" s="371" t="n">
        <f aca="false">$S23*($T23-$U23)</f>
        <v>308692.305295778</v>
      </c>
      <c r="AC23" s="368" t="n">
        <f aca="false">IF(AND($S23=1,$H23&lt;=$C$8),$Z23-N($O23),0)</f>
        <v>0</v>
      </c>
      <c r="AD23" s="372"/>
    </row>
    <row r="24" customFormat="false" ht="15" hidden="false" customHeight="true" outlineLevel="0" collapsed="false">
      <c r="A24" s="373" t="str">
        <f aca="false">Projects!$A$17</f>
        <v>Lemp</v>
      </c>
      <c r="B24" s="365"/>
      <c r="C24" s="374" t="str">
        <f aca="false">Projects!$F$17</f>
        <v>Yes</v>
      </c>
      <c r="D24" s="374" t="str">
        <f aca="false">Projects!$G$17</f>
        <v>Yes</v>
      </c>
      <c r="E24" s="367"/>
      <c r="F24" s="375" t="n">
        <f aca="false">IF($E24&lt;&gt;"",$E24,Projects!$B$17)</f>
        <v>14219545</v>
      </c>
      <c r="G24" s="365"/>
      <c r="H24" s="376" t="n">
        <f aca="false">IF($G24&lt;&gt;"",$G24,Projects!$C$17)</f>
        <v>18</v>
      </c>
      <c r="I24" s="370"/>
      <c r="J24" s="367"/>
      <c r="K24" s="365"/>
      <c r="L24" s="367"/>
      <c r="M24" s="365"/>
      <c r="N24" s="370"/>
      <c r="O24" s="367"/>
      <c r="P24" s="365"/>
      <c r="Q24" s="367"/>
      <c r="R24" s="365"/>
      <c r="S24" s="376" t="n">
        <f aca="false">IF(AND($C24="Yes",$D24="Yes"),1,0)</f>
        <v>1</v>
      </c>
      <c r="T24" s="375" t="n">
        <f aca="false">$S24*IF($J24&lt;&gt;"",$J24,$F24*IF($I24&lt;&gt;"",$I24,$C$4)/(1+IF($I24&lt;&gt;"",$I24,$C$4)))</f>
        <v>210141.059113301</v>
      </c>
      <c r="U24" s="375" t="n">
        <f aca="false">$S24*IF($L24&lt;&gt;"",$L24,$F24*$C$5)</f>
        <v>103999.040335161</v>
      </c>
      <c r="V24" s="375" t="n">
        <f aca="false">$S24*$F24*IF($N24&lt;&gt;"",$N24,$C$6)</f>
        <v>462135.2125</v>
      </c>
      <c r="W24" s="375" t="n">
        <f aca="false">MAX(0,$V24-$U24)</f>
        <v>358136.172164839</v>
      </c>
      <c r="X24" s="376" t="n">
        <f aca="false">IF($B24&lt;&gt;"",$B24,100+$H24)</f>
        <v>118</v>
      </c>
      <c r="Y24" s="375" t="n">
        <f aca="false">$S24*MAX(0,MIN($W24,$C$7-SUMIFS($W$11:$W$54,$X$11:$X$54,"&lt;"&amp;$X24)))</f>
        <v>0</v>
      </c>
      <c r="Z24" s="375" t="n">
        <f aca="false">$W24-$Y24</f>
        <v>358136.172164839</v>
      </c>
      <c r="AA24" s="377" t="n">
        <f aca="false">$S24*($T24-$U24-$Z24)</f>
        <v>-251994.1533867</v>
      </c>
      <c r="AB24" s="377" t="n">
        <f aca="false">$S24*($T24-$U24)</f>
        <v>106142.018778139</v>
      </c>
      <c r="AC24" s="375" t="n">
        <f aca="false">IF(AND($S24=1,$H24&lt;=$C$8),$Z24-N($O24),0)</f>
        <v>0</v>
      </c>
      <c r="AD24" s="378"/>
    </row>
    <row r="25" customFormat="false" ht="15" hidden="false" customHeight="true" outlineLevel="0" collapsed="false">
      <c r="A25" s="364" t="str">
        <f aca="false">Projects!$A$18</f>
        <v>Riverton 75</v>
      </c>
      <c r="B25" s="365"/>
      <c r="C25" s="366" t="str">
        <f aca="false">Projects!$F$18</f>
        <v>Yes</v>
      </c>
      <c r="D25" s="366" t="str">
        <f aca="false">Projects!$G$18</f>
        <v>Yes</v>
      </c>
      <c r="E25" s="367"/>
      <c r="F25" s="368" t="n">
        <f aca="false">IF($E25&lt;&gt;"",$E25,Projects!$B$18)</f>
        <v>11537565</v>
      </c>
      <c r="G25" s="365"/>
      <c r="H25" s="369" t="n">
        <f aca="false">IF($G25&lt;&gt;"",$G25,Projects!$C$18)</f>
        <v>14</v>
      </c>
      <c r="I25" s="370"/>
      <c r="J25" s="367"/>
      <c r="K25" s="365"/>
      <c r="L25" s="367"/>
      <c r="M25" s="365"/>
      <c r="N25" s="370"/>
      <c r="O25" s="367"/>
      <c r="P25" s="365"/>
      <c r="Q25" s="367"/>
      <c r="R25" s="365"/>
      <c r="S25" s="369" t="n">
        <f aca="false">IF(AND($C25="Yes",$D25="Yes"),1,0)</f>
        <v>1</v>
      </c>
      <c r="T25" s="368" t="n">
        <f aca="false">$S25*IF($J25&lt;&gt;"",$J25,$F25*IF($I25&lt;&gt;"",$I25,$C$4)/(1+IF($I25&lt;&gt;"",$I25,$C$4)))</f>
        <v>170505.886699507</v>
      </c>
      <c r="U25" s="368" t="n">
        <f aca="false">$S25*IF($L25&lt;&gt;"",$L25,$F25*$C$5)</f>
        <v>84383.5500928154</v>
      </c>
      <c r="V25" s="368" t="n">
        <f aca="false">$S25*$F25*IF($N25&lt;&gt;"",$N25,$C$6)</f>
        <v>374970.8625</v>
      </c>
      <c r="W25" s="368" t="n">
        <f aca="false">MAX(0,$V25-$U25)</f>
        <v>290587.312407185</v>
      </c>
      <c r="X25" s="369" t="n">
        <f aca="false">IF($B25&lt;&gt;"",$B25,100+$H25)</f>
        <v>114</v>
      </c>
      <c r="Y25" s="368" t="n">
        <f aca="false">$S25*MAX(0,MIN($W25,$C$7-SUMIFS($W$11:$W$54,$X$11:$X$54,"&lt;"&amp;$X25)))</f>
        <v>0</v>
      </c>
      <c r="Z25" s="368" t="n">
        <f aca="false">$W25-$Y25</f>
        <v>290587.312407185</v>
      </c>
      <c r="AA25" s="371" t="n">
        <f aca="false">$S25*($T25-$U25-$Z25)</f>
        <v>-204464.975800493</v>
      </c>
      <c r="AB25" s="371" t="n">
        <f aca="false">$S25*($T25-$U25)</f>
        <v>86122.336606692</v>
      </c>
      <c r="AC25" s="368" t="n">
        <f aca="false">IF(AND($S25=1,$H25&lt;=$C$8),$Z25-N($O25),0)</f>
        <v>0</v>
      </c>
      <c r="AD25" s="372"/>
    </row>
    <row r="26" customFormat="false" ht="15" hidden="false" customHeight="true" outlineLevel="0" collapsed="false">
      <c r="A26" s="373" t="str">
        <f aca="false">Projects!$A$19</f>
        <v>Moorpark</v>
      </c>
      <c r="B26" s="365"/>
      <c r="C26" s="374" t="str">
        <f aca="false">Projects!$F$19</f>
        <v>Yes</v>
      </c>
      <c r="D26" s="374" t="str">
        <f aca="false">Projects!$G$19</f>
        <v>Yes</v>
      </c>
      <c r="E26" s="367"/>
      <c r="F26" s="375" t="n">
        <f aca="false">IF($E26&lt;&gt;"",$E26,Projects!$B$19)</f>
        <v>18764585</v>
      </c>
      <c r="G26" s="365"/>
      <c r="H26" s="376" t="n">
        <f aca="false">IF($G26&lt;&gt;"",$G26,Projects!$C$19)</f>
        <v>13</v>
      </c>
      <c r="I26" s="370"/>
      <c r="J26" s="367"/>
      <c r="K26" s="365"/>
      <c r="L26" s="367"/>
      <c r="M26" s="365"/>
      <c r="N26" s="370"/>
      <c r="O26" s="367"/>
      <c r="P26" s="365"/>
      <c r="Q26" s="367"/>
      <c r="R26" s="365"/>
      <c r="S26" s="376" t="n">
        <f aca="false">IF(AND($C26="Yes",$D26="Yes"),1,0)</f>
        <v>1</v>
      </c>
      <c r="T26" s="375" t="n">
        <f aca="false">$S26*IF($J26&lt;&gt;"",$J26,$F26*IF($I26&lt;&gt;"",$I26,$C$4)/(1+IF($I26&lt;&gt;"",$I26,$C$4)))</f>
        <v>277309.137931035</v>
      </c>
      <c r="U26" s="375" t="n">
        <f aca="false">$S26*IF($L26&lt;&gt;"",$L26,$F26*$C$5)</f>
        <v>137240.596115245</v>
      </c>
      <c r="V26" s="375" t="n">
        <f aca="false">$S26*$F26*IF($N26&lt;&gt;"",$N26,$C$6)</f>
        <v>609849.0125</v>
      </c>
      <c r="W26" s="375" t="n">
        <f aca="false">MAX(0,$V26-$U26)</f>
        <v>472608.416384755</v>
      </c>
      <c r="X26" s="376" t="n">
        <f aca="false">IF($B26&lt;&gt;"",$B26,100+$H26)</f>
        <v>113</v>
      </c>
      <c r="Y26" s="375" t="n">
        <f aca="false">$S26*MAX(0,MIN($W26,$C$7-SUMIFS($W$11:$W$54,$X$11:$X$54,"&lt;"&amp;$X26)))</f>
        <v>0</v>
      </c>
      <c r="Z26" s="375" t="n">
        <f aca="false">$W26-$Y26</f>
        <v>472608.416384755</v>
      </c>
      <c r="AA26" s="377" t="n">
        <f aca="false">$S26*($T26-$U26-$Z26)</f>
        <v>-332539.874568966</v>
      </c>
      <c r="AB26" s="377" t="n">
        <f aca="false">$S26*($T26-$U26)</f>
        <v>140068.541815789</v>
      </c>
      <c r="AC26" s="375" t="n">
        <f aca="false">IF(AND($S26=1,$H26&lt;=$C$8),$Z26-N($O26),0)</f>
        <v>0</v>
      </c>
      <c r="AD26" s="378"/>
    </row>
    <row r="27" customFormat="false" ht="15" hidden="false" customHeight="true" outlineLevel="0" collapsed="false">
      <c r="A27" s="364" t="str">
        <f aca="false">Projects!$A$20</f>
        <v>Beverly (BD-04)</v>
      </c>
      <c r="B27" s="365"/>
      <c r="C27" s="366" t="str">
        <f aca="false">Projects!$F$20</f>
        <v>No</v>
      </c>
      <c r="D27" s="366" t="str">
        <f aca="false">Projects!$G$20</f>
        <v>No</v>
      </c>
      <c r="E27" s="367"/>
      <c r="F27" s="368" t="n">
        <f aca="false">IF($E27&lt;&gt;"",$E27,Projects!$B$20)</f>
        <v>25026330.58</v>
      </c>
      <c r="G27" s="365"/>
      <c r="H27" s="369" t="n">
        <f aca="false">IF($G27&lt;&gt;"",$G27,Projects!$C$20)</f>
        <v>20</v>
      </c>
      <c r="I27" s="370"/>
      <c r="J27" s="367"/>
      <c r="K27" s="365"/>
      <c r="L27" s="367"/>
      <c r="M27" s="365"/>
      <c r="N27" s="370"/>
      <c r="O27" s="367"/>
      <c r="P27" s="365"/>
      <c r="Q27" s="367"/>
      <c r="R27" s="365"/>
      <c r="S27" s="369" t="n">
        <f aca="false">IF(AND($C27="Yes",$D27="Yes"),1,0)</f>
        <v>0</v>
      </c>
      <c r="T27" s="368" t="n">
        <f aca="false">$S27*IF($J27&lt;&gt;"",$J27,$F27*IF($I27&lt;&gt;"",$I27,$C$4)/(1+IF($I27&lt;&gt;"",$I27,$C$4)))</f>
        <v>0</v>
      </c>
      <c r="U27" s="368" t="n">
        <f aca="false">$S27*IF($L27&lt;&gt;"",$L27,$F27*$C$5)</f>
        <v>0</v>
      </c>
      <c r="V27" s="368" t="n">
        <f aca="false">$S27*$F27*IF($N27&lt;&gt;"",$N27,$C$6)</f>
        <v>0</v>
      </c>
      <c r="W27" s="368" t="n">
        <f aca="false">MAX(0,$V27-$U27)</f>
        <v>0</v>
      </c>
      <c r="X27" s="369" t="n">
        <f aca="false">IF($B27&lt;&gt;"",$B27,100+$H27)</f>
        <v>120</v>
      </c>
      <c r="Y27" s="368" t="n">
        <f aca="false">$S27*MAX(0,MIN($W27,$C$7-SUMIFS($W$11:$W$54,$X$11:$X$54,"&lt;"&amp;$X27)))</f>
        <v>0</v>
      </c>
      <c r="Z27" s="368" t="n">
        <f aca="false">$W27-$Y27</f>
        <v>0</v>
      </c>
      <c r="AA27" s="371" t="n">
        <f aca="false">$S27*($T27-$U27-$Z27)</f>
        <v>0</v>
      </c>
      <c r="AB27" s="371" t="n">
        <f aca="false">$S27*($T27-$U27)</f>
        <v>0</v>
      </c>
      <c r="AC27" s="368" t="n">
        <f aca="false">IF(AND($S27=1,$H27&lt;=$C$8),$Z27-N($O27),0)</f>
        <v>0</v>
      </c>
      <c r="AD27" s="372"/>
    </row>
    <row r="28" customFormat="false" ht="15" hidden="false" customHeight="true" outlineLevel="0" collapsed="false">
      <c r="A28" s="373" t="str">
        <f aca="false">Projects!$A$21</f>
        <v>Troost (HVN)</v>
      </c>
      <c r="B28" s="365"/>
      <c r="C28" s="374" t="str">
        <f aca="false">Projects!$F$21</f>
        <v>No</v>
      </c>
      <c r="D28" s="374" t="str">
        <f aca="false">Projects!$G$21</f>
        <v>Yes</v>
      </c>
      <c r="E28" s="367"/>
      <c r="F28" s="375" t="n">
        <f aca="false">IF($E28&lt;&gt;"",$E28,Projects!$B$21)</f>
        <v>14935493</v>
      </c>
      <c r="G28" s="365"/>
      <c r="H28" s="376" t="n">
        <f aca="false">IF($G28&lt;&gt;"",$G28,Projects!$C$21)</f>
        <v>9</v>
      </c>
      <c r="I28" s="370"/>
      <c r="J28" s="367"/>
      <c r="K28" s="365"/>
      <c r="L28" s="367"/>
      <c r="M28" s="365"/>
      <c r="N28" s="370"/>
      <c r="O28" s="367"/>
      <c r="P28" s="365"/>
      <c r="Q28" s="367"/>
      <c r="R28" s="365"/>
      <c r="S28" s="376" t="n">
        <f aca="false">IF(AND($C28="Yes",$D28="Yes"),1,0)</f>
        <v>0</v>
      </c>
      <c r="T28" s="375" t="n">
        <f aca="false">$S28*IF($J28&lt;&gt;"",$J28,$F28*IF($I28&lt;&gt;"",$I28,$C$4)/(1+IF($I28&lt;&gt;"",$I28,$C$4)))</f>
        <v>0</v>
      </c>
      <c r="U28" s="375" t="n">
        <f aca="false">$S28*IF($L28&lt;&gt;"",$L28,$F28*$C$5)</f>
        <v>0</v>
      </c>
      <c r="V28" s="375" t="n">
        <f aca="false">$S28*$F28*IF($N28&lt;&gt;"",$N28,$C$6)</f>
        <v>0</v>
      </c>
      <c r="W28" s="375" t="n">
        <f aca="false">MAX(0,$V28-$U28)</f>
        <v>0</v>
      </c>
      <c r="X28" s="376" t="n">
        <f aca="false">IF($B28&lt;&gt;"",$B28,100+$H28)</f>
        <v>109</v>
      </c>
      <c r="Y28" s="375" t="n">
        <f aca="false">$S28*MAX(0,MIN($W28,$C$7-SUMIFS($W$11:$W$54,$X$11:$X$54,"&lt;"&amp;$X28)))</f>
        <v>0</v>
      </c>
      <c r="Z28" s="375" t="n">
        <f aca="false">$W28-$Y28</f>
        <v>0</v>
      </c>
      <c r="AA28" s="377" t="n">
        <f aca="false">$S28*($T28-$U28-$Z28)</f>
        <v>0</v>
      </c>
      <c r="AB28" s="377" t="n">
        <f aca="false">$S28*($T28-$U28)</f>
        <v>0</v>
      </c>
      <c r="AC28" s="375" t="n">
        <f aca="false">IF(AND($S28=1,$H28&lt;=$C$8),$Z28-N($O28),0)</f>
        <v>0</v>
      </c>
      <c r="AD28" s="378"/>
    </row>
    <row r="29" customFormat="false" ht="15" hidden="false" customHeight="true" outlineLevel="0" collapsed="false">
      <c r="A29" s="364" t="str">
        <f aca="false">Projects!$A$22</f>
        <v>Kester</v>
      </c>
      <c r="B29" s="365"/>
      <c r="C29" s="366" t="str">
        <f aca="false">Projects!$F$22</f>
        <v>Yes</v>
      </c>
      <c r="D29" s="366" t="str">
        <f aca="false">Projects!$G$22</f>
        <v>Yes</v>
      </c>
      <c r="E29" s="367"/>
      <c r="F29" s="368" t="n">
        <f aca="false">IF($E29&lt;&gt;"",$E29,Projects!$B$22)</f>
        <v>13706000</v>
      </c>
      <c r="G29" s="365"/>
      <c r="H29" s="369" t="n">
        <f aca="false">IF($G29&lt;&gt;"",$G29,Projects!$C$22)</f>
        <v>19</v>
      </c>
      <c r="I29" s="370"/>
      <c r="J29" s="367"/>
      <c r="K29" s="365"/>
      <c r="L29" s="367"/>
      <c r="M29" s="365"/>
      <c r="N29" s="370"/>
      <c r="O29" s="367"/>
      <c r="P29" s="365"/>
      <c r="Q29" s="367"/>
      <c r="R29" s="365"/>
      <c r="S29" s="369" t="n">
        <f aca="false">IF(AND($C29="Yes",$D29="Yes"),1,0)</f>
        <v>1</v>
      </c>
      <c r="T29" s="368" t="n">
        <f aca="false">$S29*IF($J29&lt;&gt;"",$J29,$F29*IF($I29&lt;&gt;"",$I29,$C$4)/(1+IF($I29&lt;&gt;"",$I29,$C$4)))</f>
        <v>202551.724137931</v>
      </c>
      <c r="U29" s="368" t="n">
        <f aca="false">$S29*IF($L29&lt;&gt;"",$L29,$F29*$C$5)</f>
        <v>100243.070142801</v>
      </c>
      <c r="V29" s="368" t="n">
        <f aca="false">$S29*$F29*IF($N29&lt;&gt;"",$N29,$C$6)</f>
        <v>445445</v>
      </c>
      <c r="W29" s="368" t="n">
        <f aca="false">MAX(0,$V29-$U29)</f>
        <v>345201.929857199</v>
      </c>
      <c r="X29" s="369" t="n">
        <f aca="false">IF($B29&lt;&gt;"",$B29,100+$H29)</f>
        <v>119</v>
      </c>
      <c r="Y29" s="368" t="n">
        <f aca="false">$S29*MAX(0,MIN($W29,$C$7-SUMIFS($W$11:$W$54,$X$11:$X$54,"&lt;"&amp;$X29)))</f>
        <v>0</v>
      </c>
      <c r="Z29" s="368" t="n">
        <f aca="false">$W29-$Y29</f>
        <v>345201.929857199</v>
      </c>
      <c r="AA29" s="371" t="n">
        <f aca="false">$S29*($T29-$U29-$Z29)</f>
        <v>-242893.275862069</v>
      </c>
      <c r="AB29" s="371" t="n">
        <f aca="false">$S29*($T29-$U29)</f>
        <v>102308.65399513</v>
      </c>
      <c r="AC29" s="368" t="n">
        <f aca="false">IF(AND($S29=1,$H29&lt;=$C$8),$Z29-N($O29),0)</f>
        <v>0</v>
      </c>
      <c r="AD29" s="372"/>
    </row>
    <row r="30" customFormat="false" ht="15" hidden="false" customHeight="true" outlineLevel="0" collapsed="false">
      <c r="A30" s="373" t="str">
        <f aca="false">Projects!$A$23</f>
        <v>BD-07</v>
      </c>
      <c r="B30" s="365"/>
      <c r="C30" s="374" t="str">
        <f aca="false">Projects!$F$23</f>
        <v>Yes</v>
      </c>
      <c r="D30" s="374" t="str">
        <f aca="false">Projects!$G$23</f>
        <v>No</v>
      </c>
      <c r="E30" s="367"/>
      <c r="F30" s="375" t="n">
        <f aca="false">IF($E30&lt;&gt;"",$E30,Projects!$B$23)</f>
        <v>15000000</v>
      </c>
      <c r="G30" s="365"/>
      <c r="H30" s="376" t="n">
        <f aca="false">IF($G30&lt;&gt;"",$G30,Projects!$C$23)</f>
        <v>34</v>
      </c>
      <c r="I30" s="370"/>
      <c r="J30" s="367"/>
      <c r="K30" s="365"/>
      <c r="L30" s="367"/>
      <c r="M30" s="365"/>
      <c r="N30" s="370"/>
      <c r="O30" s="367"/>
      <c r="P30" s="365"/>
      <c r="Q30" s="367"/>
      <c r="R30" s="365"/>
      <c r="S30" s="376" t="n">
        <f aca="false">IF(AND($C30="Yes",$D30="Yes"),1,0)</f>
        <v>0</v>
      </c>
      <c r="T30" s="375" t="n">
        <f aca="false">$S30*IF($J30&lt;&gt;"",$J30,$F30*IF($I30&lt;&gt;"",$I30,$C$4)/(1+IF($I30&lt;&gt;"",$I30,$C$4)))</f>
        <v>0</v>
      </c>
      <c r="U30" s="375" t="n">
        <f aca="false">$S30*IF($L30&lt;&gt;"",$L30,$F30*$C$5)</f>
        <v>0</v>
      </c>
      <c r="V30" s="375" t="n">
        <f aca="false">$S30*$F30*IF($N30&lt;&gt;"",$N30,$C$6)</f>
        <v>0</v>
      </c>
      <c r="W30" s="375" t="n">
        <f aca="false">MAX(0,$V30-$U30)</f>
        <v>0</v>
      </c>
      <c r="X30" s="376" t="n">
        <f aca="false">IF($B30&lt;&gt;"",$B30,100+$H30)</f>
        <v>134</v>
      </c>
      <c r="Y30" s="375" t="n">
        <f aca="false">$S30*MAX(0,MIN($W30,$C$7-SUMIFS($W$11:$W$54,$X$11:$X$54,"&lt;"&amp;$X30)))</f>
        <v>0</v>
      </c>
      <c r="Z30" s="375" t="n">
        <f aca="false">$W30-$Y30</f>
        <v>0</v>
      </c>
      <c r="AA30" s="377" t="n">
        <f aca="false">$S30*($T30-$U30-$Z30)</f>
        <v>0</v>
      </c>
      <c r="AB30" s="377" t="n">
        <f aca="false">$S30*($T30-$U30)</f>
        <v>0</v>
      </c>
      <c r="AC30" s="375" t="n">
        <f aca="false">IF(AND($S30=1,$H30&lt;=$C$8),$Z30-N($O30),0)</f>
        <v>0</v>
      </c>
      <c r="AD30" s="378"/>
    </row>
    <row r="31" customFormat="false" ht="15" hidden="false" customHeight="true" outlineLevel="0" collapsed="false">
      <c r="A31" s="364" t="str">
        <f aca="false">Projects!$A$24</f>
        <v>BD-08</v>
      </c>
      <c r="B31" s="365"/>
      <c r="C31" s="366" t="str">
        <f aca="false">Projects!$F$24</f>
        <v>No</v>
      </c>
      <c r="D31" s="366" t="str">
        <f aca="false">Projects!$G$24</f>
        <v>No</v>
      </c>
      <c r="E31" s="367"/>
      <c r="F31" s="368" t="n">
        <f aca="false">IF($E31&lt;&gt;"",$E31,Projects!$B$24)</f>
        <v>18000000</v>
      </c>
      <c r="G31" s="365"/>
      <c r="H31" s="369" t="n">
        <f aca="false">IF($G31&lt;&gt;"",$G31,Projects!$C$24)</f>
        <v>37</v>
      </c>
      <c r="I31" s="370"/>
      <c r="J31" s="367"/>
      <c r="K31" s="365"/>
      <c r="L31" s="367"/>
      <c r="M31" s="365"/>
      <c r="N31" s="370"/>
      <c r="O31" s="367"/>
      <c r="P31" s="365"/>
      <c r="Q31" s="367"/>
      <c r="R31" s="365"/>
      <c r="S31" s="369" t="n">
        <f aca="false">IF(AND($C31="Yes",$D31="Yes"),1,0)</f>
        <v>0</v>
      </c>
      <c r="T31" s="368" t="n">
        <f aca="false">$S31*IF($J31&lt;&gt;"",$J31,$F31*IF($I31&lt;&gt;"",$I31,$C$4)/(1+IF($I31&lt;&gt;"",$I31,$C$4)))</f>
        <v>0</v>
      </c>
      <c r="U31" s="368" t="n">
        <f aca="false">$S31*IF($L31&lt;&gt;"",$L31,$F31*$C$5)</f>
        <v>0</v>
      </c>
      <c r="V31" s="368" t="n">
        <f aca="false">$S31*$F31*IF($N31&lt;&gt;"",$N31,$C$6)</f>
        <v>0</v>
      </c>
      <c r="W31" s="368" t="n">
        <f aca="false">MAX(0,$V31-$U31)</f>
        <v>0</v>
      </c>
      <c r="X31" s="369" t="n">
        <f aca="false">IF($B31&lt;&gt;"",$B31,100+$H31)</f>
        <v>137</v>
      </c>
      <c r="Y31" s="368" t="n">
        <f aca="false">$S31*MAX(0,MIN($W31,$C$7-SUMIFS($W$11:$W$54,$X$11:$X$54,"&lt;"&amp;$X31)))</f>
        <v>0</v>
      </c>
      <c r="Z31" s="368" t="n">
        <f aca="false">$W31-$Y31</f>
        <v>0</v>
      </c>
      <c r="AA31" s="371" t="n">
        <f aca="false">$S31*($T31-$U31-$Z31)</f>
        <v>0</v>
      </c>
      <c r="AB31" s="371" t="n">
        <f aca="false">$S31*($T31-$U31)</f>
        <v>0</v>
      </c>
      <c r="AC31" s="368" t="n">
        <f aca="false">IF(AND($S31=1,$H31&lt;=$C$8),$Z31-N($O31),0)</f>
        <v>0</v>
      </c>
      <c r="AD31" s="372"/>
    </row>
    <row r="32" customFormat="false" ht="15" hidden="false" customHeight="true" outlineLevel="0" collapsed="false">
      <c r="A32" s="373" t="str">
        <f aca="false">Projects!$A$25</f>
        <v>BD-09</v>
      </c>
      <c r="B32" s="365"/>
      <c r="C32" s="374" t="str">
        <f aca="false">Projects!$F$25</f>
        <v>No</v>
      </c>
      <c r="D32" s="374" t="str">
        <f aca="false">Projects!$G$25</f>
        <v>No</v>
      </c>
      <c r="E32" s="367"/>
      <c r="F32" s="375" t="n">
        <f aca="false">IF($E32&lt;&gt;"",$E32,Projects!$B$25)</f>
        <v>18000000</v>
      </c>
      <c r="G32" s="365"/>
      <c r="H32" s="376" t="n">
        <f aca="false">IF($G32&lt;&gt;"",$G32,Projects!$C$25)</f>
        <v>40</v>
      </c>
      <c r="I32" s="370"/>
      <c r="J32" s="367"/>
      <c r="K32" s="365"/>
      <c r="L32" s="367"/>
      <c r="M32" s="365"/>
      <c r="N32" s="370"/>
      <c r="O32" s="367"/>
      <c r="P32" s="365"/>
      <c r="Q32" s="367"/>
      <c r="R32" s="365"/>
      <c r="S32" s="376" t="n">
        <f aca="false">IF(AND($C32="Yes",$D32="Yes"),1,0)</f>
        <v>0</v>
      </c>
      <c r="T32" s="375" t="n">
        <f aca="false">$S32*IF($J32&lt;&gt;"",$J32,$F32*IF($I32&lt;&gt;"",$I32,$C$4)/(1+IF($I32&lt;&gt;"",$I32,$C$4)))</f>
        <v>0</v>
      </c>
      <c r="U32" s="375" t="n">
        <f aca="false">$S32*IF($L32&lt;&gt;"",$L32,$F32*$C$5)</f>
        <v>0</v>
      </c>
      <c r="V32" s="375" t="n">
        <f aca="false">$S32*$F32*IF($N32&lt;&gt;"",$N32,$C$6)</f>
        <v>0</v>
      </c>
      <c r="W32" s="375" t="n">
        <f aca="false">MAX(0,$V32-$U32)</f>
        <v>0</v>
      </c>
      <c r="X32" s="376" t="n">
        <f aca="false">IF($B32&lt;&gt;"",$B32,100+$H32)</f>
        <v>140</v>
      </c>
      <c r="Y32" s="375" t="n">
        <f aca="false">$S32*MAX(0,MIN($W32,$C$7-SUMIFS($W$11:$W$54,$X$11:$X$54,"&lt;"&amp;$X32)))</f>
        <v>0</v>
      </c>
      <c r="Z32" s="375" t="n">
        <f aca="false">$W32-$Y32</f>
        <v>0</v>
      </c>
      <c r="AA32" s="377" t="n">
        <f aca="false">$S32*($T32-$U32-$Z32)</f>
        <v>0</v>
      </c>
      <c r="AB32" s="377" t="n">
        <f aca="false">$S32*($T32-$U32)</f>
        <v>0</v>
      </c>
      <c r="AC32" s="375" t="n">
        <f aca="false">IF(AND($S32=1,$H32&lt;=$C$8),$Z32-N($O32),0)</f>
        <v>0</v>
      </c>
      <c r="AD32" s="378"/>
    </row>
    <row r="33" customFormat="false" ht="15" hidden="false" customHeight="true" outlineLevel="0" collapsed="false">
      <c r="A33" s="364" t="str">
        <f aca="false">Projects!$A$26</f>
        <v>BD-10</v>
      </c>
      <c r="B33" s="365"/>
      <c r="C33" s="366" t="str">
        <f aca="false">Projects!$F$26</f>
        <v>No</v>
      </c>
      <c r="D33" s="366" t="str">
        <f aca="false">Projects!$G$26</f>
        <v>No</v>
      </c>
      <c r="E33" s="367"/>
      <c r="F33" s="368" t="n">
        <f aca="false">IF($E33&lt;&gt;"",$E33,Projects!$B$26)</f>
        <v>18000000</v>
      </c>
      <c r="G33" s="365"/>
      <c r="H33" s="369" t="n">
        <f aca="false">IF($G33&lt;&gt;"",$G33,Projects!$C$26)</f>
        <v>42</v>
      </c>
      <c r="I33" s="370"/>
      <c r="J33" s="367"/>
      <c r="K33" s="365"/>
      <c r="L33" s="367"/>
      <c r="M33" s="365"/>
      <c r="N33" s="370"/>
      <c r="O33" s="367"/>
      <c r="P33" s="365"/>
      <c r="Q33" s="367"/>
      <c r="R33" s="365"/>
      <c r="S33" s="369" t="n">
        <f aca="false">IF(AND($C33="Yes",$D33="Yes"),1,0)</f>
        <v>0</v>
      </c>
      <c r="T33" s="368" t="n">
        <f aca="false">$S33*IF($J33&lt;&gt;"",$J33,$F33*IF($I33&lt;&gt;"",$I33,$C$4)/(1+IF($I33&lt;&gt;"",$I33,$C$4)))</f>
        <v>0</v>
      </c>
      <c r="U33" s="368" t="n">
        <f aca="false">$S33*IF($L33&lt;&gt;"",$L33,$F33*$C$5)</f>
        <v>0</v>
      </c>
      <c r="V33" s="368" t="n">
        <f aca="false">$S33*$F33*IF($N33&lt;&gt;"",$N33,$C$6)</f>
        <v>0</v>
      </c>
      <c r="W33" s="368" t="n">
        <f aca="false">MAX(0,$V33-$U33)</f>
        <v>0</v>
      </c>
      <c r="X33" s="369" t="n">
        <f aca="false">IF($B33&lt;&gt;"",$B33,100+$H33)</f>
        <v>142</v>
      </c>
      <c r="Y33" s="368" t="n">
        <f aca="false">$S33*MAX(0,MIN($W33,$C$7-SUMIFS($W$11:$W$54,$X$11:$X$54,"&lt;"&amp;$X33)))</f>
        <v>0</v>
      </c>
      <c r="Z33" s="368" t="n">
        <f aca="false">$W33-$Y33</f>
        <v>0</v>
      </c>
      <c r="AA33" s="371" t="n">
        <f aca="false">$S33*($T33-$U33-$Z33)</f>
        <v>0</v>
      </c>
      <c r="AB33" s="371" t="n">
        <f aca="false">$S33*($T33-$U33)</f>
        <v>0</v>
      </c>
      <c r="AC33" s="368" t="n">
        <f aca="false">IF(AND($S33=1,$H33&lt;=$C$8),$Z33-N($O33),0)</f>
        <v>0</v>
      </c>
      <c r="AD33" s="372"/>
    </row>
    <row r="34" customFormat="false" ht="15" hidden="false" customHeight="true" outlineLevel="0" collapsed="false">
      <c r="A34" s="373" t="str">
        <f aca="false">Projects!$A$27</f>
        <v>BD-11</v>
      </c>
      <c r="B34" s="365"/>
      <c r="C34" s="374" t="str">
        <f aca="false">Projects!$F$27</f>
        <v>No</v>
      </c>
      <c r="D34" s="374" t="str">
        <f aca="false">Projects!$G$27</f>
        <v>No</v>
      </c>
      <c r="E34" s="367"/>
      <c r="F34" s="375" t="n">
        <f aca="false">IF($E34&lt;&gt;"",$E34,Projects!$B$27)</f>
        <v>15000000</v>
      </c>
      <c r="G34" s="365"/>
      <c r="H34" s="376" t="n">
        <f aca="false">IF($G34&lt;&gt;"",$G34,Projects!$C$27)</f>
        <v>44</v>
      </c>
      <c r="I34" s="370"/>
      <c r="J34" s="367"/>
      <c r="K34" s="365"/>
      <c r="L34" s="367"/>
      <c r="M34" s="365"/>
      <c r="N34" s="370"/>
      <c r="O34" s="367"/>
      <c r="P34" s="365"/>
      <c r="Q34" s="367"/>
      <c r="R34" s="365"/>
      <c r="S34" s="376" t="n">
        <f aca="false">IF(AND($C34="Yes",$D34="Yes"),1,0)</f>
        <v>0</v>
      </c>
      <c r="T34" s="375" t="n">
        <f aca="false">$S34*IF($J34&lt;&gt;"",$J34,$F34*IF($I34&lt;&gt;"",$I34,$C$4)/(1+IF($I34&lt;&gt;"",$I34,$C$4)))</f>
        <v>0</v>
      </c>
      <c r="U34" s="375" t="n">
        <f aca="false">$S34*IF($L34&lt;&gt;"",$L34,$F34*$C$5)</f>
        <v>0</v>
      </c>
      <c r="V34" s="375" t="n">
        <f aca="false">$S34*$F34*IF($N34&lt;&gt;"",$N34,$C$6)</f>
        <v>0</v>
      </c>
      <c r="W34" s="375" t="n">
        <f aca="false">MAX(0,$V34-$U34)</f>
        <v>0</v>
      </c>
      <c r="X34" s="376" t="n">
        <f aca="false">IF($B34&lt;&gt;"",$B34,100+$H34)</f>
        <v>144</v>
      </c>
      <c r="Y34" s="375" t="n">
        <f aca="false">$S34*MAX(0,MIN($W34,$C$7-SUMIFS($W$11:$W$54,$X$11:$X$54,"&lt;"&amp;$X34)))</f>
        <v>0</v>
      </c>
      <c r="Z34" s="375" t="n">
        <f aca="false">$W34-$Y34</f>
        <v>0</v>
      </c>
      <c r="AA34" s="377" t="n">
        <f aca="false">$S34*($T34-$U34-$Z34)</f>
        <v>0</v>
      </c>
      <c r="AB34" s="377" t="n">
        <f aca="false">$S34*($T34-$U34)</f>
        <v>0</v>
      </c>
      <c r="AC34" s="375" t="n">
        <f aca="false">IF(AND($S34=1,$H34&lt;=$C$8),$Z34-N($O34),0)</f>
        <v>0</v>
      </c>
      <c r="AD34" s="378"/>
    </row>
    <row r="35" customFormat="false" ht="15" hidden="false" customHeight="true" outlineLevel="0" collapsed="false">
      <c r="A35" s="364" t="str">
        <f aca="false">Projects!$A$28</f>
        <v>BD-12</v>
      </c>
      <c r="B35" s="365"/>
      <c r="C35" s="366" t="str">
        <f aca="false">Projects!$F$28</f>
        <v>Yes</v>
      </c>
      <c r="D35" s="366" t="str">
        <f aca="false">Projects!$G$28</f>
        <v>No</v>
      </c>
      <c r="E35" s="367"/>
      <c r="F35" s="368" t="n">
        <f aca="false">IF($E35&lt;&gt;"",$E35,Projects!$B$28)</f>
        <v>15000000</v>
      </c>
      <c r="G35" s="365"/>
      <c r="H35" s="369" t="n">
        <f aca="false">IF($G35&lt;&gt;"",$G35,Projects!$C$28)</f>
        <v>46</v>
      </c>
      <c r="I35" s="370"/>
      <c r="J35" s="367"/>
      <c r="K35" s="365"/>
      <c r="L35" s="367"/>
      <c r="M35" s="365"/>
      <c r="N35" s="370"/>
      <c r="O35" s="367"/>
      <c r="P35" s="365"/>
      <c r="Q35" s="367"/>
      <c r="R35" s="365"/>
      <c r="S35" s="369" t="n">
        <f aca="false">IF(AND($C35="Yes",$D35="Yes"),1,0)</f>
        <v>0</v>
      </c>
      <c r="T35" s="368" t="n">
        <f aca="false">$S35*IF($J35&lt;&gt;"",$J35,$F35*IF($I35&lt;&gt;"",$I35,$C$4)/(1+IF($I35&lt;&gt;"",$I35,$C$4)))</f>
        <v>0</v>
      </c>
      <c r="U35" s="368" t="n">
        <f aca="false">$S35*IF($L35&lt;&gt;"",$L35,$F35*$C$5)</f>
        <v>0</v>
      </c>
      <c r="V35" s="368" t="n">
        <f aca="false">$S35*$F35*IF($N35&lt;&gt;"",$N35,$C$6)</f>
        <v>0</v>
      </c>
      <c r="W35" s="368" t="n">
        <f aca="false">MAX(0,$V35-$U35)</f>
        <v>0</v>
      </c>
      <c r="X35" s="369" t="n">
        <f aca="false">IF($B35&lt;&gt;"",$B35,100+$H35)</f>
        <v>146</v>
      </c>
      <c r="Y35" s="368" t="n">
        <f aca="false">$S35*MAX(0,MIN($W35,$C$7-SUMIFS($W$11:$W$54,$X$11:$X$54,"&lt;"&amp;$X35)))</f>
        <v>0</v>
      </c>
      <c r="Z35" s="368" t="n">
        <f aca="false">$W35-$Y35</f>
        <v>0</v>
      </c>
      <c r="AA35" s="371" t="n">
        <f aca="false">$S35*($T35-$U35-$Z35)</f>
        <v>0</v>
      </c>
      <c r="AB35" s="371" t="n">
        <f aca="false">$S35*($T35-$U35)</f>
        <v>0</v>
      </c>
      <c r="AC35" s="368" t="n">
        <f aca="false">IF(AND($S35=1,$H35&lt;=$C$8),$Z35-N($O35),0)</f>
        <v>0</v>
      </c>
      <c r="AD35" s="372"/>
    </row>
    <row r="36" customFormat="false" ht="15" hidden="false" customHeight="true" outlineLevel="0" collapsed="false">
      <c r="A36" s="373" t="str">
        <f aca="false">Projects!$A$29</f>
        <v>BD-13</v>
      </c>
      <c r="B36" s="365"/>
      <c r="C36" s="374" t="str">
        <f aca="false">Projects!$F$29</f>
        <v>No</v>
      </c>
      <c r="D36" s="374" t="str">
        <f aca="false">Projects!$G$29</f>
        <v>No</v>
      </c>
      <c r="E36" s="367"/>
      <c r="F36" s="375" t="n">
        <f aca="false">IF($E36&lt;&gt;"",$E36,Projects!$B$29)</f>
        <v>15000000</v>
      </c>
      <c r="G36" s="365"/>
      <c r="H36" s="376" t="n">
        <f aca="false">IF($G36&lt;&gt;"",$G36,Projects!$C$29)</f>
        <v>48</v>
      </c>
      <c r="I36" s="370"/>
      <c r="J36" s="367"/>
      <c r="K36" s="365"/>
      <c r="L36" s="367"/>
      <c r="M36" s="365"/>
      <c r="N36" s="370"/>
      <c r="O36" s="367"/>
      <c r="P36" s="365"/>
      <c r="Q36" s="367"/>
      <c r="R36" s="365"/>
      <c r="S36" s="376" t="n">
        <f aca="false">IF(AND($C36="Yes",$D36="Yes"),1,0)</f>
        <v>0</v>
      </c>
      <c r="T36" s="375" t="n">
        <f aca="false">$S36*IF($J36&lt;&gt;"",$J36,$F36*IF($I36&lt;&gt;"",$I36,$C$4)/(1+IF($I36&lt;&gt;"",$I36,$C$4)))</f>
        <v>0</v>
      </c>
      <c r="U36" s="375" t="n">
        <f aca="false">$S36*IF($L36&lt;&gt;"",$L36,$F36*$C$5)</f>
        <v>0</v>
      </c>
      <c r="V36" s="375" t="n">
        <f aca="false">$S36*$F36*IF($N36&lt;&gt;"",$N36,$C$6)</f>
        <v>0</v>
      </c>
      <c r="W36" s="375" t="n">
        <f aca="false">MAX(0,$V36-$U36)</f>
        <v>0</v>
      </c>
      <c r="X36" s="376" t="n">
        <f aca="false">IF($B36&lt;&gt;"",$B36,100+$H36)</f>
        <v>148</v>
      </c>
      <c r="Y36" s="375" t="n">
        <f aca="false">$S36*MAX(0,MIN($W36,$C$7-SUMIFS($W$11:$W$54,$X$11:$X$54,"&lt;"&amp;$X36)))</f>
        <v>0</v>
      </c>
      <c r="Z36" s="375" t="n">
        <f aca="false">$W36-$Y36</f>
        <v>0</v>
      </c>
      <c r="AA36" s="377" t="n">
        <f aca="false">$S36*($T36-$U36-$Z36)</f>
        <v>0</v>
      </c>
      <c r="AB36" s="377" t="n">
        <f aca="false">$S36*($T36-$U36)</f>
        <v>0</v>
      </c>
      <c r="AC36" s="375" t="n">
        <f aca="false">IF(AND($S36=1,$H36&lt;=$C$8),$Z36-N($O36),0)</f>
        <v>0</v>
      </c>
      <c r="AD36" s="378"/>
    </row>
    <row r="37" customFormat="false" ht="15" hidden="false" customHeight="true" outlineLevel="0" collapsed="false">
      <c r="A37" s="364" t="str">
        <f aca="false">Projects!$A$30</f>
        <v>BD-14</v>
      </c>
      <c r="B37" s="365"/>
      <c r="C37" s="366" t="str">
        <f aca="false">Projects!$F$30</f>
        <v>No</v>
      </c>
      <c r="D37" s="366" t="str">
        <f aca="false">Projects!$G$30</f>
        <v>No</v>
      </c>
      <c r="E37" s="367"/>
      <c r="F37" s="368" t="n">
        <f aca="false">IF($E37&lt;&gt;"",$E37,Projects!$B$30)</f>
        <v>15000000</v>
      </c>
      <c r="G37" s="365"/>
      <c r="H37" s="369" t="n">
        <f aca="false">IF($G37&lt;&gt;"",$G37,Projects!$C$30)</f>
        <v>50</v>
      </c>
      <c r="I37" s="370"/>
      <c r="J37" s="367"/>
      <c r="K37" s="365"/>
      <c r="L37" s="367"/>
      <c r="M37" s="365"/>
      <c r="N37" s="370"/>
      <c r="O37" s="367"/>
      <c r="P37" s="365"/>
      <c r="Q37" s="367"/>
      <c r="R37" s="365"/>
      <c r="S37" s="369" t="n">
        <f aca="false">IF(AND($C37="Yes",$D37="Yes"),1,0)</f>
        <v>0</v>
      </c>
      <c r="T37" s="368" t="n">
        <f aca="false">$S37*IF($J37&lt;&gt;"",$J37,$F37*IF($I37&lt;&gt;"",$I37,$C$4)/(1+IF($I37&lt;&gt;"",$I37,$C$4)))</f>
        <v>0</v>
      </c>
      <c r="U37" s="368" t="n">
        <f aca="false">$S37*IF($L37&lt;&gt;"",$L37,$F37*$C$5)</f>
        <v>0</v>
      </c>
      <c r="V37" s="368" t="n">
        <f aca="false">$S37*$F37*IF($N37&lt;&gt;"",$N37,$C$6)</f>
        <v>0</v>
      </c>
      <c r="W37" s="368" t="n">
        <f aca="false">MAX(0,$V37-$U37)</f>
        <v>0</v>
      </c>
      <c r="X37" s="369" t="n">
        <f aca="false">IF($B37&lt;&gt;"",$B37,100+$H37)</f>
        <v>150</v>
      </c>
      <c r="Y37" s="368" t="n">
        <f aca="false">$S37*MAX(0,MIN($W37,$C$7-SUMIFS($W$11:$W$54,$X$11:$X$54,"&lt;"&amp;$X37)))</f>
        <v>0</v>
      </c>
      <c r="Z37" s="368" t="n">
        <f aca="false">$W37-$Y37</f>
        <v>0</v>
      </c>
      <c r="AA37" s="371" t="n">
        <f aca="false">$S37*($T37-$U37-$Z37)</f>
        <v>0</v>
      </c>
      <c r="AB37" s="371" t="n">
        <f aca="false">$S37*($T37-$U37)</f>
        <v>0</v>
      </c>
      <c r="AC37" s="368" t="n">
        <f aca="false">IF(AND($S37=1,$H37&lt;=$C$8),$Z37-N($O37),0)</f>
        <v>0</v>
      </c>
      <c r="AD37" s="372"/>
    </row>
    <row r="38" customFormat="false" ht="15" hidden="false" customHeight="true" outlineLevel="0" collapsed="false">
      <c r="A38" s="373" t="str">
        <f aca="false">Projects!$A$31</f>
        <v>BD-15</v>
      </c>
      <c r="B38" s="365"/>
      <c r="C38" s="374" t="str">
        <f aca="false">Projects!$F$31</f>
        <v>No</v>
      </c>
      <c r="D38" s="374" t="str">
        <f aca="false">Projects!$G$31</f>
        <v>No</v>
      </c>
      <c r="E38" s="367"/>
      <c r="F38" s="375" t="n">
        <f aca="false">IF($E38&lt;&gt;"",$E38,Projects!$B$31)</f>
        <v>18000000</v>
      </c>
      <c r="G38" s="365"/>
      <c r="H38" s="376" t="n">
        <f aca="false">IF($G38&lt;&gt;"",$G38,Projects!$C$31)</f>
        <v>52</v>
      </c>
      <c r="I38" s="370"/>
      <c r="J38" s="367"/>
      <c r="K38" s="365"/>
      <c r="L38" s="367"/>
      <c r="M38" s="365"/>
      <c r="N38" s="370"/>
      <c r="O38" s="367"/>
      <c r="P38" s="365"/>
      <c r="Q38" s="367"/>
      <c r="R38" s="365"/>
      <c r="S38" s="376" t="n">
        <f aca="false">IF(AND($C38="Yes",$D38="Yes"),1,0)</f>
        <v>0</v>
      </c>
      <c r="T38" s="375" t="n">
        <f aca="false">$S38*IF($J38&lt;&gt;"",$J38,$F38*IF($I38&lt;&gt;"",$I38,$C$4)/(1+IF($I38&lt;&gt;"",$I38,$C$4)))</f>
        <v>0</v>
      </c>
      <c r="U38" s="375" t="n">
        <f aca="false">$S38*IF($L38&lt;&gt;"",$L38,$F38*$C$5)</f>
        <v>0</v>
      </c>
      <c r="V38" s="375" t="n">
        <f aca="false">$S38*$F38*IF($N38&lt;&gt;"",$N38,$C$6)</f>
        <v>0</v>
      </c>
      <c r="W38" s="375" t="n">
        <f aca="false">MAX(0,$V38-$U38)</f>
        <v>0</v>
      </c>
      <c r="X38" s="376" t="n">
        <f aca="false">IF($B38&lt;&gt;"",$B38,100+$H38)</f>
        <v>152</v>
      </c>
      <c r="Y38" s="375" t="n">
        <f aca="false">$S38*MAX(0,MIN($W38,$C$7-SUMIFS($W$11:$W$54,$X$11:$X$54,"&lt;"&amp;$X38)))</f>
        <v>0</v>
      </c>
      <c r="Z38" s="375" t="n">
        <f aca="false">$W38-$Y38</f>
        <v>0</v>
      </c>
      <c r="AA38" s="377" t="n">
        <f aca="false">$S38*($T38-$U38-$Z38)</f>
        <v>0</v>
      </c>
      <c r="AB38" s="377" t="n">
        <f aca="false">$S38*($T38-$U38)</f>
        <v>0</v>
      </c>
      <c r="AC38" s="375" t="n">
        <f aca="false">IF(AND($S38=1,$H38&lt;=$C$8),$Z38-N($O38),0)</f>
        <v>0</v>
      </c>
      <c r="AD38" s="378"/>
    </row>
    <row r="39" customFormat="false" ht="15" hidden="false" customHeight="true" outlineLevel="0" collapsed="false">
      <c r="A39" s="364" t="str">
        <f aca="false">Projects!$A$32</f>
        <v>BD-16</v>
      </c>
      <c r="B39" s="365"/>
      <c r="C39" s="366" t="str">
        <f aca="false">Projects!$F$32</f>
        <v>No</v>
      </c>
      <c r="D39" s="366" t="str">
        <f aca="false">Projects!$G$32</f>
        <v>No</v>
      </c>
      <c r="E39" s="367"/>
      <c r="F39" s="368" t="n">
        <f aca="false">IF($E39&lt;&gt;"",$E39,Projects!$B$32)</f>
        <v>15000000</v>
      </c>
      <c r="G39" s="365"/>
      <c r="H39" s="369" t="n">
        <f aca="false">IF($G39&lt;&gt;"",$G39,Projects!$C$32)</f>
        <v>54</v>
      </c>
      <c r="I39" s="370"/>
      <c r="J39" s="367"/>
      <c r="K39" s="365"/>
      <c r="L39" s="367"/>
      <c r="M39" s="365"/>
      <c r="N39" s="370"/>
      <c r="O39" s="367"/>
      <c r="P39" s="365"/>
      <c r="Q39" s="367"/>
      <c r="R39" s="365"/>
      <c r="S39" s="369" t="n">
        <f aca="false">IF(AND($C39="Yes",$D39="Yes"),1,0)</f>
        <v>0</v>
      </c>
      <c r="T39" s="368" t="n">
        <f aca="false">$S39*IF($J39&lt;&gt;"",$J39,$F39*IF($I39&lt;&gt;"",$I39,$C$4)/(1+IF($I39&lt;&gt;"",$I39,$C$4)))</f>
        <v>0</v>
      </c>
      <c r="U39" s="368" t="n">
        <f aca="false">$S39*IF($L39&lt;&gt;"",$L39,$F39*$C$5)</f>
        <v>0</v>
      </c>
      <c r="V39" s="368" t="n">
        <f aca="false">$S39*$F39*IF($N39&lt;&gt;"",$N39,$C$6)</f>
        <v>0</v>
      </c>
      <c r="W39" s="368" t="n">
        <f aca="false">MAX(0,$V39-$U39)</f>
        <v>0</v>
      </c>
      <c r="X39" s="369" t="n">
        <f aca="false">IF($B39&lt;&gt;"",$B39,100+$H39)</f>
        <v>154</v>
      </c>
      <c r="Y39" s="368" t="n">
        <f aca="false">$S39*MAX(0,MIN($W39,$C$7-SUMIFS($W$11:$W$54,$X$11:$X$54,"&lt;"&amp;$X39)))</f>
        <v>0</v>
      </c>
      <c r="Z39" s="368" t="n">
        <f aca="false">$W39-$Y39</f>
        <v>0</v>
      </c>
      <c r="AA39" s="371" t="n">
        <f aca="false">$S39*($T39-$U39-$Z39)</f>
        <v>0</v>
      </c>
      <c r="AB39" s="371" t="n">
        <f aca="false">$S39*($T39-$U39)</f>
        <v>0</v>
      </c>
      <c r="AC39" s="368" t="n">
        <f aca="false">IF(AND($S39=1,$H39&lt;=$C$8),$Z39-N($O39),0)</f>
        <v>0</v>
      </c>
      <c r="AD39" s="372"/>
    </row>
    <row r="40" customFormat="false" ht="15" hidden="false" customHeight="true" outlineLevel="0" collapsed="false">
      <c r="A40" s="373" t="str">
        <f aca="false">Projects!$A$33</f>
        <v>BD-17</v>
      </c>
      <c r="B40" s="365"/>
      <c r="C40" s="374" t="str">
        <f aca="false">Projects!$F$33</f>
        <v>No</v>
      </c>
      <c r="D40" s="374" t="str">
        <f aca="false">Projects!$G$33</f>
        <v>No</v>
      </c>
      <c r="E40" s="367"/>
      <c r="F40" s="375" t="n">
        <f aca="false">IF($E40&lt;&gt;"",$E40,Projects!$B$33)</f>
        <v>15000000</v>
      </c>
      <c r="G40" s="365"/>
      <c r="H40" s="376" t="n">
        <f aca="false">IF($G40&lt;&gt;"",$G40,Projects!$C$33)</f>
        <v>56</v>
      </c>
      <c r="I40" s="370"/>
      <c r="J40" s="367"/>
      <c r="K40" s="365"/>
      <c r="L40" s="367"/>
      <c r="M40" s="365"/>
      <c r="N40" s="370"/>
      <c r="O40" s="367"/>
      <c r="P40" s="365"/>
      <c r="Q40" s="367"/>
      <c r="R40" s="365"/>
      <c r="S40" s="376" t="n">
        <f aca="false">IF(AND($C40="Yes",$D40="Yes"),1,0)</f>
        <v>0</v>
      </c>
      <c r="T40" s="375" t="n">
        <f aca="false">$S40*IF($J40&lt;&gt;"",$J40,$F40*IF($I40&lt;&gt;"",$I40,$C$4)/(1+IF($I40&lt;&gt;"",$I40,$C$4)))</f>
        <v>0</v>
      </c>
      <c r="U40" s="375" t="n">
        <f aca="false">$S40*IF($L40&lt;&gt;"",$L40,$F40*$C$5)</f>
        <v>0</v>
      </c>
      <c r="V40" s="375" t="n">
        <f aca="false">$S40*$F40*IF($N40&lt;&gt;"",$N40,$C$6)</f>
        <v>0</v>
      </c>
      <c r="W40" s="375" t="n">
        <f aca="false">MAX(0,$V40-$U40)</f>
        <v>0</v>
      </c>
      <c r="X40" s="376" t="n">
        <f aca="false">IF($B40&lt;&gt;"",$B40,100+$H40)</f>
        <v>156</v>
      </c>
      <c r="Y40" s="375" t="n">
        <f aca="false">$S40*MAX(0,MIN($W40,$C$7-SUMIFS($W$11:$W$54,$X$11:$X$54,"&lt;"&amp;$X40)))</f>
        <v>0</v>
      </c>
      <c r="Z40" s="375" t="n">
        <f aca="false">$W40-$Y40</f>
        <v>0</v>
      </c>
      <c r="AA40" s="377" t="n">
        <f aca="false">$S40*($T40-$U40-$Z40)</f>
        <v>0</v>
      </c>
      <c r="AB40" s="377" t="n">
        <f aca="false">$S40*($T40-$U40)</f>
        <v>0</v>
      </c>
      <c r="AC40" s="375" t="n">
        <f aca="false">IF(AND($S40=1,$H40&lt;=$C$8),$Z40-N($O40),0)</f>
        <v>0</v>
      </c>
      <c r="AD40" s="378"/>
    </row>
    <row r="41" customFormat="false" ht="15" hidden="false" customHeight="true" outlineLevel="0" collapsed="false">
      <c r="A41" s="364" t="str">
        <f aca="false">Projects!$A$34</f>
        <v>BD-18</v>
      </c>
      <c r="B41" s="365"/>
      <c r="C41" s="366" t="str">
        <f aca="false">Projects!$F$34</f>
        <v>Yes</v>
      </c>
      <c r="D41" s="366" t="str">
        <f aca="false">Projects!$G$34</f>
        <v>No</v>
      </c>
      <c r="E41" s="367"/>
      <c r="F41" s="368" t="n">
        <f aca="false">IF($E41&lt;&gt;"",$E41,Projects!$B$34)</f>
        <v>18000000</v>
      </c>
      <c r="G41" s="365"/>
      <c r="H41" s="369" t="n">
        <f aca="false">IF($G41&lt;&gt;"",$G41,Projects!$C$34)</f>
        <v>58</v>
      </c>
      <c r="I41" s="370"/>
      <c r="J41" s="367"/>
      <c r="K41" s="365"/>
      <c r="L41" s="367"/>
      <c r="M41" s="365"/>
      <c r="N41" s="370"/>
      <c r="O41" s="367"/>
      <c r="P41" s="365"/>
      <c r="Q41" s="367"/>
      <c r="R41" s="365"/>
      <c r="S41" s="369" t="n">
        <f aca="false">IF(AND($C41="Yes",$D41="Yes"),1,0)</f>
        <v>0</v>
      </c>
      <c r="T41" s="368" t="n">
        <f aca="false">$S41*IF($J41&lt;&gt;"",$J41,$F41*IF($I41&lt;&gt;"",$I41,$C$4)/(1+IF($I41&lt;&gt;"",$I41,$C$4)))</f>
        <v>0</v>
      </c>
      <c r="U41" s="368" t="n">
        <f aca="false">$S41*IF($L41&lt;&gt;"",$L41,$F41*$C$5)</f>
        <v>0</v>
      </c>
      <c r="V41" s="368" t="n">
        <f aca="false">$S41*$F41*IF($N41&lt;&gt;"",$N41,$C$6)</f>
        <v>0</v>
      </c>
      <c r="W41" s="368" t="n">
        <f aca="false">MAX(0,$V41-$U41)</f>
        <v>0</v>
      </c>
      <c r="X41" s="369" t="n">
        <f aca="false">IF($B41&lt;&gt;"",$B41,100+$H41)</f>
        <v>158</v>
      </c>
      <c r="Y41" s="368" t="n">
        <f aca="false">$S41*MAX(0,MIN($W41,$C$7-SUMIFS($W$11:$W$54,$X$11:$X$54,"&lt;"&amp;$X41)))</f>
        <v>0</v>
      </c>
      <c r="Z41" s="368" t="n">
        <f aca="false">$W41-$Y41</f>
        <v>0</v>
      </c>
      <c r="AA41" s="371" t="n">
        <f aca="false">$S41*($T41-$U41-$Z41)</f>
        <v>0</v>
      </c>
      <c r="AB41" s="371" t="n">
        <f aca="false">$S41*($T41-$U41)</f>
        <v>0</v>
      </c>
      <c r="AC41" s="368" t="n">
        <f aca="false">IF(AND($S41=1,$H41&lt;=$C$8),$Z41-N($O41),0)</f>
        <v>0</v>
      </c>
      <c r="AD41" s="372"/>
    </row>
    <row r="42" customFormat="false" ht="15" hidden="false" customHeight="true" outlineLevel="0" collapsed="false">
      <c r="A42" s="373" t="str">
        <f aca="false">Projects!$A$35</f>
        <v>BD-19</v>
      </c>
      <c r="B42" s="365"/>
      <c r="C42" s="374" t="str">
        <f aca="false">Projects!$F$35</f>
        <v>No</v>
      </c>
      <c r="D42" s="374" t="str">
        <f aca="false">Projects!$G$35</f>
        <v>No</v>
      </c>
      <c r="E42" s="367"/>
      <c r="F42" s="375" t="n">
        <f aca="false">IF($E42&lt;&gt;"",$E42,Projects!$B$35)</f>
        <v>15000000</v>
      </c>
      <c r="G42" s="365"/>
      <c r="H42" s="376" t="n">
        <f aca="false">IF($G42&lt;&gt;"",$G42,Projects!$C$35)</f>
        <v>60</v>
      </c>
      <c r="I42" s="370"/>
      <c r="J42" s="367"/>
      <c r="K42" s="365"/>
      <c r="L42" s="367"/>
      <c r="M42" s="365"/>
      <c r="N42" s="370"/>
      <c r="O42" s="367"/>
      <c r="P42" s="365"/>
      <c r="Q42" s="367"/>
      <c r="R42" s="365"/>
      <c r="S42" s="376" t="n">
        <f aca="false">IF(AND($C42="Yes",$D42="Yes"),1,0)</f>
        <v>0</v>
      </c>
      <c r="T42" s="375" t="n">
        <f aca="false">$S42*IF($J42&lt;&gt;"",$J42,$F42*IF($I42&lt;&gt;"",$I42,$C$4)/(1+IF($I42&lt;&gt;"",$I42,$C$4)))</f>
        <v>0</v>
      </c>
      <c r="U42" s="375" t="n">
        <f aca="false">$S42*IF($L42&lt;&gt;"",$L42,$F42*$C$5)</f>
        <v>0</v>
      </c>
      <c r="V42" s="375" t="n">
        <f aca="false">$S42*$F42*IF($N42&lt;&gt;"",$N42,$C$6)</f>
        <v>0</v>
      </c>
      <c r="W42" s="375" t="n">
        <f aca="false">MAX(0,$V42-$U42)</f>
        <v>0</v>
      </c>
      <c r="X42" s="376" t="n">
        <f aca="false">IF($B42&lt;&gt;"",$B42,100+$H42)</f>
        <v>160</v>
      </c>
      <c r="Y42" s="375" t="n">
        <f aca="false">$S42*MAX(0,MIN($W42,$C$7-SUMIFS($W$11:$W$54,$X$11:$X$54,"&lt;"&amp;$X42)))</f>
        <v>0</v>
      </c>
      <c r="Z42" s="375" t="n">
        <f aca="false">$W42-$Y42</f>
        <v>0</v>
      </c>
      <c r="AA42" s="377" t="n">
        <f aca="false">$S42*($T42-$U42-$Z42)</f>
        <v>0</v>
      </c>
      <c r="AB42" s="377" t="n">
        <f aca="false">$S42*($T42-$U42)</f>
        <v>0</v>
      </c>
      <c r="AC42" s="375" t="n">
        <f aca="false">IF(AND($S42=1,$H42&lt;=$C$8),$Z42-N($O42),0)</f>
        <v>0</v>
      </c>
      <c r="AD42" s="378"/>
    </row>
    <row r="43" customFormat="false" ht="15" hidden="false" customHeight="true" outlineLevel="0" collapsed="false">
      <c r="A43" s="364" t="str">
        <f aca="false">Projects!$A$36</f>
        <v>BD-20</v>
      </c>
      <c r="B43" s="365"/>
      <c r="C43" s="366" t="str">
        <f aca="false">Projects!$F$36</f>
        <v>No</v>
      </c>
      <c r="D43" s="366" t="str">
        <f aca="false">Projects!$G$36</f>
        <v>No</v>
      </c>
      <c r="E43" s="367"/>
      <c r="F43" s="368" t="n">
        <f aca="false">IF($E43&lt;&gt;"",$E43,Projects!$B$36)</f>
        <v>18000000</v>
      </c>
      <c r="G43" s="365"/>
      <c r="H43" s="369" t="n">
        <f aca="false">IF($G43&lt;&gt;"",$G43,Projects!$C$36)</f>
        <v>62</v>
      </c>
      <c r="I43" s="370"/>
      <c r="J43" s="367"/>
      <c r="K43" s="365"/>
      <c r="L43" s="367"/>
      <c r="M43" s="365"/>
      <c r="N43" s="370"/>
      <c r="O43" s="367"/>
      <c r="P43" s="365"/>
      <c r="Q43" s="367"/>
      <c r="R43" s="365"/>
      <c r="S43" s="369" t="n">
        <f aca="false">IF(AND($C43="Yes",$D43="Yes"),1,0)</f>
        <v>0</v>
      </c>
      <c r="T43" s="368" t="n">
        <f aca="false">$S43*IF($J43&lt;&gt;"",$J43,$F43*IF($I43&lt;&gt;"",$I43,$C$4)/(1+IF($I43&lt;&gt;"",$I43,$C$4)))</f>
        <v>0</v>
      </c>
      <c r="U43" s="368" t="n">
        <f aca="false">$S43*IF($L43&lt;&gt;"",$L43,$F43*$C$5)</f>
        <v>0</v>
      </c>
      <c r="V43" s="368" t="n">
        <f aca="false">$S43*$F43*IF($N43&lt;&gt;"",$N43,$C$6)</f>
        <v>0</v>
      </c>
      <c r="W43" s="368" t="n">
        <f aca="false">MAX(0,$V43-$U43)</f>
        <v>0</v>
      </c>
      <c r="X43" s="369" t="n">
        <f aca="false">IF($B43&lt;&gt;"",$B43,100+$H43)</f>
        <v>162</v>
      </c>
      <c r="Y43" s="368" t="n">
        <f aca="false">$S43*MAX(0,MIN($W43,$C$7-SUMIFS($W$11:$W$54,$X$11:$X$54,"&lt;"&amp;$X43)))</f>
        <v>0</v>
      </c>
      <c r="Z43" s="368" t="n">
        <f aca="false">$W43-$Y43</f>
        <v>0</v>
      </c>
      <c r="AA43" s="371" t="n">
        <f aca="false">$S43*($T43-$U43-$Z43)</f>
        <v>0</v>
      </c>
      <c r="AB43" s="371" t="n">
        <f aca="false">$S43*($T43-$U43)</f>
        <v>0</v>
      </c>
      <c r="AC43" s="368" t="n">
        <f aca="false">IF(AND($S43=1,$H43&lt;=$C$8),$Z43-N($O43),0)</f>
        <v>0</v>
      </c>
      <c r="AD43" s="372"/>
    </row>
    <row r="44" customFormat="false" ht="15" hidden="false" customHeight="true" outlineLevel="0" collapsed="false">
      <c r="A44" s="373" t="str">
        <f aca="false">Projects!$A$37</f>
        <v>BD-21</v>
      </c>
      <c r="B44" s="365"/>
      <c r="C44" s="374" t="str">
        <f aca="false">Projects!$F$37</f>
        <v>No</v>
      </c>
      <c r="D44" s="374" t="str">
        <f aca="false">Projects!$G$37</f>
        <v>No</v>
      </c>
      <c r="E44" s="367"/>
      <c r="F44" s="375" t="n">
        <f aca="false">IF($E44&lt;&gt;"",$E44,Projects!$B$37)</f>
        <v>15000000</v>
      </c>
      <c r="G44" s="365"/>
      <c r="H44" s="376" t="n">
        <f aca="false">IF($G44&lt;&gt;"",$G44,Projects!$C$37)</f>
        <v>64</v>
      </c>
      <c r="I44" s="370"/>
      <c r="J44" s="367"/>
      <c r="K44" s="365"/>
      <c r="L44" s="367"/>
      <c r="M44" s="365"/>
      <c r="N44" s="370"/>
      <c r="O44" s="367"/>
      <c r="P44" s="365"/>
      <c r="Q44" s="367"/>
      <c r="R44" s="365"/>
      <c r="S44" s="376" t="n">
        <f aca="false">IF(AND($C44="Yes",$D44="Yes"),1,0)</f>
        <v>0</v>
      </c>
      <c r="T44" s="375" t="n">
        <f aca="false">$S44*IF($J44&lt;&gt;"",$J44,$F44*IF($I44&lt;&gt;"",$I44,$C$4)/(1+IF($I44&lt;&gt;"",$I44,$C$4)))</f>
        <v>0</v>
      </c>
      <c r="U44" s="375" t="n">
        <f aca="false">$S44*IF($L44&lt;&gt;"",$L44,$F44*$C$5)</f>
        <v>0</v>
      </c>
      <c r="V44" s="375" t="n">
        <f aca="false">$S44*$F44*IF($N44&lt;&gt;"",$N44,$C$6)</f>
        <v>0</v>
      </c>
      <c r="W44" s="375" t="n">
        <f aca="false">MAX(0,$V44-$U44)</f>
        <v>0</v>
      </c>
      <c r="X44" s="376" t="n">
        <f aca="false">IF($B44&lt;&gt;"",$B44,100+$H44)</f>
        <v>164</v>
      </c>
      <c r="Y44" s="375" t="n">
        <f aca="false">$S44*MAX(0,MIN($W44,$C$7-SUMIFS($W$11:$W$54,$X$11:$X$54,"&lt;"&amp;$X44)))</f>
        <v>0</v>
      </c>
      <c r="Z44" s="375" t="n">
        <f aca="false">$W44-$Y44</f>
        <v>0</v>
      </c>
      <c r="AA44" s="377" t="n">
        <f aca="false">$S44*($T44-$U44-$Z44)</f>
        <v>0</v>
      </c>
      <c r="AB44" s="377" t="n">
        <f aca="false">$S44*($T44-$U44)</f>
        <v>0</v>
      </c>
      <c r="AC44" s="375" t="n">
        <f aca="false">IF(AND($S44=1,$H44&lt;=$C$8),$Z44-N($O44),0)</f>
        <v>0</v>
      </c>
      <c r="AD44" s="378"/>
    </row>
    <row r="45" customFormat="false" ht="15" hidden="false" customHeight="true" outlineLevel="0" collapsed="false">
      <c r="A45" s="364" t="str">
        <f aca="false">Projects!$A$38</f>
        <v>BD-22</v>
      </c>
      <c r="B45" s="365"/>
      <c r="C45" s="366" t="str">
        <f aca="false">Projects!$F$38</f>
        <v>No</v>
      </c>
      <c r="D45" s="366" t="str">
        <f aca="false">Projects!$G$38</f>
        <v>No</v>
      </c>
      <c r="E45" s="367"/>
      <c r="F45" s="368" t="n">
        <f aca="false">IF($E45&lt;&gt;"",$E45,Projects!$B$38)</f>
        <v>15000000</v>
      </c>
      <c r="G45" s="365"/>
      <c r="H45" s="369" t="n">
        <f aca="false">IF($G45&lt;&gt;"",$G45,Projects!$C$38)</f>
        <v>66</v>
      </c>
      <c r="I45" s="370"/>
      <c r="J45" s="367"/>
      <c r="K45" s="365"/>
      <c r="L45" s="367"/>
      <c r="M45" s="365"/>
      <c r="N45" s="370"/>
      <c r="O45" s="367"/>
      <c r="P45" s="365"/>
      <c r="Q45" s="367"/>
      <c r="R45" s="365"/>
      <c r="S45" s="369" t="n">
        <f aca="false">IF(AND($C45="Yes",$D45="Yes"),1,0)</f>
        <v>0</v>
      </c>
      <c r="T45" s="368" t="n">
        <f aca="false">$S45*IF($J45&lt;&gt;"",$J45,$F45*IF($I45&lt;&gt;"",$I45,$C$4)/(1+IF($I45&lt;&gt;"",$I45,$C$4)))</f>
        <v>0</v>
      </c>
      <c r="U45" s="368" t="n">
        <f aca="false">$S45*IF($L45&lt;&gt;"",$L45,$F45*$C$5)</f>
        <v>0</v>
      </c>
      <c r="V45" s="368" t="n">
        <f aca="false">$S45*$F45*IF($N45&lt;&gt;"",$N45,$C$6)</f>
        <v>0</v>
      </c>
      <c r="W45" s="368" t="n">
        <f aca="false">MAX(0,$V45-$U45)</f>
        <v>0</v>
      </c>
      <c r="X45" s="369" t="n">
        <f aca="false">IF($B45&lt;&gt;"",$B45,100+$H45)</f>
        <v>166</v>
      </c>
      <c r="Y45" s="368" t="n">
        <f aca="false">$S45*MAX(0,MIN($W45,$C$7-SUMIFS($W$11:$W$54,$X$11:$X$54,"&lt;"&amp;$X45)))</f>
        <v>0</v>
      </c>
      <c r="Z45" s="368" t="n">
        <f aca="false">$W45-$Y45</f>
        <v>0</v>
      </c>
      <c r="AA45" s="371" t="n">
        <f aca="false">$S45*($T45-$U45-$Z45)</f>
        <v>0</v>
      </c>
      <c r="AB45" s="371" t="n">
        <f aca="false">$S45*($T45-$U45)</f>
        <v>0</v>
      </c>
      <c r="AC45" s="368" t="n">
        <f aca="false">IF(AND($S45=1,$H45&lt;=$C$8),$Z45-N($O45),0)</f>
        <v>0</v>
      </c>
      <c r="AD45" s="372"/>
    </row>
    <row r="46" customFormat="false" ht="15" hidden="false" customHeight="true" outlineLevel="0" collapsed="false">
      <c r="A46" s="373" t="str">
        <f aca="false">Projects!$A$39</f>
        <v>BD-23</v>
      </c>
      <c r="B46" s="365"/>
      <c r="C46" s="374" t="str">
        <f aca="false">Projects!$F$39</f>
        <v>No</v>
      </c>
      <c r="D46" s="374" t="str">
        <f aca="false">Projects!$G$39</f>
        <v>No</v>
      </c>
      <c r="E46" s="367"/>
      <c r="F46" s="375" t="n">
        <f aca="false">IF($E46&lt;&gt;"",$E46,Projects!$B$39)</f>
        <v>18000000</v>
      </c>
      <c r="G46" s="365"/>
      <c r="H46" s="376" t="n">
        <f aca="false">IF($G46&lt;&gt;"",$G46,Projects!$C$39)</f>
        <v>68</v>
      </c>
      <c r="I46" s="370"/>
      <c r="J46" s="367"/>
      <c r="K46" s="365"/>
      <c r="L46" s="367"/>
      <c r="M46" s="365"/>
      <c r="N46" s="370"/>
      <c r="O46" s="367"/>
      <c r="P46" s="365"/>
      <c r="Q46" s="367"/>
      <c r="R46" s="365"/>
      <c r="S46" s="376" t="n">
        <f aca="false">IF(AND($C46="Yes",$D46="Yes"),1,0)</f>
        <v>0</v>
      </c>
      <c r="T46" s="375" t="n">
        <f aca="false">$S46*IF($J46&lt;&gt;"",$J46,$F46*IF($I46&lt;&gt;"",$I46,$C$4)/(1+IF($I46&lt;&gt;"",$I46,$C$4)))</f>
        <v>0</v>
      </c>
      <c r="U46" s="375" t="n">
        <f aca="false">$S46*IF($L46&lt;&gt;"",$L46,$F46*$C$5)</f>
        <v>0</v>
      </c>
      <c r="V46" s="375" t="n">
        <f aca="false">$S46*$F46*IF($N46&lt;&gt;"",$N46,$C$6)</f>
        <v>0</v>
      </c>
      <c r="W46" s="375" t="n">
        <f aca="false">MAX(0,$V46-$U46)</f>
        <v>0</v>
      </c>
      <c r="X46" s="376" t="n">
        <f aca="false">IF($B46&lt;&gt;"",$B46,100+$H46)</f>
        <v>168</v>
      </c>
      <c r="Y46" s="375" t="n">
        <f aca="false">$S46*MAX(0,MIN($W46,$C$7-SUMIFS($W$11:$W$54,$X$11:$X$54,"&lt;"&amp;$X46)))</f>
        <v>0</v>
      </c>
      <c r="Z46" s="375" t="n">
        <f aca="false">$W46-$Y46</f>
        <v>0</v>
      </c>
      <c r="AA46" s="377" t="n">
        <f aca="false">$S46*($T46-$U46-$Z46)</f>
        <v>0</v>
      </c>
      <c r="AB46" s="377" t="n">
        <f aca="false">$S46*($T46-$U46)</f>
        <v>0</v>
      </c>
      <c r="AC46" s="375" t="n">
        <f aca="false">IF(AND($S46=1,$H46&lt;=$C$8),$Z46-N($O46),0)</f>
        <v>0</v>
      </c>
      <c r="AD46" s="378"/>
    </row>
    <row r="47" customFormat="false" ht="15" hidden="false" customHeight="true" outlineLevel="0" collapsed="false">
      <c r="A47" s="364" t="str">
        <f aca="false">Projects!$A$40</f>
        <v>BD-24</v>
      </c>
      <c r="B47" s="365"/>
      <c r="C47" s="366" t="str">
        <f aca="false">Projects!$F$40</f>
        <v>Yes</v>
      </c>
      <c r="D47" s="366" t="str">
        <f aca="false">Projects!$G$40</f>
        <v>No</v>
      </c>
      <c r="E47" s="367"/>
      <c r="F47" s="368" t="n">
        <f aca="false">IF($E47&lt;&gt;"",$E47,Projects!$B$40)</f>
        <v>15000000</v>
      </c>
      <c r="G47" s="365"/>
      <c r="H47" s="369" t="n">
        <f aca="false">IF($G47&lt;&gt;"",$G47,Projects!$C$40)</f>
        <v>70</v>
      </c>
      <c r="I47" s="370"/>
      <c r="J47" s="367"/>
      <c r="K47" s="365"/>
      <c r="L47" s="367"/>
      <c r="M47" s="365"/>
      <c r="N47" s="370"/>
      <c r="O47" s="367"/>
      <c r="P47" s="365"/>
      <c r="Q47" s="367"/>
      <c r="R47" s="365"/>
      <c r="S47" s="369" t="n">
        <f aca="false">IF(AND($C47="Yes",$D47="Yes"),1,0)</f>
        <v>0</v>
      </c>
      <c r="T47" s="368" t="n">
        <f aca="false">$S47*IF($J47&lt;&gt;"",$J47,$F47*IF($I47&lt;&gt;"",$I47,$C$4)/(1+IF($I47&lt;&gt;"",$I47,$C$4)))</f>
        <v>0</v>
      </c>
      <c r="U47" s="368" t="n">
        <f aca="false">$S47*IF($L47&lt;&gt;"",$L47,$F47*$C$5)</f>
        <v>0</v>
      </c>
      <c r="V47" s="368" t="n">
        <f aca="false">$S47*$F47*IF($N47&lt;&gt;"",$N47,$C$6)</f>
        <v>0</v>
      </c>
      <c r="W47" s="368" t="n">
        <f aca="false">MAX(0,$V47-$U47)</f>
        <v>0</v>
      </c>
      <c r="X47" s="369" t="n">
        <f aca="false">IF($B47&lt;&gt;"",$B47,100+$H47)</f>
        <v>170</v>
      </c>
      <c r="Y47" s="368" t="n">
        <f aca="false">$S47*MAX(0,MIN($W47,$C$7-SUMIFS($W$11:$W$54,$X$11:$X$54,"&lt;"&amp;$X47)))</f>
        <v>0</v>
      </c>
      <c r="Z47" s="368" t="n">
        <f aca="false">$W47-$Y47</f>
        <v>0</v>
      </c>
      <c r="AA47" s="371" t="n">
        <f aca="false">$S47*($T47-$U47-$Z47)</f>
        <v>0</v>
      </c>
      <c r="AB47" s="371" t="n">
        <f aca="false">$S47*($T47-$U47)</f>
        <v>0</v>
      </c>
      <c r="AC47" s="368" t="n">
        <f aca="false">IF(AND($S47=1,$H47&lt;=$C$8),$Z47-N($O47),0)</f>
        <v>0</v>
      </c>
      <c r="AD47" s="372"/>
    </row>
    <row r="48" customFormat="false" ht="15" hidden="false" customHeight="true" outlineLevel="0" collapsed="false">
      <c r="A48" s="373" t="str">
        <f aca="false">Projects!$A$41</f>
        <v>BD-25</v>
      </c>
      <c r="B48" s="365"/>
      <c r="C48" s="374" t="str">
        <f aca="false">Projects!$F$41</f>
        <v>No</v>
      </c>
      <c r="D48" s="374" t="str">
        <f aca="false">Projects!$G$41</f>
        <v>No</v>
      </c>
      <c r="E48" s="367"/>
      <c r="F48" s="375" t="n">
        <f aca="false">IF($E48&lt;&gt;"",$E48,Projects!$B$41)</f>
        <v>15000000</v>
      </c>
      <c r="G48" s="365"/>
      <c r="H48" s="376" t="n">
        <f aca="false">IF($G48&lt;&gt;"",$G48,Projects!$C$41)</f>
        <v>72</v>
      </c>
      <c r="I48" s="370"/>
      <c r="J48" s="367"/>
      <c r="K48" s="365"/>
      <c r="L48" s="367"/>
      <c r="M48" s="365"/>
      <c r="N48" s="370"/>
      <c r="O48" s="367"/>
      <c r="P48" s="365"/>
      <c r="Q48" s="367"/>
      <c r="R48" s="365"/>
      <c r="S48" s="376" t="n">
        <f aca="false">IF(AND($C48="Yes",$D48="Yes"),1,0)</f>
        <v>0</v>
      </c>
      <c r="T48" s="375" t="n">
        <f aca="false">$S48*IF($J48&lt;&gt;"",$J48,$F48*IF($I48&lt;&gt;"",$I48,$C$4)/(1+IF($I48&lt;&gt;"",$I48,$C$4)))</f>
        <v>0</v>
      </c>
      <c r="U48" s="375" t="n">
        <f aca="false">$S48*IF($L48&lt;&gt;"",$L48,$F48*$C$5)</f>
        <v>0</v>
      </c>
      <c r="V48" s="375" t="n">
        <f aca="false">$S48*$F48*IF($N48&lt;&gt;"",$N48,$C$6)</f>
        <v>0</v>
      </c>
      <c r="W48" s="375" t="n">
        <f aca="false">MAX(0,$V48-$U48)</f>
        <v>0</v>
      </c>
      <c r="X48" s="376" t="n">
        <f aca="false">IF($B48&lt;&gt;"",$B48,100+$H48)</f>
        <v>172</v>
      </c>
      <c r="Y48" s="375" t="n">
        <f aca="false">$S48*MAX(0,MIN($W48,$C$7-SUMIFS($W$11:$W$54,$X$11:$X$54,"&lt;"&amp;$X48)))</f>
        <v>0</v>
      </c>
      <c r="Z48" s="375" t="n">
        <f aca="false">$W48-$Y48</f>
        <v>0</v>
      </c>
      <c r="AA48" s="377" t="n">
        <f aca="false">$S48*($T48-$U48-$Z48)</f>
        <v>0</v>
      </c>
      <c r="AB48" s="377" t="n">
        <f aca="false">$S48*($T48-$U48)</f>
        <v>0</v>
      </c>
      <c r="AC48" s="375" t="n">
        <f aca="false">IF(AND($S48=1,$H48&lt;=$C$8),$Z48-N($O48),0)</f>
        <v>0</v>
      </c>
      <c r="AD48" s="378"/>
    </row>
    <row r="49" customFormat="false" ht="15" hidden="false" customHeight="true" outlineLevel="0" collapsed="false">
      <c r="A49" s="364" t="str">
        <f aca="false">Projects!$A$42</f>
        <v>BD-26</v>
      </c>
      <c r="B49" s="365"/>
      <c r="C49" s="366" t="str">
        <f aca="false">Projects!$F$42</f>
        <v>No</v>
      </c>
      <c r="D49" s="366" t="str">
        <f aca="false">Projects!$G$42</f>
        <v>No</v>
      </c>
      <c r="E49" s="367"/>
      <c r="F49" s="368" t="n">
        <f aca="false">IF($E49&lt;&gt;"",$E49,Projects!$B$42)</f>
        <v>18000000</v>
      </c>
      <c r="G49" s="365"/>
      <c r="H49" s="369" t="n">
        <f aca="false">IF($G49&lt;&gt;"",$G49,Projects!$C$42)</f>
        <v>74</v>
      </c>
      <c r="I49" s="370"/>
      <c r="J49" s="367"/>
      <c r="K49" s="365"/>
      <c r="L49" s="367"/>
      <c r="M49" s="365"/>
      <c r="N49" s="370"/>
      <c r="O49" s="367"/>
      <c r="P49" s="365"/>
      <c r="Q49" s="367"/>
      <c r="R49" s="365"/>
      <c r="S49" s="369" t="n">
        <f aca="false">IF(AND($C49="Yes",$D49="Yes"),1,0)</f>
        <v>0</v>
      </c>
      <c r="T49" s="368" t="n">
        <f aca="false">$S49*IF($J49&lt;&gt;"",$J49,$F49*IF($I49&lt;&gt;"",$I49,$C$4)/(1+IF($I49&lt;&gt;"",$I49,$C$4)))</f>
        <v>0</v>
      </c>
      <c r="U49" s="368" t="n">
        <f aca="false">$S49*IF($L49&lt;&gt;"",$L49,$F49*$C$5)</f>
        <v>0</v>
      </c>
      <c r="V49" s="368" t="n">
        <f aca="false">$S49*$F49*IF($N49&lt;&gt;"",$N49,$C$6)</f>
        <v>0</v>
      </c>
      <c r="W49" s="368" t="n">
        <f aca="false">MAX(0,$V49-$U49)</f>
        <v>0</v>
      </c>
      <c r="X49" s="369" t="n">
        <f aca="false">IF($B49&lt;&gt;"",$B49,100+$H49)</f>
        <v>174</v>
      </c>
      <c r="Y49" s="368" t="n">
        <f aca="false">$S49*MAX(0,MIN($W49,$C$7-SUMIFS($W$11:$W$54,$X$11:$X$54,"&lt;"&amp;$X49)))</f>
        <v>0</v>
      </c>
      <c r="Z49" s="368" t="n">
        <f aca="false">$W49-$Y49</f>
        <v>0</v>
      </c>
      <c r="AA49" s="371" t="n">
        <f aca="false">$S49*($T49-$U49-$Z49)</f>
        <v>0</v>
      </c>
      <c r="AB49" s="371" t="n">
        <f aca="false">$S49*($T49-$U49)</f>
        <v>0</v>
      </c>
      <c r="AC49" s="368" t="n">
        <f aca="false">IF(AND($S49=1,$H49&lt;=$C$8),$Z49-N($O49),0)</f>
        <v>0</v>
      </c>
      <c r="AD49" s="372"/>
    </row>
    <row r="50" customFormat="false" ht="15" hidden="false" customHeight="true" outlineLevel="0" collapsed="false">
      <c r="A50" s="373" t="str">
        <f aca="false">Projects!$A$43</f>
        <v>BD-27</v>
      </c>
      <c r="B50" s="365"/>
      <c r="C50" s="374" t="str">
        <f aca="false">Projects!$F$43</f>
        <v>No</v>
      </c>
      <c r="D50" s="374" t="str">
        <f aca="false">Projects!$G$43</f>
        <v>No</v>
      </c>
      <c r="E50" s="367"/>
      <c r="F50" s="375" t="n">
        <f aca="false">IF($E50&lt;&gt;"",$E50,Projects!$B$43)</f>
        <v>15000000</v>
      </c>
      <c r="G50" s="365"/>
      <c r="H50" s="376" t="n">
        <f aca="false">IF($G50&lt;&gt;"",$G50,Projects!$C$43)</f>
        <v>76</v>
      </c>
      <c r="I50" s="370"/>
      <c r="J50" s="367"/>
      <c r="K50" s="365"/>
      <c r="L50" s="367"/>
      <c r="M50" s="365"/>
      <c r="N50" s="370"/>
      <c r="O50" s="367"/>
      <c r="P50" s="365"/>
      <c r="Q50" s="367"/>
      <c r="R50" s="365"/>
      <c r="S50" s="376" t="n">
        <f aca="false">IF(AND($C50="Yes",$D50="Yes"),1,0)</f>
        <v>0</v>
      </c>
      <c r="T50" s="375" t="n">
        <f aca="false">$S50*IF($J50&lt;&gt;"",$J50,$F50*IF($I50&lt;&gt;"",$I50,$C$4)/(1+IF($I50&lt;&gt;"",$I50,$C$4)))</f>
        <v>0</v>
      </c>
      <c r="U50" s="375" t="n">
        <f aca="false">$S50*IF($L50&lt;&gt;"",$L50,$F50*$C$5)</f>
        <v>0</v>
      </c>
      <c r="V50" s="375" t="n">
        <f aca="false">$S50*$F50*IF($N50&lt;&gt;"",$N50,$C$6)</f>
        <v>0</v>
      </c>
      <c r="W50" s="375" t="n">
        <f aca="false">MAX(0,$V50-$U50)</f>
        <v>0</v>
      </c>
      <c r="X50" s="376" t="n">
        <f aca="false">IF($B50&lt;&gt;"",$B50,100+$H50)</f>
        <v>176</v>
      </c>
      <c r="Y50" s="375" t="n">
        <f aca="false">$S50*MAX(0,MIN($W50,$C$7-SUMIFS($W$11:$W$54,$X$11:$X$54,"&lt;"&amp;$X50)))</f>
        <v>0</v>
      </c>
      <c r="Z50" s="375" t="n">
        <f aca="false">$W50-$Y50</f>
        <v>0</v>
      </c>
      <c r="AA50" s="377" t="n">
        <f aca="false">$S50*($T50-$U50-$Z50)</f>
        <v>0</v>
      </c>
      <c r="AB50" s="377" t="n">
        <f aca="false">$S50*($T50-$U50)</f>
        <v>0</v>
      </c>
      <c r="AC50" s="375" t="n">
        <f aca="false">IF(AND($S50=1,$H50&lt;=$C$8),$Z50-N($O50),0)</f>
        <v>0</v>
      </c>
      <c r="AD50" s="378"/>
    </row>
    <row r="51" customFormat="false" ht="15" hidden="false" customHeight="true" outlineLevel="0" collapsed="false">
      <c r="A51" s="364" t="str">
        <f aca="false">Projects!$A$44</f>
        <v>BD-28</v>
      </c>
      <c r="B51" s="365"/>
      <c r="C51" s="366" t="str">
        <f aca="false">Projects!$F$44</f>
        <v>No</v>
      </c>
      <c r="D51" s="366" t="str">
        <f aca="false">Projects!$G$44</f>
        <v>No</v>
      </c>
      <c r="E51" s="367"/>
      <c r="F51" s="368" t="n">
        <f aca="false">IF($E51&lt;&gt;"",$E51,Projects!$B$44)</f>
        <v>15000000</v>
      </c>
      <c r="G51" s="365"/>
      <c r="H51" s="369" t="n">
        <f aca="false">IF($G51&lt;&gt;"",$G51,Projects!$C$44)</f>
        <v>78</v>
      </c>
      <c r="I51" s="370"/>
      <c r="J51" s="367"/>
      <c r="K51" s="365"/>
      <c r="L51" s="367"/>
      <c r="M51" s="365"/>
      <c r="N51" s="370"/>
      <c r="O51" s="367"/>
      <c r="P51" s="365"/>
      <c r="Q51" s="367"/>
      <c r="R51" s="365"/>
      <c r="S51" s="369" t="n">
        <f aca="false">IF(AND($C51="Yes",$D51="Yes"),1,0)</f>
        <v>0</v>
      </c>
      <c r="T51" s="368" t="n">
        <f aca="false">$S51*IF($J51&lt;&gt;"",$J51,$F51*IF($I51&lt;&gt;"",$I51,$C$4)/(1+IF($I51&lt;&gt;"",$I51,$C$4)))</f>
        <v>0</v>
      </c>
      <c r="U51" s="368" t="n">
        <f aca="false">$S51*IF($L51&lt;&gt;"",$L51,$F51*$C$5)</f>
        <v>0</v>
      </c>
      <c r="V51" s="368" t="n">
        <f aca="false">$S51*$F51*IF($N51&lt;&gt;"",$N51,$C$6)</f>
        <v>0</v>
      </c>
      <c r="W51" s="368" t="n">
        <f aca="false">MAX(0,$V51-$U51)</f>
        <v>0</v>
      </c>
      <c r="X51" s="369" t="n">
        <f aca="false">IF($B51&lt;&gt;"",$B51,100+$H51)</f>
        <v>178</v>
      </c>
      <c r="Y51" s="368" t="n">
        <f aca="false">$S51*MAX(0,MIN($W51,$C$7-SUMIFS($W$11:$W$54,$X$11:$X$54,"&lt;"&amp;$X51)))</f>
        <v>0</v>
      </c>
      <c r="Z51" s="368" t="n">
        <f aca="false">$W51-$Y51</f>
        <v>0</v>
      </c>
      <c r="AA51" s="371" t="n">
        <f aca="false">$S51*($T51-$U51-$Z51)</f>
        <v>0</v>
      </c>
      <c r="AB51" s="371" t="n">
        <f aca="false">$S51*($T51-$U51)</f>
        <v>0</v>
      </c>
      <c r="AC51" s="368" t="n">
        <f aca="false">IF(AND($S51=1,$H51&lt;=$C$8),$Z51-N($O51),0)</f>
        <v>0</v>
      </c>
      <c r="AD51" s="372"/>
    </row>
    <row r="52" customFormat="false" ht="15" hidden="false" customHeight="true" outlineLevel="0" collapsed="false">
      <c r="A52" s="373" t="str">
        <f aca="false">Projects!$A$45</f>
        <v>BD-29</v>
      </c>
      <c r="B52" s="365"/>
      <c r="C52" s="374" t="str">
        <f aca="false">Projects!$F$45</f>
        <v>No</v>
      </c>
      <c r="D52" s="374" t="str">
        <f aca="false">Projects!$G$45</f>
        <v>No</v>
      </c>
      <c r="E52" s="367"/>
      <c r="F52" s="375" t="n">
        <f aca="false">IF($E52&lt;&gt;"",$E52,Projects!$B$45)</f>
        <v>18000000</v>
      </c>
      <c r="G52" s="365"/>
      <c r="H52" s="376" t="n">
        <f aca="false">IF($G52&lt;&gt;"",$G52,Projects!$C$45)</f>
        <v>80</v>
      </c>
      <c r="I52" s="370"/>
      <c r="J52" s="367"/>
      <c r="K52" s="365"/>
      <c r="L52" s="367"/>
      <c r="M52" s="365"/>
      <c r="N52" s="370"/>
      <c r="O52" s="367"/>
      <c r="P52" s="365"/>
      <c r="Q52" s="367"/>
      <c r="R52" s="365"/>
      <c r="S52" s="376" t="n">
        <f aca="false">IF(AND($C52="Yes",$D52="Yes"),1,0)</f>
        <v>0</v>
      </c>
      <c r="T52" s="375" t="n">
        <f aca="false">$S52*IF($J52&lt;&gt;"",$J52,$F52*IF($I52&lt;&gt;"",$I52,$C$4)/(1+IF($I52&lt;&gt;"",$I52,$C$4)))</f>
        <v>0</v>
      </c>
      <c r="U52" s="375" t="n">
        <f aca="false">$S52*IF($L52&lt;&gt;"",$L52,$F52*$C$5)</f>
        <v>0</v>
      </c>
      <c r="V52" s="375" t="n">
        <f aca="false">$S52*$F52*IF($N52&lt;&gt;"",$N52,$C$6)</f>
        <v>0</v>
      </c>
      <c r="W52" s="375" t="n">
        <f aca="false">MAX(0,$V52-$U52)</f>
        <v>0</v>
      </c>
      <c r="X52" s="376" t="n">
        <f aca="false">IF($B52&lt;&gt;"",$B52,100+$H52)</f>
        <v>180</v>
      </c>
      <c r="Y52" s="375" t="n">
        <f aca="false">$S52*MAX(0,MIN($W52,$C$7-SUMIFS($W$11:$W$54,$X$11:$X$54,"&lt;"&amp;$X52)))</f>
        <v>0</v>
      </c>
      <c r="Z52" s="375" t="n">
        <f aca="false">$W52-$Y52</f>
        <v>0</v>
      </c>
      <c r="AA52" s="377" t="n">
        <f aca="false">$S52*($T52-$U52-$Z52)</f>
        <v>0</v>
      </c>
      <c r="AB52" s="377" t="n">
        <f aca="false">$S52*($T52-$U52)</f>
        <v>0</v>
      </c>
      <c r="AC52" s="375" t="n">
        <f aca="false">IF(AND($S52=1,$H52&lt;=$C$8),$Z52-N($O52),0)</f>
        <v>0</v>
      </c>
      <c r="AD52" s="378"/>
    </row>
    <row r="53" customFormat="false" ht="15" hidden="false" customHeight="true" outlineLevel="0" collapsed="false">
      <c r="A53" s="364" t="str">
        <f aca="false">Projects!$A$46</f>
        <v>BD-30</v>
      </c>
      <c r="B53" s="365"/>
      <c r="C53" s="366" t="str">
        <f aca="false">Projects!$F$46</f>
        <v>Yes</v>
      </c>
      <c r="D53" s="366" t="str">
        <f aca="false">Projects!$G$46</f>
        <v>No</v>
      </c>
      <c r="E53" s="367"/>
      <c r="F53" s="368" t="n">
        <f aca="false">IF($E53&lt;&gt;"",$E53,Projects!$B$46)</f>
        <v>15000000</v>
      </c>
      <c r="G53" s="365"/>
      <c r="H53" s="369" t="n">
        <f aca="false">IF($G53&lt;&gt;"",$G53,Projects!$C$46)</f>
        <v>82</v>
      </c>
      <c r="I53" s="370"/>
      <c r="J53" s="367"/>
      <c r="K53" s="365"/>
      <c r="L53" s="367"/>
      <c r="M53" s="365"/>
      <c r="N53" s="370"/>
      <c r="O53" s="367"/>
      <c r="P53" s="365"/>
      <c r="Q53" s="367"/>
      <c r="R53" s="365"/>
      <c r="S53" s="369" t="n">
        <f aca="false">IF(AND($C53="Yes",$D53="Yes"),1,0)</f>
        <v>0</v>
      </c>
      <c r="T53" s="368" t="n">
        <f aca="false">$S53*IF($J53&lt;&gt;"",$J53,$F53*IF($I53&lt;&gt;"",$I53,$C$4)/(1+IF($I53&lt;&gt;"",$I53,$C$4)))</f>
        <v>0</v>
      </c>
      <c r="U53" s="368" t="n">
        <f aca="false">$S53*IF($L53&lt;&gt;"",$L53,$F53*$C$5)</f>
        <v>0</v>
      </c>
      <c r="V53" s="368" t="n">
        <f aca="false">$S53*$F53*IF($N53&lt;&gt;"",$N53,$C$6)</f>
        <v>0</v>
      </c>
      <c r="W53" s="368" t="n">
        <f aca="false">MAX(0,$V53-$U53)</f>
        <v>0</v>
      </c>
      <c r="X53" s="369" t="n">
        <f aca="false">IF($B53&lt;&gt;"",$B53,100+$H53)</f>
        <v>182</v>
      </c>
      <c r="Y53" s="368" t="n">
        <f aca="false">$S53*MAX(0,MIN($W53,$C$7-SUMIFS($W$11:$W$54,$X$11:$X$54,"&lt;"&amp;$X53)))</f>
        <v>0</v>
      </c>
      <c r="Z53" s="368" t="n">
        <f aca="false">$W53-$Y53</f>
        <v>0</v>
      </c>
      <c r="AA53" s="371" t="n">
        <f aca="false">$S53*($T53-$U53-$Z53)</f>
        <v>0</v>
      </c>
      <c r="AB53" s="371" t="n">
        <f aca="false">$S53*($T53-$U53)</f>
        <v>0</v>
      </c>
      <c r="AC53" s="368" t="n">
        <f aca="false">IF(AND($S53=1,$H53&lt;=$C$8),$Z53-N($O53),0)</f>
        <v>0</v>
      </c>
      <c r="AD53" s="372"/>
    </row>
    <row r="54" customFormat="false" ht="15" hidden="false" customHeight="true" outlineLevel="0" collapsed="false">
      <c r="A54" s="373" t="s">
        <v>50</v>
      </c>
      <c r="B54" s="365"/>
      <c r="C54" s="374" t="s">
        <v>580</v>
      </c>
      <c r="D54" s="374" t="s">
        <v>580</v>
      </c>
      <c r="E54" s="367"/>
      <c r="F54" s="375" t="n">
        <v>0</v>
      </c>
      <c r="G54" s="365"/>
      <c r="H54" s="376" t="n">
        <v>0</v>
      </c>
      <c r="I54" s="370"/>
      <c r="J54" s="367"/>
      <c r="K54" s="365"/>
      <c r="L54" s="367"/>
      <c r="M54" s="365"/>
      <c r="N54" s="370"/>
      <c r="O54" s="367"/>
      <c r="P54" s="365"/>
      <c r="Q54" s="367"/>
      <c r="R54" s="365"/>
      <c r="S54" s="376" t="n">
        <f aca="false">IF(AND($C54="Yes",$D54="Yes"),1,0)</f>
        <v>0</v>
      </c>
      <c r="T54" s="375" t="n">
        <f aca="false">$S54*IF($J54&lt;&gt;"",$J54,$F54*IF($I54&lt;&gt;"",$I54,$C$4)/(1+IF($I54&lt;&gt;"",$I54,$C$4)))</f>
        <v>0</v>
      </c>
      <c r="U54" s="375" t="n">
        <f aca="false">$S54*IF($L54&lt;&gt;"",$L54,$F54*$C$5)</f>
        <v>0</v>
      </c>
      <c r="V54" s="375" t="n">
        <f aca="false">$S54*$F54*IF($N54&lt;&gt;"",$N54,$C$6)</f>
        <v>0</v>
      </c>
      <c r="W54" s="375" t="n">
        <f aca="false">MAX(0,$V54-$U54)</f>
        <v>0</v>
      </c>
      <c r="X54" s="376" t="n">
        <f aca="false">IF($B54&lt;&gt;"",$B54,100+$H54)</f>
        <v>100</v>
      </c>
      <c r="Y54" s="375" t="n">
        <f aca="false">$S54*MAX(0,MIN($W54,$C$7-SUMIFS($W$11:$W$54,$X$11:$X$54,"&lt;"&amp;$X54)))</f>
        <v>0</v>
      </c>
      <c r="Z54" s="375" t="n">
        <f aca="false">$W54-$Y54</f>
        <v>0</v>
      </c>
      <c r="AA54" s="377" t="n">
        <f aca="false">$S54*($T54-$U54-$Z54)</f>
        <v>0</v>
      </c>
      <c r="AB54" s="377" t="n">
        <f aca="false">$S54*($T54-$U54)</f>
        <v>0</v>
      </c>
      <c r="AC54" s="375" t="n">
        <f aca="false">IF(AND($S54=1,$H54&lt;=$C$8),$Z54-N($O54),0)</f>
        <v>0</v>
      </c>
      <c r="AD54" s="378"/>
    </row>
    <row r="56" customFormat="false" ht="15.75" hidden="false" customHeight="true" outlineLevel="0" collapsed="false">
      <c r="A56" s="379" t="s">
        <v>484</v>
      </c>
      <c r="B56" s="380"/>
      <c r="C56" s="380"/>
      <c r="D56" s="380"/>
      <c r="E56" s="380"/>
      <c r="F56" s="380"/>
      <c r="G56" s="380"/>
      <c r="H56" s="380"/>
      <c r="I56" s="380"/>
      <c r="J56" s="380"/>
      <c r="K56" s="380"/>
      <c r="L56" s="380"/>
      <c r="M56" s="380"/>
      <c r="N56" s="380"/>
      <c r="O56" s="380"/>
      <c r="P56" s="380"/>
      <c r="Q56" s="380"/>
      <c r="R56" s="380"/>
      <c r="S56" s="380"/>
      <c r="T56" s="380" t="n">
        <f aca="false">SUM(T11:T54)</f>
        <v>4123096.81157636</v>
      </c>
      <c r="U56" s="380" t="n">
        <f aca="false">SUM(U11:U54)</f>
        <v>1936240.16048316</v>
      </c>
      <c r="V56" s="380" t="n">
        <f aca="false">SUM(V11:V54)</f>
        <v>8612858.210125</v>
      </c>
      <c r="W56" s="380" t="n">
        <f aca="false">SUM(W11:W54)</f>
        <v>6676618.04964184</v>
      </c>
      <c r="X56" s="380"/>
      <c r="Y56" s="380" t="n">
        <f aca="false">SUM(Y11:Y54)</f>
        <v>1800000</v>
      </c>
      <c r="Z56" s="381" t="n">
        <f aca="false">SUM(Z11:Z54)</f>
        <v>4876618.04964184</v>
      </c>
      <c r="AA56" s="381" t="n">
        <f aca="false">SUM(AA11:AA54)</f>
        <v>-2689761.39854865</v>
      </c>
      <c r="AB56" s="381" t="n">
        <f aca="false">SUM(AB11:AB54)</f>
        <v>2186856.65109319</v>
      </c>
      <c r="AC56" s="381" t="n">
        <f aca="false">SUM(AC11:AC54)</f>
        <v>692876.895125</v>
      </c>
      <c r="AD56" s="380"/>
    </row>
    <row r="57" customFormat="false" ht="15" hidden="false" customHeight="true" outlineLevel="0" collapsed="false">
      <c r="A57" s="118" t="s">
        <v>1273</v>
      </c>
      <c r="C57" s="382" t="str">
        <f aca="false">IF(Y56&lt;=$C$7+0.5,"OK","OVER CAP")</f>
        <v>OK</v>
      </c>
      <c r="D57" s="357" t="s">
        <v>1274</v>
      </c>
    </row>
    <row r="58" customFormat="false" ht="15" hidden="false" customHeight="true" outlineLevel="0" collapsed="false">
      <c r="A58" s="118" t="s">
        <v>1273</v>
      </c>
      <c r="C58" s="382" t="str">
        <f aca="false">IF(ABS(SUM(Model!$B$150:$DE$150)-SUMPRODUCT((H11:H54&gt;=-2)*(H11:H54&lt;=105)*T11:T54))&lt;1,"OK","CHECK")</f>
        <v>OK</v>
      </c>
      <c r="D58" s="357" t="s">
        <v>1275</v>
      </c>
    </row>
    <row r="60" customFormat="false" ht="15" hidden="false" customHeight="true" outlineLevel="0" collapsed="false">
      <c r="A60" s="383" t="s">
        <v>1276</v>
      </c>
    </row>
    <row r="61" customFormat="false" ht="15" hidden="false" customHeight="true" outlineLevel="0" collapsed="false">
      <c r="A61" s="357" t="s">
        <v>1277</v>
      </c>
    </row>
    <row r="62" customFormat="false" ht="15" hidden="false" customHeight="true" outlineLevel="0" collapsed="false">
      <c r="A62" s="357" t="s">
        <v>1278</v>
      </c>
    </row>
    <row r="63" customFormat="false" ht="15" hidden="false" customHeight="true" outlineLevel="0" collapsed="false">
      <c r="A63" s="357" t="s">
        <v>1279</v>
      </c>
    </row>
    <row r="64" customFormat="false" ht="15" hidden="false" customHeight="true" outlineLevel="0" collapsed="false">
      <c r="A64" s="357" t="s">
        <v>1280</v>
      </c>
    </row>
    <row r="65" customFormat="false" ht="15" hidden="false" customHeight="true" outlineLevel="0" collapsed="false">
      <c r="A65" s="357" t="s">
        <v>1281</v>
      </c>
    </row>
    <row r="66" customFormat="false" ht="15" hidden="false" customHeight="true" outlineLevel="0" collapsed="false">
      <c r="A66" s="357" t="s">
        <v>1282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1283</v>
      </c>
    </row>
    <row r="3" customFormat="false" ht="15" hidden="false" customHeight="true" outlineLevel="0" collapsed="false">
      <c r="B3" s="385" t="s">
        <v>1284</v>
      </c>
    </row>
    <row r="5" customFormat="false" ht="15" hidden="false" customHeight="true" outlineLevel="0" collapsed="false">
      <c r="B5" s="386" t="s">
        <v>1285</v>
      </c>
      <c r="C5" s="387" t="s">
        <v>1286</v>
      </c>
    </row>
    <row r="6" customFormat="false" ht="24.75" hidden="false" customHeight="true" outlineLevel="0" collapsed="false">
      <c r="B6" s="386" t="s">
        <v>1287</v>
      </c>
      <c r="C6" s="387" t="s">
        <v>1288</v>
      </c>
    </row>
    <row r="7" customFormat="false" ht="24.75" hidden="false" customHeight="true" outlineLevel="0" collapsed="false">
      <c r="B7" s="386" t="s">
        <v>1289</v>
      </c>
      <c r="C7" s="387" t="s">
        <v>1290</v>
      </c>
    </row>
    <row r="8" customFormat="false" ht="24.75" hidden="false" customHeight="true" outlineLevel="0" collapsed="false">
      <c r="B8" s="386" t="s">
        <v>1291</v>
      </c>
      <c r="C8" s="387" t="s">
        <v>1292</v>
      </c>
    </row>
    <row r="9" customFormat="false" ht="15" hidden="false" customHeight="true" outlineLevel="0" collapsed="false">
      <c r="B9" s="386" t="s">
        <v>1293</v>
      </c>
      <c r="C9" s="387" t="s">
        <v>1294</v>
      </c>
    </row>
    <row r="10" customFormat="false" ht="15" hidden="false" customHeight="true" outlineLevel="0" collapsed="false">
      <c r="B10" s="386" t="s">
        <v>1295</v>
      </c>
      <c r="C10" s="387" t="s">
        <v>1296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88" t="s">
        <v>1297</v>
      </c>
    </row>
    <row r="2" customFormat="false" ht="15" hidden="false" customHeight="true" outlineLevel="0" collapsed="false">
      <c r="A2" s="389" t="s">
        <v>1298</v>
      </c>
    </row>
    <row r="3" customFormat="false" ht="15" hidden="false" customHeight="true" outlineLevel="0" collapsed="false">
      <c r="A3" s="390" t="s">
        <v>1299</v>
      </c>
      <c r="B3" s="391" t="s">
        <v>581</v>
      </c>
    </row>
    <row r="5" customFormat="false" ht="15" hidden="false" customHeight="true" outlineLevel="0" collapsed="false">
      <c r="A5" s="392" t="s">
        <v>1300</v>
      </c>
      <c r="B5" s="392" t="s">
        <v>1301</v>
      </c>
      <c r="C5" s="392" t="s">
        <v>626</v>
      </c>
    </row>
    <row r="6" customFormat="false" ht="15" hidden="false" customHeight="true" outlineLevel="0" collapsed="false">
      <c r="A6" s="393" t="s">
        <v>1302</v>
      </c>
      <c r="B6" s="394" t="n">
        <v>46204</v>
      </c>
      <c r="C6" s="395" t="s">
        <v>1303</v>
      </c>
    </row>
    <row r="7" customFormat="false" ht="15" hidden="false" customHeight="true" outlineLevel="0" collapsed="false">
      <c r="A7" s="393" t="s">
        <v>1304</v>
      </c>
      <c r="B7" s="396" t="n">
        <v>150000</v>
      </c>
      <c r="C7" s="395" t="s">
        <v>1305</v>
      </c>
    </row>
    <row r="8" customFormat="false" ht="15" hidden="false" customHeight="true" outlineLevel="0" collapsed="false">
      <c r="A8" s="393" t="s">
        <v>1306</v>
      </c>
      <c r="B8" s="396" t="n">
        <v>225000</v>
      </c>
      <c r="C8" s="395" t="s">
        <v>1307</v>
      </c>
    </row>
    <row r="9" customFormat="false" ht="15" hidden="false" customHeight="true" outlineLevel="0" collapsed="false">
      <c r="A9" s="393" t="s">
        <v>1308</v>
      </c>
      <c r="B9" s="397" t="n">
        <f aca="false">'APA Inputs'!$C$25</f>
        <v>46539</v>
      </c>
      <c r="C9" s="395" t="s">
        <v>1309</v>
      </c>
    </row>
    <row r="10" customFormat="false" ht="15" hidden="false" customHeight="true" outlineLevel="0" collapsed="false">
      <c r="A10" s="393" t="s">
        <v>1310</v>
      </c>
      <c r="B10" s="396" t="n">
        <v>25000</v>
      </c>
      <c r="C10" s="395" t="s">
        <v>1311</v>
      </c>
    </row>
    <row r="11" customFormat="false" ht="15" hidden="false" customHeight="true" outlineLevel="0" collapsed="false">
      <c r="A11" s="393" t="s">
        <v>1312</v>
      </c>
      <c r="B11" s="398" t="n">
        <v>0.03</v>
      </c>
      <c r="C11" s="395" t="s">
        <v>1313</v>
      </c>
    </row>
    <row r="12" customFormat="false" ht="15" hidden="false" customHeight="true" outlineLevel="0" collapsed="false">
      <c r="A12" s="393" t="s">
        <v>1314</v>
      </c>
      <c r="B12" s="398" t="n">
        <v>0.03</v>
      </c>
      <c r="C12" s="395" t="s">
        <v>1315</v>
      </c>
    </row>
    <row r="13" customFormat="false" ht="15" hidden="false" customHeight="true" outlineLevel="0" collapsed="false">
      <c r="A13" s="393" t="s">
        <v>1316</v>
      </c>
      <c r="B13" s="398" t="n">
        <v>0.5</v>
      </c>
      <c r="C13" s="395" t="s">
        <v>1317</v>
      </c>
    </row>
    <row r="14" customFormat="false" ht="15" hidden="false" customHeight="true" outlineLevel="0" collapsed="false">
      <c r="A14" s="393" t="s">
        <v>1318</v>
      </c>
      <c r="B14" s="398" t="n">
        <v>0.5</v>
      </c>
      <c r="C14" s="395" t="s">
        <v>1319</v>
      </c>
    </row>
    <row r="15" customFormat="false" ht="15" hidden="false" customHeight="true" outlineLevel="0" collapsed="false">
      <c r="A15" s="393" t="s">
        <v>1320</v>
      </c>
      <c r="B15" s="398" t="n">
        <v>0.21</v>
      </c>
      <c r="C15" s="395" t="s">
        <v>1321</v>
      </c>
    </row>
    <row r="16" customFormat="false" ht="15" hidden="false" customHeight="true" outlineLevel="0" collapsed="false">
      <c r="A16" s="393" t="s">
        <v>1322</v>
      </c>
      <c r="B16" s="399" t="n">
        <v>0.0884</v>
      </c>
      <c r="C16" s="395" t="s">
        <v>1323</v>
      </c>
    </row>
    <row r="17" customFormat="false" ht="15" hidden="false" customHeight="true" outlineLevel="0" collapsed="false">
      <c r="A17" s="393" t="s">
        <v>1324</v>
      </c>
      <c r="B17" s="396" t="n">
        <v>800</v>
      </c>
      <c r="C17" s="395" t="s">
        <v>1325</v>
      </c>
    </row>
    <row r="18" customFormat="false" ht="15" hidden="false" customHeight="true" outlineLevel="0" collapsed="false">
      <c r="A18" s="393" t="s">
        <v>1326</v>
      </c>
      <c r="B18" s="400" t="n">
        <v>3</v>
      </c>
      <c r="C18" s="395" t="s">
        <v>1327</v>
      </c>
    </row>
    <row r="20" customFormat="false" ht="15" hidden="false" customHeight="true" outlineLevel="0" collapsed="false">
      <c r="A20" s="392" t="s">
        <v>1328</v>
      </c>
    </row>
    <row r="21" customFormat="false" ht="36.75" hidden="false" customHeight="true" outlineLevel="0" collapsed="false">
      <c r="A21" s="174" t="s">
        <v>1329</v>
      </c>
      <c r="B21" s="174" t="s">
        <v>624</v>
      </c>
      <c r="C21" s="174" t="s">
        <v>1330</v>
      </c>
      <c r="D21" s="174" t="s">
        <v>1331</v>
      </c>
      <c r="E21" s="174" t="s">
        <v>1332</v>
      </c>
      <c r="F21" s="174" t="s">
        <v>1333</v>
      </c>
      <c r="G21" s="174" t="s">
        <v>1334</v>
      </c>
      <c r="H21" s="174" t="s">
        <v>1335</v>
      </c>
      <c r="I21" s="174" t="s">
        <v>1336</v>
      </c>
      <c r="J21" s="174" t="s">
        <v>1337</v>
      </c>
      <c r="K21" s="174" t="s">
        <v>1338</v>
      </c>
    </row>
    <row r="22" customFormat="false" ht="15" hidden="false" customHeight="true" outlineLevel="0" collapsed="false">
      <c r="A22" s="401" t="s">
        <v>18</v>
      </c>
      <c r="B22" s="393" t="s">
        <v>1339</v>
      </c>
      <c r="C22" s="394" t="n">
        <v>46204</v>
      </c>
      <c r="D22" s="400" t="n">
        <v>24</v>
      </c>
      <c r="E22" s="396" t="n">
        <v>240000</v>
      </c>
      <c r="F22" s="402"/>
      <c r="G22" s="396"/>
      <c r="H22" s="400"/>
      <c r="I22" s="403" t="n">
        <v>1</v>
      </c>
      <c r="J22" s="404" t="n">
        <f aca="false">IF(N(D22)&gt;0,N(E22)/D22,0)+N(F22)</f>
        <v>10000</v>
      </c>
      <c r="K22" s="405" t="n">
        <f aca="false">(J22*N(D22)+N(G22))*IF(I22="",1,I22)</f>
        <v>240000</v>
      </c>
    </row>
    <row r="23" customFormat="false" ht="15" hidden="false" customHeight="true" outlineLevel="0" collapsed="false">
      <c r="A23" s="401" t="s">
        <v>12</v>
      </c>
      <c r="B23" s="393" t="s">
        <v>1339</v>
      </c>
      <c r="C23" s="394" t="n">
        <v>46235</v>
      </c>
      <c r="D23" s="400" t="n">
        <v>24</v>
      </c>
      <c r="E23" s="396"/>
      <c r="F23" s="402" t="n">
        <v>4166.66</v>
      </c>
      <c r="G23" s="396" t="n">
        <v>25725</v>
      </c>
      <c r="H23" s="400" t="n">
        <v>12</v>
      </c>
      <c r="I23" s="403" t="n">
        <v>1</v>
      </c>
      <c r="J23" s="404" t="n">
        <f aca="false">IF(N(D23)&gt;0,N(E23)/D23,0)+N(F23)</f>
        <v>4166.66</v>
      </c>
      <c r="K23" s="405" t="n">
        <f aca="false">(J23*N(D23)+N(G23))*IF(I23="",1,I23)</f>
        <v>125724.84</v>
      </c>
    </row>
    <row r="24" customFormat="false" ht="15" hidden="false" customHeight="true" outlineLevel="0" collapsed="false">
      <c r="A24" s="401" t="s">
        <v>8</v>
      </c>
      <c r="B24" s="393" t="s">
        <v>1339</v>
      </c>
      <c r="C24" s="394" t="n">
        <v>46266</v>
      </c>
      <c r="D24" s="400" t="n">
        <v>12</v>
      </c>
      <c r="E24" s="396"/>
      <c r="F24" s="402" t="n">
        <v>3332.72</v>
      </c>
      <c r="G24" s="396"/>
      <c r="H24" s="400"/>
      <c r="I24" s="403" t="n">
        <v>1</v>
      </c>
      <c r="J24" s="404" t="n">
        <f aca="false">IF(N(D24)&gt;0,N(E24)/D24,0)+N(F24)</f>
        <v>3332.72</v>
      </c>
      <c r="K24" s="405" t="n">
        <f aca="false">(J24*N(D24)+N(G24))*IF(I24="",1,I24)</f>
        <v>39992.64</v>
      </c>
    </row>
    <row r="25" customFormat="false" ht="15" hidden="false" customHeight="true" outlineLevel="0" collapsed="false">
      <c r="A25" s="401" t="s">
        <v>1073</v>
      </c>
      <c r="B25" s="393" t="s">
        <v>1339</v>
      </c>
      <c r="C25" s="394" t="n">
        <v>46539</v>
      </c>
      <c r="D25" s="400" t="n">
        <v>18</v>
      </c>
      <c r="E25" s="396" t="n">
        <v>700000</v>
      </c>
      <c r="F25" s="402"/>
      <c r="G25" s="396"/>
      <c r="H25" s="400"/>
      <c r="I25" s="403" t="n">
        <v>1</v>
      </c>
      <c r="J25" s="404" t="n">
        <f aca="false">IF(N(D25)&gt;0,N(E25)/D25,0)+N(F25)</f>
        <v>38888.8888888889</v>
      </c>
      <c r="K25" s="405" t="n">
        <f aca="false">(J25*N(D25)+N(G25))*IF(I25="",1,I25)</f>
        <v>700000</v>
      </c>
    </row>
    <row r="26" customFormat="false" ht="15" hidden="false" customHeight="true" outlineLevel="0" collapsed="false">
      <c r="A26" s="406" t="s">
        <v>1340</v>
      </c>
      <c r="B26" s="393" t="s">
        <v>1341</v>
      </c>
      <c r="C26" s="394"/>
      <c r="D26" s="400"/>
      <c r="E26" s="396"/>
      <c r="F26" s="402"/>
      <c r="G26" s="396"/>
      <c r="H26" s="400"/>
      <c r="I26" s="403"/>
      <c r="J26" s="404" t="n">
        <f aca="false">IF(N(D26)&gt;0,N(E26)/D26,0)+N(F26)</f>
        <v>0</v>
      </c>
      <c r="K26" s="405" t="n">
        <f aca="false">(J26*N(D26)+N(G26))*IF(I26="",1,I26)</f>
        <v>0</v>
      </c>
    </row>
    <row r="27" customFormat="false" ht="15" hidden="false" customHeight="true" outlineLevel="0" collapsed="false">
      <c r="A27" s="406" t="s">
        <v>1342</v>
      </c>
      <c r="B27" s="393" t="s">
        <v>1341</v>
      </c>
      <c r="C27" s="394"/>
      <c r="D27" s="400"/>
      <c r="E27" s="396"/>
      <c r="F27" s="402"/>
      <c r="G27" s="396"/>
      <c r="H27" s="400"/>
      <c r="I27" s="403"/>
      <c r="J27" s="404" t="n">
        <f aca="false">IF(N(D27)&gt;0,N(E27)/D27,0)+N(F27)</f>
        <v>0</v>
      </c>
      <c r="K27" s="405" t="n">
        <f aca="false">(J27*N(D27)+N(G27))*IF(I27="",1,I27)</f>
        <v>0</v>
      </c>
    </row>
    <row r="28" customFormat="false" ht="15" hidden="false" customHeight="true" outlineLevel="0" collapsed="false">
      <c r="A28" s="406" t="s">
        <v>1343</v>
      </c>
      <c r="B28" s="393" t="s">
        <v>1341</v>
      </c>
      <c r="C28" s="394"/>
      <c r="D28" s="400"/>
      <c r="E28" s="396"/>
      <c r="F28" s="402"/>
      <c r="G28" s="396"/>
      <c r="H28" s="400"/>
      <c r="I28" s="403"/>
      <c r="J28" s="404" t="n">
        <f aca="false">IF(N(D28)&gt;0,N(E28)/D28,0)+N(F28)</f>
        <v>0</v>
      </c>
      <c r="K28" s="405" t="n">
        <f aca="false">(J28*N(D28)+N(G28))*IF(I28="",1,I28)</f>
        <v>0</v>
      </c>
    </row>
    <row r="29" customFormat="false" ht="15" hidden="false" customHeight="true" outlineLevel="0" collapsed="false">
      <c r="A29" s="406" t="s">
        <v>1344</v>
      </c>
      <c r="B29" s="393" t="s">
        <v>1341</v>
      </c>
      <c r="C29" s="394"/>
      <c r="D29" s="400"/>
      <c r="E29" s="396"/>
      <c r="F29" s="402"/>
      <c r="G29" s="396"/>
      <c r="H29" s="400"/>
      <c r="I29" s="403"/>
      <c r="J29" s="404" t="n">
        <f aca="false">IF(N(D29)&gt;0,N(E29)/D29,0)+N(F29)</f>
        <v>0</v>
      </c>
      <c r="K29" s="405" t="n">
        <f aca="false">(J29*N(D29)+N(G29))*IF(I29="",1,I29)</f>
        <v>0</v>
      </c>
    </row>
    <row r="30" customFormat="false" ht="15" hidden="false" customHeight="true" outlineLevel="0" collapsed="false">
      <c r="A30" s="406" t="s">
        <v>1345</v>
      </c>
      <c r="B30" s="393" t="s">
        <v>1341</v>
      </c>
      <c r="C30" s="394"/>
      <c r="D30" s="400"/>
      <c r="E30" s="396"/>
      <c r="F30" s="402"/>
      <c r="G30" s="396"/>
      <c r="H30" s="400"/>
      <c r="I30" s="403"/>
      <c r="J30" s="404" t="n">
        <f aca="false">IF(N(D30)&gt;0,N(E30)/D30,0)+N(F30)</f>
        <v>0</v>
      </c>
      <c r="K30" s="405" t="n">
        <f aca="false">(J30*N(D30)+N(G30))*IF(I30="",1,I30)</f>
        <v>0</v>
      </c>
    </row>
    <row r="31" customFormat="false" ht="15" hidden="false" customHeight="true" outlineLevel="0" collapsed="false">
      <c r="A31" s="406" t="s">
        <v>1346</v>
      </c>
      <c r="B31" s="393" t="s">
        <v>1341</v>
      </c>
      <c r="C31" s="394"/>
      <c r="D31" s="400"/>
      <c r="E31" s="396"/>
      <c r="F31" s="402"/>
      <c r="G31" s="396"/>
      <c r="H31" s="400"/>
      <c r="I31" s="403"/>
      <c r="J31" s="404" t="n">
        <f aca="false">IF(N(D31)&gt;0,N(E31)/D31,0)+N(F31)</f>
        <v>0</v>
      </c>
      <c r="K31" s="405" t="n">
        <f aca="false">(J31*N(D31)+N(G31))*IF(I31="",1,I31)</f>
        <v>0</v>
      </c>
    </row>
    <row r="32" customFormat="false" ht="15" hidden="false" customHeight="true" outlineLevel="0" collapsed="false">
      <c r="A32" s="383" t="s">
        <v>1347</v>
      </c>
      <c r="K32" s="407" t="n">
        <f aca="false">SUM(K22:K31)</f>
        <v>1105717.48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20312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88" t="s">
        <v>1348</v>
      </c>
    </row>
    <row r="2" customFormat="false" ht="15" hidden="false" customHeight="true" outlineLevel="0" collapsed="false">
      <c r="A2" s="389" t="s">
        <v>1349</v>
      </c>
    </row>
    <row r="4" customFormat="false" ht="15" hidden="false" customHeight="true" outlineLevel="0" collapsed="false">
      <c r="A4" s="1" t="s">
        <v>1026</v>
      </c>
      <c r="B4" s="408" t="n">
        <f aca="false">DATE(2026,1,1)</f>
        <v>46023</v>
      </c>
      <c r="C4" s="408" t="n">
        <f aca="false">DATE(2026,2,1)</f>
        <v>46054</v>
      </c>
      <c r="D4" s="408" t="n">
        <f aca="false">DATE(2026,3,1)</f>
        <v>46082</v>
      </c>
      <c r="E4" s="408" t="n">
        <f aca="false">DATE(2026,4,1)</f>
        <v>46113</v>
      </c>
      <c r="F4" s="408" t="n">
        <f aca="false">DATE(2026,5,1)</f>
        <v>46143</v>
      </c>
      <c r="G4" s="408" t="n">
        <f aca="false">DATE(2026,6,1)</f>
        <v>46174</v>
      </c>
      <c r="H4" s="408" t="n">
        <f aca="false">DATE(2026,7,1)</f>
        <v>46204</v>
      </c>
      <c r="I4" s="408" t="n">
        <f aca="false">DATE(2026,8,1)</f>
        <v>46235</v>
      </c>
      <c r="J4" s="408" t="n">
        <f aca="false">DATE(2026,9,1)</f>
        <v>46266</v>
      </c>
      <c r="K4" s="408" t="n">
        <f aca="false">DATE(2026,10,1)</f>
        <v>46296</v>
      </c>
      <c r="L4" s="408" t="n">
        <f aca="false">DATE(2026,11,1)</f>
        <v>46327</v>
      </c>
      <c r="M4" s="408" t="n">
        <f aca="false">DATE(2026,12,1)</f>
        <v>46357</v>
      </c>
      <c r="N4" s="408" t="n">
        <f aca="false">DATE(2026,13,1)</f>
        <v>46388</v>
      </c>
      <c r="O4" s="408" t="n">
        <f aca="false">DATE(2026,14,1)</f>
        <v>46419</v>
      </c>
      <c r="P4" s="408" t="n">
        <f aca="false">DATE(2026,15,1)</f>
        <v>46447</v>
      </c>
      <c r="Q4" s="408" t="n">
        <f aca="false">DATE(2026,16,1)</f>
        <v>46478</v>
      </c>
      <c r="R4" s="408" t="n">
        <f aca="false">DATE(2026,17,1)</f>
        <v>46508</v>
      </c>
      <c r="S4" s="408" t="n">
        <f aca="false">DATE(2026,18,1)</f>
        <v>46539</v>
      </c>
      <c r="T4" s="408" t="n">
        <f aca="false">DATE(2026,19,1)</f>
        <v>46569</v>
      </c>
      <c r="U4" s="408" t="n">
        <f aca="false">DATE(2026,20,1)</f>
        <v>46600</v>
      </c>
      <c r="V4" s="408" t="n">
        <f aca="false">DATE(2026,21,1)</f>
        <v>46631</v>
      </c>
      <c r="W4" s="408" t="n">
        <f aca="false">DATE(2026,22,1)</f>
        <v>46661</v>
      </c>
      <c r="X4" s="408" t="n">
        <f aca="false">DATE(2026,23,1)</f>
        <v>46692</v>
      </c>
      <c r="Y4" s="408" t="n">
        <f aca="false">DATE(2026,24,1)</f>
        <v>46722</v>
      </c>
      <c r="Z4" s="408" t="n">
        <f aca="false">DATE(2026,25,1)</f>
        <v>46753</v>
      </c>
      <c r="AA4" s="408" t="n">
        <f aca="false">DATE(2026,26,1)</f>
        <v>46784</v>
      </c>
      <c r="AB4" s="408" t="n">
        <f aca="false">DATE(2026,27,1)</f>
        <v>46813</v>
      </c>
      <c r="AC4" s="408" t="n">
        <f aca="false">DATE(2026,28,1)</f>
        <v>46844</v>
      </c>
      <c r="AD4" s="408" t="n">
        <f aca="false">DATE(2026,29,1)</f>
        <v>46874</v>
      </c>
      <c r="AE4" s="408" t="n">
        <f aca="false">DATE(2026,30,1)</f>
        <v>46905</v>
      </c>
      <c r="AF4" s="408" t="n">
        <f aca="false">DATE(2026,31,1)</f>
        <v>46935</v>
      </c>
      <c r="AG4" s="408" t="n">
        <f aca="false">DATE(2026,32,1)</f>
        <v>46966</v>
      </c>
      <c r="AH4" s="408" t="n">
        <f aca="false">DATE(2026,33,1)</f>
        <v>46997</v>
      </c>
      <c r="AI4" s="408" t="n">
        <f aca="false">DATE(2026,34,1)</f>
        <v>47027</v>
      </c>
      <c r="AJ4" s="408" t="n">
        <f aca="false">DATE(2026,35,1)</f>
        <v>47058</v>
      </c>
      <c r="AK4" s="408" t="n">
        <f aca="false">DATE(2026,36,1)</f>
        <v>47088</v>
      </c>
      <c r="AL4" s="408" t="n">
        <f aca="false">DATE(2026,37,1)</f>
        <v>47119</v>
      </c>
      <c r="AM4" s="408" t="n">
        <f aca="false">DATE(2026,38,1)</f>
        <v>47150</v>
      </c>
      <c r="AN4" s="408" t="n">
        <f aca="false">DATE(2026,39,1)</f>
        <v>47178</v>
      </c>
      <c r="AO4" s="408" t="n">
        <f aca="false">DATE(2026,40,1)</f>
        <v>47209</v>
      </c>
      <c r="AP4" s="408" t="n">
        <f aca="false">DATE(2026,41,1)</f>
        <v>47239</v>
      </c>
      <c r="AQ4" s="408" t="n">
        <f aca="false">DATE(2026,42,1)</f>
        <v>47270</v>
      </c>
      <c r="AR4" s="408" t="n">
        <f aca="false">DATE(2026,43,1)</f>
        <v>47300</v>
      </c>
      <c r="AS4" s="408" t="n">
        <f aca="false">DATE(2026,44,1)</f>
        <v>47331</v>
      </c>
      <c r="AT4" s="408" t="n">
        <f aca="false">DATE(2026,45,1)</f>
        <v>47362</v>
      </c>
      <c r="AU4" s="408" t="n">
        <f aca="false">DATE(2026,46,1)</f>
        <v>47392</v>
      </c>
      <c r="AV4" s="408" t="n">
        <f aca="false">DATE(2026,47,1)</f>
        <v>47423</v>
      </c>
      <c r="AW4" s="408" t="n">
        <f aca="false">DATE(2026,48,1)</f>
        <v>47453</v>
      </c>
      <c r="AX4" s="408" t="n">
        <f aca="false">DATE(2026,49,1)</f>
        <v>47484</v>
      </c>
      <c r="AY4" s="408" t="n">
        <f aca="false">DATE(2026,50,1)</f>
        <v>47515</v>
      </c>
      <c r="AZ4" s="408" t="n">
        <f aca="false">DATE(2026,51,1)</f>
        <v>47543</v>
      </c>
      <c r="BA4" s="408" t="n">
        <f aca="false">DATE(2026,52,1)</f>
        <v>47574</v>
      </c>
      <c r="BB4" s="408" t="n">
        <f aca="false">DATE(2026,53,1)</f>
        <v>47604</v>
      </c>
      <c r="BC4" s="408" t="n">
        <f aca="false">DATE(2026,54,1)</f>
        <v>47635</v>
      </c>
      <c r="BD4" s="408" t="n">
        <f aca="false">DATE(2026,55,1)</f>
        <v>47665</v>
      </c>
      <c r="BE4" s="408" t="n">
        <f aca="false">DATE(2026,56,1)</f>
        <v>47696</v>
      </c>
      <c r="BF4" s="408" t="n">
        <f aca="false">DATE(2026,57,1)</f>
        <v>47727</v>
      </c>
      <c r="BG4" s="408" t="n">
        <f aca="false">DATE(2026,58,1)</f>
        <v>47757</v>
      </c>
      <c r="BH4" s="408" t="n">
        <f aca="false">DATE(2026,59,1)</f>
        <v>47788</v>
      </c>
      <c r="BI4" s="408" t="n">
        <f aca="false">DATE(2026,60,1)</f>
        <v>47818</v>
      </c>
      <c r="BJ4" s="408" t="n">
        <f aca="false">DATE(2026,61,1)</f>
        <v>47849</v>
      </c>
      <c r="BK4" s="408" t="n">
        <f aca="false">DATE(2026,62,1)</f>
        <v>47880</v>
      </c>
      <c r="BL4" s="408" t="n">
        <f aca="false">DATE(2026,63,1)</f>
        <v>47908</v>
      </c>
      <c r="BM4" s="408" t="n">
        <f aca="false">DATE(2026,64,1)</f>
        <v>47939</v>
      </c>
      <c r="BN4" s="408" t="n">
        <f aca="false">DATE(2026,65,1)</f>
        <v>47969</v>
      </c>
      <c r="BO4" s="408" t="n">
        <f aca="false">DATE(2026,66,1)</f>
        <v>48000</v>
      </c>
      <c r="BP4" s="408" t="n">
        <f aca="false">DATE(2026,67,1)</f>
        <v>48030</v>
      </c>
      <c r="BQ4" s="408" t="n">
        <f aca="false">DATE(2026,68,1)</f>
        <v>48061</v>
      </c>
      <c r="BR4" s="408" t="n">
        <f aca="false">DATE(2026,69,1)</f>
        <v>48092</v>
      </c>
      <c r="BS4" s="408" t="n">
        <f aca="false">DATE(2026,70,1)</f>
        <v>48122</v>
      </c>
      <c r="BT4" s="408" t="n">
        <f aca="false">DATE(2026,71,1)</f>
        <v>48153</v>
      </c>
      <c r="BU4" s="408" t="n">
        <f aca="false">DATE(2026,72,1)</f>
        <v>48183</v>
      </c>
      <c r="BV4" s="408" t="n">
        <f aca="false">DATE(2026,73,1)</f>
        <v>48214</v>
      </c>
      <c r="BW4" s="408" t="n">
        <f aca="false">DATE(2026,74,1)</f>
        <v>48245</v>
      </c>
      <c r="BX4" s="408" t="n">
        <f aca="false">DATE(2026,75,1)</f>
        <v>48274</v>
      </c>
      <c r="BY4" s="408" t="n">
        <f aca="false">DATE(2026,76,1)</f>
        <v>48305</v>
      </c>
      <c r="BZ4" s="408" t="n">
        <f aca="false">DATE(2026,77,1)</f>
        <v>48335</v>
      </c>
      <c r="CA4" s="408" t="n">
        <f aca="false">DATE(2026,78,1)</f>
        <v>48366</v>
      </c>
      <c r="CB4" s="408" t="n">
        <f aca="false">DATE(2026,79,1)</f>
        <v>48396</v>
      </c>
      <c r="CC4" s="408" t="n">
        <f aca="false">DATE(2026,80,1)</f>
        <v>48427</v>
      </c>
      <c r="CD4" s="408" t="n">
        <f aca="false">DATE(2026,81,1)</f>
        <v>48458</v>
      </c>
      <c r="CE4" s="408" t="n">
        <f aca="false">DATE(2026,82,1)</f>
        <v>48488</v>
      </c>
      <c r="CF4" s="408" t="n">
        <f aca="false">DATE(2026,83,1)</f>
        <v>48519</v>
      </c>
      <c r="CG4" s="408" t="n">
        <f aca="false">DATE(2026,84,1)</f>
        <v>48549</v>
      </c>
      <c r="CH4" s="408" t="n">
        <f aca="false">DATE(2026,85,1)</f>
        <v>48580</v>
      </c>
      <c r="CI4" s="408" t="n">
        <f aca="false">DATE(2026,86,1)</f>
        <v>48611</v>
      </c>
      <c r="CJ4" s="408" t="n">
        <f aca="false">DATE(2026,87,1)</f>
        <v>48639</v>
      </c>
      <c r="CK4" s="408" t="n">
        <f aca="false">DATE(2026,88,1)</f>
        <v>48670</v>
      </c>
      <c r="CL4" s="408" t="n">
        <f aca="false">DATE(2026,89,1)</f>
        <v>48700</v>
      </c>
      <c r="CM4" s="408" t="n">
        <f aca="false">DATE(2026,90,1)</f>
        <v>48731</v>
      </c>
      <c r="CN4" s="408" t="n">
        <f aca="false">DATE(2026,91,1)</f>
        <v>48761</v>
      </c>
      <c r="CO4" s="408" t="n">
        <f aca="false">DATE(2026,92,1)</f>
        <v>48792</v>
      </c>
      <c r="CP4" s="408" t="n">
        <f aca="false">DATE(2026,93,1)</f>
        <v>48823</v>
      </c>
      <c r="CQ4" s="408" t="n">
        <f aca="false">DATE(2026,94,1)</f>
        <v>48853</v>
      </c>
      <c r="CR4" s="408" t="n">
        <f aca="false">DATE(2026,95,1)</f>
        <v>48884</v>
      </c>
      <c r="CS4" s="408" t="n">
        <f aca="false">DATE(2026,96,1)</f>
        <v>48914</v>
      </c>
      <c r="CT4" s="408" t="n">
        <f aca="false">DATE(2026,97,1)</f>
        <v>48945</v>
      </c>
      <c r="CU4" s="408" t="n">
        <f aca="false">DATE(2026,98,1)</f>
        <v>48976</v>
      </c>
      <c r="CV4" s="408" t="n">
        <f aca="false">DATE(2026,99,1)</f>
        <v>49004</v>
      </c>
      <c r="CW4" s="408" t="n">
        <f aca="false">DATE(2026,100,1)</f>
        <v>49035</v>
      </c>
      <c r="CX4" s="408" t="n">
        <f aca="false">DATE(2026,101,1)</f>
        <v>49065</v>
      </c>
      <c r="CY4" s="408" t="n">
        <f aca="false">DATE(2026,102,1)</f>
        <v>49096</v>
      </c>
      <c r="CZ4" s="408" t="n">
        <f aca="false">DATE(2026,103,1)</f>
        <v>49126</v>
      </c>
      <c r="DA4" s="408" t="n">
        <f aca="false">DATE(2026,104,1)</f>
        <v>49157</v>
      </c>
      <c r="DB4" s="408" t="n">
        <f aca="false">DATE(2026,105,1)</f>
        <v>49188</v>
      </c>
      <c r="DC4" s="408" t="n">
        <f aca="false">DATE(2026,106,1)</f>
        <v>49218</v>
      </c>
      <c r="DD4" s="408" t="n">
        <f aca="false">DATE(2026,107,1)</f>
        <v>49249</v>
      </c>
      <c r="DE4" s="408" t="n">
        <f aca="false">DATE(2026,108,1)</f>
        <v>49279</v>
      </c>
    </row>
    <row r="5" customFormat="false" ht="15" hidden="false" customHeight="true" outlineLevel="0" collapsed="false">
      <c r="A5" s="1" t="s">
        <v>1350</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6" t="s">
        <v>1351</v>
      </c>
    </row>
    <row r="7" customFormat="false" ht="15" hidden="false" customHeight="true" outlineLevel="0" collapsed="false">
      <c r="A7" s="1" t="str">
        <f aca="false">'APA Inputs'!A22</f>
        <v>Reseda</v>
      </c>
      <c r="B7" s="409" t="n">
        <f aca="false">IF('APA Inputs'!$C$22="",0,(IF(AND(B$4&gt;='APA Inputs'!$C$22,B$4&lt;EDATE('APA Inputs'!$C$22,N('APA Inputs'!$D$22))),'APA Inputs'!$J$22,0)+IF(N('APA Inputs'!$H$22)&gt;0,IF(B$4=EDATE('APA Inputs'!$C$22,'APA Inputs'!$H$22-1),N('APA Inputs'!$G$22),0),0))*IF('APA Inputs'!$I$22="",1,'APA Inputs'!$I$22))</f>
        <v>0</v>
      </c>
      <c r="C7" s="409" t="n">
        <f aca="false">IF('APA Inputs'!$C$22="",0,(IF(AND(C$4&gt;='APA Inputs'!$C$22,C$4&lt;EDATE('APA Inputs'!$C$22,N('APA Inputs'!$D$22))),'APA Inputs'!$J$22,0)+IF(N('APA Inputs'!$H$22)&gt;0,IF(C$4=EDATE('APA Inputs'!$C$22,'APA Inputs'!$H$22-1),N('APA Inputs'!$G$22),0),0))*IF('APA Inputs'!$I$22="",1,'APA Inputs'!$I$22))</f>
        <v>0</v>
      </c>
      <c r="D7" s="409" t="n">
        <f aca="false">IF('APA Inputs'!$C$22="",0,(IF(AND(D$4&gt;='APA Inputs'!$C$22,D$4&lt;EDATE('APA Inputs'!$C$22,N('APA Inputs'!$D$22))),'APA Inputs'!$J$22,0)+IF(N('APA Inputs'!$H$22)&gt;0,IF(D$4=EDATE('APA Inputs'!$C$22,'APA Inputs'!$H$22-1),N('APA Inputs'!$G$22),0),0))*IF('APA Inputs'!$I$22="",1,'APA Inputs'!$I$22))</f>
        <v>0</v>
      </c>
      <c r="E7" s="409" t="n">
        <f aca="false">IF('APA Inputs'!$C$22="",0,(IF(AND(E$4&gt;='APA Inputs'!$C$22,E$4&lt;EDATE('APA Inputs'!$C$22,N('APA Inputs'!$D$22))),'APA Inputs'!$J$22,0)+IF(N('APA Inputs'!$H$22)&gt;0,IF(E$4=EDATE('APA Inputs'!$C$22,'APA Inputs'!$H$22-1),N('APA Inputs'!$G$22),0),0))*IF('APA Inputs'!$I$22="",1,'APA Inputs'!$I$22))</f>
        <v>0</v>
      </c>
      <c r="F7" s="409" t="n">
        <f aca="false">IF('APA Inputs'!$C$22="",0,(IF(AND(F$4&gt;='APA Inputs'!$C$22,F$4&lt;EDATE('APA Inputs'!$C$22,N('APA Inputs'!$D$22))),'APA Inputs'!$J$22,0)+IF(N('APA Inputs'!$H$22)&gt;0,IF(F$4=EDATE('APA Inputs'!$C$22,'APA Inputs'!$H$22-1),N('APA Inputs'!$G$22),0),0))*IF('APA Inputs'!$I$22="",1,'APA Inputs'!$I$22))</f>
        <v>0</v>
      </c>
      <c r="G7" s="409" t="n">
        <f aca="false">IF('APA Inputs'!$C$22="",0,(IF(AND(G$4&gt;='APA Inputs'!$C$22,G$4&lt;EDATE('APA Inputs'!$C$22,N('APA Inputs'!$D$22))),'APA Inputs'!$J$22,0)+IF(N('APA Inputs'!$H$22)&gt;0,IF(G$4=EDATE('APA Inputs'!$C$22,'APA Inputs'!$H$22-1),N('APA Inputs'!$G$22),0),0))*IF('APA Inputs'!$I$22="",1,'APA Inputs'!$I$22))</f>
        <v>0</v>
      </c>
      <c r="H7" s="409" t="n">
        <f aca="false">IF('APA Inputs'!$C$22="",0,(IF(AND(H$4&gt;='APA Inputs'!$C$22,H$4&lt;EDATE('APA Inputs'!$C$22,N('APA Inputs'!$D$22))),'APA Inputs'!$J$22,0)+IF(N('APA Inputs'!$H$22)&gt;0,IF(H$4=EDATE('APA Inputs'!$C$22,'APA Inputs'!$H$22-1),N('APA Inputs'!$G$22),0),0))*IF('APA Inputs'!$I$22="",1,'APA Inputs'!$I$22))</f>
        <v>10000</v>
      </c>
      <c r="I7" s="409" t="n">
        <f aca="false">IF('APA Inputs'!$C$22="",0,(IF(AND(I$4&gt;='APA Inputs'!$C$22,I$4&lt;EDATE('APA Inputs'!$C$22,N('APA Inputs'!$D$22))),'APA Inputs'!$J$22,0)+IF(N('APA Inputs'!$H$22)&gt;0,IF(I$4=EDATE('APA Inputs'!$C$22,'APA Inputs'!$H$22-1),N('APA Inputs'!$G$22),0),0))*IF('APA Inputs'!$I$22="",1,'APA Inputs'!$I$22))</f>
        <v>10000</v>
      </c>
      <c r="J7" s="409" t="n">
        <f aca="false">IF('APA Inputs'!$C$22="",0,(IF(AND(J$4&gt;='APA Inputs'!$C$22,J$4&lt;EDATE('APA Inputs'!$C$22,N('APA Inputs'!$D$22))),'APA Inputs'!$J$22,0)+IF(N('APA Inputs'!$H$22)&gt;0,IF(J$4=EDATE('APA Inputs'!$C$22,'APA Inputs'!$H$22-1),N('APA Inputs'!$G$22),0),0))*IF('APA Inputs'!$I$22="",1,'APA Inputs'!$I$22))</f>
        <v>10000</v>
      </c>
      <c r="K7" s="409" t="n">
        <f aca="false">IF('APA Inputs'!$C$22="",0,(IF(AND(K$4&gt;='APA Inputs'!$C$22,K$4&lt;EDATE('APA Inputs'!$C$22,N('APA Inputs'!$D$22))),'APA Inputs'!$J$22,0)+IF(N('APA Inputs'!$H$22)&gt;0,IF(K$4=EDATE('APA Inputs'!$C$22,'APA Inputs'!$H$22-1),N('APA Inputs'!$G$22),0),0))*IF('APA Inputs'!$I$22="",1,'APA Inputs'!$I$22))</f>
        <v>10000</v>
      </c>
      <c r="L7" s="409" t="n">
        <f aca="false">IF('APA Inputs'!$C$22="",0,(IF(AND(L$4&gt;='APA Inputs'!$C$22,L$4&lt;EDATE('APA Inputs'!$C$22,N('APA Inputs'!$D$22))),'APA Inputs'!$J$22,0)+IF(N('APA Inputs'!$H$22)&gt;0,IF(L$4=EDATE('APA Inputs'!$C$22,'APA Inputs'!$H$22-1),N('APA Inputs'!$G$22),0),0))*IF('APA Inputs'!$I$22="",1,'APA Inputs'!$I$22))</f>
        <v>10000</v>
      </c>
      <c r="M7" s="409" t="n">
        <f aca="false">IF('APA Inputs'!$C$22="",0,(IF(AND(M$4&gt;='APA Inputs'!$C$22,M$4&lt;EDATE('APA Inputs'!$C$22,N('APA Inputs'!$D$22))),'APA Inputs'!$J$22,0)+IF(N('APA Inputs'!$H$22)&gt;0,IF(M$4=EDATE('APA Inputs'!$C$22,'APA Inputs'!$H$22-1),N('APA Inputs'!$G$22),0),0))*IF('APA Inputs'!$I$22="",1,'APA Inputs'!$I$22))</f>
        <v>10000</v>
      </c>
      <c r="N7" s="409" t="n">
        <f aca="false">IF('APA Inputs'!$C$22="",0,(IF(AND(N$4&gt;='APA Inputs'!$C$22,N$4&lt;EDATE('APA Inputs'!$C$22,N('APA Inputs'!$D$22))),'APA Inputs'!$J$22,0)+IF(N('APA Inputs'!$H$22)&gt;0,IF(N$4=EDATE('APA Inputs'!$C$22,'APA Inputs'!$H$22-1),N('APA Inputs'!$G$22),0),0))*IF('APA Inputs'!$I$22="",1,'APA Inputs'!$I$22))</f>
        <v>10000</v>
      </c>
      <c r="O7" s="409" t="n">
        <f aca="false">IF('APA Inputs'!$C$22="",0,(IF(AND(O$4&gt;='APA Inputs'!$C$22,O$4&lt;EDATE('APA Inputs'!$C$22,N('APA Inputs'!$D$22))),'APA Inputs'!$J$22,0)+IF(N('APA Inputs'!$H$22)&gt;0,IF(O$4=EDATE('APA Inputs'!$C$22,'APA Inputs'!$H$22-1),N('APA Inputs'!$G$22),0),0))*IF('APA Inputs'!$I$22="",1,'APA Inputs'!$I$22))</f>
        <v>10000</v>
      </c>
      <c r="P7" s="409" t="n">
        <f aca="false">IF('APA Inputs'!$C$22="",0,(IF(AND(P$4&gt;='APA Inputs'!$C$22,P$4&lt;EDATE('APA Inputs'!$C$22,N('APA Inputs'!$D$22))),'APA Inputs'!$J$22,0)+IF(N('APA Inputs'!$H$22)&gt;0,IF(P$4=EDATE('APA Inputs'!$C$22,'APA Inputs'!$H$22-1),N('APA Inputs'!$G$22),0),0))*IF('APA Inputs'!$I$22="",1,'APA Inputs'!$I$22))</f>
        <v>10000</v>
      </c>
      <c r="Q7" s="409" t="n">
        <f aca="false">IF('APA Inputs'!$C$22="",0,(IF(AND(Q$4&gt;='APA Inputs'!$C$22,Q$4&lt;EDATE('APA Inputs'!$C$22,N('APA Inputs'!$D$22))),'APA Inputs'!$J$22,0)+IF(N('APA Inputs'!$H$22)&gt;0,IF(Q$4=EDATE('APA Inputs'!$C$22,'APA Inputs'!$H$22-1),N('APA Inputs'!$G$22),0),0))*IF('APA Inputs'!$I$22="",1,'APA Inputs'!$I$22))</f>
        <v>10000</v>
      </c>
      <c r="R7" s="409" t="n">
        <f aca="false">IF('APA Inputs'!$C$22="",0,(IF(AND(R$4&gt;='APA Inputs'!$C$22,R$4&lt;EDATE('APA Inputs'!$C$22,N('APA Inputs'!$D$22))),'APA Inputs'!$J$22,0)+IF(N('APA Inputs'!$H$22)&gt;0,IF(R$4=EDATE('APA Inputs'!$C$22,'APA Inputs'!$H$22-1),N('APA Inputs'!$G$22),0),0))*IF('APA Inputs'!$I$22="",1,'APA Inputs'!$I$22))</f>
        <v>10000</v>
      </c>
      <c r="S7" s="409" t="n">
        <f aca="false">IF('APA Inputs'!$C$22="",0,(IF(AND(S$4&gt;='APA Inputs'!$C$22,S$4&lt;EDATE('APA Inputs'!$C$22,N('APA Inputs'!$D$22))),'APA Inputs'!$J$22,0)+IF(N('APA Inputs'!$H$22)&gt;0,IF(S$4=EDATE('APA Inputs'!$C$22,'APA Inputs'!$H$22-1),N('APA Inputs'!$G$22),0),0))*IF('APA Inputs'!$I$22="",1,'APA Inputs'!$I$22))</f>
        <v>10000</v>
      </c>
      <c r="T7" s="409" t="n">
        <f aca="false">IF('APA Inputs'!$C$22="",0,(IF(AND(T$4&gt;='APA Inputs'!$C$22,T$4&lt;EDATE('APA Inputs'!$C$22,N('APA Inputs'!$D$22))),'APA Inputs'!$J$22,0)+IF(N('APA Inputs'!$H$22)&gt;0,IF(T$4=EDATE('APA Inputs'!$C$22,'APA Inputs'!$H$22-1),N('APA Inputs'!$G$22),0),0))*IF('APA Inputs'!$I$22="",1,'APA Inputs'!$I$22))</f>
        <v>10000</v>
      </c>
      <c r="U7" s="409" t="n">
        <f aca="false">IF('APA Inputs'!$C$22="",0,(IF(AND(U$4&gt;='APA Inputs'!$C$22,U$4&lt;EDATE('APA Inputs'!$C$22,N('APA Inputs'!$D$22))),'APA Inputs'!$J$22,0)+IF(N('APA Inputs'!$H$22)&gt;0,IF(U$4=EDATE('APA Inputs'!$C$22,'APA Inputs'!$H$22-1),N('APA Inputs'!$G$22),0),0))*IF('APA Inputs'!$I$22="",1,'APA Inputs'!$I$22))</f>
        <v>10000</v>
      </c>
      <c r="V7" s="409" t="n">
        <f aca="false">IF('APA Inputs'!$C$22="",0,(IF(AND(V$4&gt;='APA Inputs'!$C$22,V$4&lt;EDATE('APA Inputs'!$C$22,N('APA Inputs'!$D$22))),'APA Inputs'!$J$22,0)+IF(N('APA Inputs'!$H$22)&gt;0,IF(V$4=EDATE('APA Inputs'!$C$22,'APA Inputs'!$H$22-1),N('APA Inputs'!$G$22),0),0))*IF('APA Inputs'!$I$22="",1,'APA Inputs'!$I$22))</f>
        <v>10000</v>
      </c>
      <c r="W7" s="409" t="n">
        <f aca="false">IF('APA Inputs'!$C$22="",0,(IF(AND(W$4&gt;='APA Inputs'!$C$22,W$4&lt;EDATE('APA Inputs'!$C$22,N('APA Inputs'!$D$22))),'APA Inputs'!$J$22,0)+IF(N('APA Inputs'!$H$22)&gt;0,IF(W$4=EDATE('APA Inputs'!$C$22,'APA Inputs'!$H$22-1),N('APA Inputs'!$G$22),0),0))*IF('APA Inputs'!$I$22="",1,'APA Inputs'!$I$22))</f>
        <v>10000</v>
      </c>
      <c r="X7" s="409" t="n">
        <f aca="false">IF('APA Inputs'!$C$22="",0,(IF(AND(X$4&gt;='APA Inputs'!$C$22,X$4&lt;EDATE('APA Inputs'!$C$22,N('APA Inputs'!$D$22))),'APA Inputs'!$J$22,0)+IF(N('APA Inputs'!$H$22)&gt;0,IF(X$4=EDATE('APA Inputs'!$C$22,'APA Inputs'!$H$22-1),N('APA Inputs'!$G$22),0),0))*IF('APA Inputs'!$I$22="",1,'APA Inputs'!$I$22))</f>
        <v>10000</v>
      </c>
      <c r="Y7" s="409" t="n">
        <f aca="false">IF('APA Inputs'!$C$22="",0,(IF(AND(Y$4&gt;='APA Inputs'!$C$22,Y$4&lt;EDATE('APA Inputs'!$C$22,N('APA Inputs'!$D$22))),'APA Inputs'!$J$22,0)+IF(N('APA Inputs'!$H$22)&gt;0,IF(Y$4=EDATE('APA Inputs'!$C$22,'APA Inputs'!$H$22-1),N('APA Inputs'!$G$22),0),0))*IF('APA Inputs'!$I$22="",1,'APA Inputs'!$I$22))</f>
        <v>10000</v>
      </c>
      <c r="Z7" s="409" t="n">
        <f aca="false">IF('APA Inputs'!$C$22="",0,(IF(AND(Z$4&gt;='APA Inputs'!$C$22,Z$4&lt;EDATE('APA Inputs'!$C$22,N('APA Inputs'!$D$22))),'APA Inputs'!$J$22,0)+IF(N('APA Inputs'!$H$22)&gt;0,IF(Z$4=EDATE('APA Inputs'!$C$22,'APA Inputs'!$H$22-1),N('APA Inputs'!$G$22),0),0))*IF('APA Inputs'!$I$22="",1,'APA Inputs'!$I$22))</f>
        <v>10000</v>
      </c>
      <c r="AA7" s="409" t="n">
        <f aca="false">IF('APA Inputs'!$C$22="",0,(IF(AND(AA$4&gt;='APA Inputs'!$C$22,AA$4&lt;EDATE('APA Inputs'!$C$22,N('APA Inputs'!$D$22))),'APA Inputs'!$J$22,0)+IF(N('APA Inputs'!$H$22)&gt;0,IF(AA$4=EDATE('APA Inputs'!$C$22,'APA Inputs'!$H$22-1),N('APA Inputs'!$G$22),0),0))*IF('APA Inputs'!$I$22="",1,'APA Inputs'!$I$22))</f>
        <v>10000</v>
      </c>
      <c r="AB7" s="409" t="n">
        <f aca="false">IF('APA Inputs'!$C$22="",0,(IF(AND(AB$4&gt;='APA Inputs'!$C$22,AB$4&lt;EDATE('APA Inputs'!$C$22,N('APA Inputs'!$D$22))),'APA Inputs'!$J$22,0)+IF(N('APA Inputs'!$H$22)&gt;0,IF(AB$4=EDATE('APA Inputs'!$C$22,'APA Inputs'!$H$22-1),N('APA Inputs'!$G$22),0),0))*IF('APA Inputs'!$I$22="",1,'APA Inputs'!$I$22))</f>
        <v>10000</v>
      </c>
      <c r="AC7" s="409" t="n">
        <f aca="false">IF('APA Inputs'!$C$22="",0,(IF(AND(AC$4&gt;='APA Inputs'!$C$22,AC$4&lt;EDATE('APA Inputs'!$C$22,N('APA Inputs'!$D$22))),'APA Inputs'!$J$22,0)+IF(N('APA Inputs'!$H$22)&gt;0,IF(AC$4=EDATE('APA Inputs'!$C$22,'APA Inputs'!$H$22-1),N('APA Inputs'!$G$22),0),0))*IF('APA Inputs'!$I$22="",1,'APA Inputs'!$I$22))</f>
        <v>10000</v>
      </c>
      <c r="AD7" s="409" t="n">
        <f aca="false">IF('APA Inputs'!$C$22="",0,(IF(AND(AD$4&gt;='APA Inputs'!$C$22,AD$4&lt;EDATE('APA Inputs'!$C$22,N('APA Inputs'!$D$22))),'APA Inputs'!$J$22,0)+IF(N('APA Inputs'!$H$22)&gt;0,IF(AD$4=EDATE('APA Inputs'!$C$22,'APA Inputs'!$H$22-1),N('APA Inputs'!$G$22),0),0))*IF('APA Inputs'!$I$22="",1,'APA Inputs'!$I$22))</f>
        <v>10000</v>
      </c>
      <c r="AE7" s="409" t="n">
        <f aca="false">IF('APA Inputs'!$C$22="",0,(IF(AND(AE$4&gt;='APA Inputs'!$C$22,AE$4&lt;EDATE('APA Inputs'!$C$22,N('APA Inputs'!$D$22))),'APA Inputs'!$J$22,0)+IF(N('APA Inputs'!$H$22)&gt;0,IF(AE$4=EDATE('APA Inputs'!$C$22,'APA Inputs'!$H$22-1),N('APA Inputs'!$G$22),0),0))*IF('APA Inputs'!$I$22="",1,'APA Inputs'!$I$22))</f>
        <v>10000</v>
      </c>
      <c r="AF7" s="409" t="n">
        <f aca="false">IF('APA Inputs'!$C$22="",0,(IF(AND(AF$4&gt;='APA Inputs'!$C$22,AF$4&lt;EDATE('APA Inputs'!$C$22,N('APA Inputs'!$D$22))),'APA Inputs'!$J$22,0)+IF(N('APA Inputs'!$H$22)&gt;0,IF(AF$4=EDATE('APA Inputs'!$C$22,'APA Inputs'!$H$22-1),N('APA Inputs'!$G$22),0),0))*IF('APA Inputs'!$I$22="",1,'APA Inputs'!$I$22))</f>
        <v>0</v>
      </c>
      <c r="AG7" s="409" t="n">
        <f aca="false">IF('APA Inputs'!$C$22="",0,(IF(AND(AG$4&gt;='APA Inputs'!$C$22,AG$4&lt;EDATE('APA Inputs'!$C$22,N('APA Inputs'!$D$22))),'APA Inputs'!$J$22,0)+IF(N('APA Inputs'!$H$22)&gt;0,IF(AG$4=EDATE('APA Inputs'!$C$22,'APA Inputs'!$H$22-1),N('APA Inputs'!$G$22),0),0))*IF('APA Inputs'!$I$22="",1,'APA Inputs'!$I$22))</f>
        <v>0</v>
      </c>
      <c r="AH7" s="409" t="n">
        <f aca="false">IF('APA Inputs'!$C$22="",0,(IF(AND(AH$4&gt;='APA Inputs'!$C$22,AH$4&lt;EDATE('APA Inputs'!$C$22,N('APA Inputs'!$D$22))),'APA Inputs'!$J$22,0)+IF(N('APA Inputs'!$H$22)&gt;0,IF(AH$4=EDATE('APA Inputs'!$C$22,'APA Inputs'!$H$22-1),N('APA Inputs'!$G$22),0),0))*IF('APA Inputs'!$I$22="",1,'APA Inputs'!$I$22))</f>
        <v>0</v>
      </c>
      <c r="AI7" s="409" t="n">
        <f aca="false">IF('APA Inputs'!$C$22="",0,(IF(AND(AI$4&gt;='APA Inputs'!$C$22,AI$4&lt;EDATE('APA Inputs'!$C$22,N('APA Inputs'!$D$22))),'APA Inputs'!$J$22,0)+IF(N('APA Inputs'!$H$22)&gt;0,IF(AI$4=EDATE('APA Inputs'!$C$22,'APA Inputs'!$H$22-1),N('APA Inputs'!$G$22),0),0))*IF('APA Inputs'!$I$22="",1,'APA Inputs'!$I$22))</f>
        <v>0</v>
      </c>
      <c r="AJ7" s="409" t="n">
        <f aca="false">IF('APA Inputs'!$C$22="",0,(IF(AND(AJ$4&gt;='APA Inputs'!$C$22,AJ$4&lt;EDATE('APA Inputs'!$C$22,N('APA Inputs'!$D$22))),'APA Inputs'!$J$22,0)+IF(N('APA Inputs'!$H$22)&gt;0,IF(AJ$4=EDATE('APA Inputs'!$C$22,'APA Inputs'!$H$22-1),N('APA Inputs'!$G$22),0),0))*IF('APA Inputs'!$I$22="",1,'APA Inputs'!$I$22))</f>
        <v>0</v>
      </c>
      <c r="AK7" s="409" t="n">
        <f aca="false">IF('APA Inputs'!$C$22="",0,(IF(AND(AK$4&gt;='APA Inputs'!$C$22,AK$4&lt;EDATE('APA Inputs'!$C$22,N('APA Inputs'!$D$22))),'APA Inputs'!$J$22,0)+IF(N('APA Inputs'!$H$22)&gt;0,IF(AK$4=EDATE('APA Inputs'!$C$22,'APA Inputs'!$H$22-1),N('APA Inputs'!$G$22),0),0))*IF('APA Inputs'!$I$22="",1,'APA Inputs'!$I$22))</f>
        <v>0</v>
      </c>
      <c r="AL7" s="409" t="n">
        <f aca="false">IF('APA Inputs'!$C$22="",0,(IF(AND(AL$4&gt;='APA Inputs'!$C$22,AL$4&lt;EDATE('APA Inputs'!$C$22,N('APA Inputs'!$D$22))),'APA Inputs'!$J$22,0)+IF(N('APA Inputs'!$H$22)&gt;0,IF(AL$4=EDATE('APA Inputs'!$C$22,'APA Inputs'!$H$22-1),N('APA Inputs'!$G$22),0),0))*IF('APA Inputs'!$I$22="",1,'APA Inputs'!$I$22))</f>
        <v>0</v>
      </c>
      <c r="AM7" s="409" t="n">
        <f aca="false">IF('APA Inputs'!$C$22="",0,(IF(AND(AM$4&gt;='APA Inputs'!$C$22,AM$4&lt;EDATE('APA Inputs'!$C$22,N('APA Inputs'!$D$22))),'APA Inputs'!$J$22,0)+IF(N('APA Inputs'!$H$22)&gt;0,IF(AM$4=EDATE('APA Inputs'!$C$22,'APA Inputs'!$H$22-1),N('APA Inputs'!$G$22),0),0))*IF('APA Inputs'!$I$22="",1,'APA Inputs'!$I$22))</f>
        <v>0</v>
      </c>
      <c r="AN7" s="409" t="n">
        <f aca="false">IF('APA Inputs'!$C$22="",0,(IF(AND(AN$4&gt;='APA Inputs'!$C$22,AN$4&lt;EDATE('APA Inputs'!$C$22,N('APA Inputs'!$D$22))),'APA Inputs'!$J$22,0)+IF(N('APA Inputs'!$H$22)&gt;0,IF(AN$4=EDATE('APA Inputs'!$C$22,'APA Inputs'!$H$22-1),N('APA Inputs'!$G$22),0),0))*IF('APA Inputs'!$I$22="",1,'APA Inputs'!$I$22))</f>
        <v>0</v>
      </c>
      <c r="AO7" s="409" t="n">
        <f aca="false">IF('APA Inputs'!$C$22="",0,(IF(AND(AO$4&gt;='APA Inputs'!$C$22,AO$4&lt;EDATE('APA Inputs'!$C$22,N('APA Inputs'!$D$22))),'APA Inputs'!$J$22,0)+IF(N('APA Inputs'!$H$22)&gt;0,IF(AO$4=EDATE('APA Inputs'!$C$22,'APA Inputs'!$H$22-1),N('APA Inputs'!$G$22),0),0))*IF('APA Inputs'!$I$22="",1,'APA Inputs'!$I$22))</f>
        <v>0</v>
      </c>
      <c r="AP7" s="409" t="n">
        <f aca="false">IF('APA Inputs'!$C$22="",0,(IF(AND(AP$4&gt;='APA Inputs'!$C$22,AP$4&lt;EDATE('APA Inputs'!$C$22,N('APA Inputs'!$D$22))),'APA Inputs'!$J$22,0)+IF(N('APA Inputs'!$H$22)&gt;0,IF(AP$4=EDATE('APA Inputs'!$C$22,'APA Inputs'!$H$22-1),N('APA Inputs'!$G$22),0),0))*IF('APA Inputs'!$I$22="",1,'APA Inputs'!$I$22))</f>
        <v>0</v>
      </c>
      <c r="AQ7" s="409" t="n">
        <f aca="false">IF('APA Inputs'!$C$22="",0,(IF(AND(AQ$4&gt;='APA Inputs'!$C$22,AQ$4&lt;EDATE('APA Inputs'!$C$22,N('APA Inputs'!$D$22))),'APA Inputs'!$J$22,0)+IF(N('APA Inputs'!$H$22)&gt;0,IF(AQ$4=EDATE('APA Inputs'!$C$22,'APA Inputs'!$H$22-1),N('APA Inputs'!$G$22),0),0))*IF('APA Inputs'!$I$22="",1,'APA Inputs'!$I$22))</f>
        <v>0</v>
      </c>
      <c r="AR7" s="409" t="n">
        <f aca="false">IF('APA Inputs'!$C$22="",0,(IF(AND(AR$4&gt;='APA Inputs'!$C$22,AR$4&lt;EDATE('APA Inputs'!$C$22,N('APA Inputs'!$D$22))),'APA Inputs'!$J$22,0)+IF(N('APA Inputs'!$H$22)&gt;0,IF(AR$4=EDATE('APA Inputs'!$C$22,'APA Inputs'!$H$22-1),N('APA Inputs'!$G$22),0),0))*IF('APA Inputs'!$I$22="",1,'APA Inputs'!$I$22))</f>
        <v>0</v>
      </c>
      <c r="AS7" s="409" t="n">
        <f aca="false">IF('APA Inputs'!$C$22="",0,(IF(AND(AS$4&gt;='APA Inputs'!$C$22,AS$4&lt;EDATE('APA Inputs'!$C$22,N('APA Inputs'!$D$22))),'APA Inputs'!$J$22,0)+IF(N('APA Inputs'!$H$22)&gt;0,IF(AS$4=EDATE('APA Inputs'!$C$22,'APA Inputs'!$H$22-1),N('APA Inputs'!$G$22),0),0))*IF('APA Inputs'!$I$22="",1,'APA Inputs'!$I$22))</f>
        <v>0</v>
      </c>
      <c r="AT7" s="409" t="n">
        <f aca="false">IF('APA Inputs'!$C$22="",0,(IF(AND(AT$4&gt;='APA Inputs'!$C$22,AT$4&lt;EDATE('APA Inputs'!$C$22,N('APA Inputs'!$D$22))),'APA Inputs'!$J$22,0)+IF(N('APA Inputs'!$H$22)&gt;0,IF(AT$4=EDATE('APA Inputs'!$C$22,'APA Inputs'!$H$22-1),N('APA Inputs'!$G$22),0),0))*IF('APA Inputs'!$I$22="",1,'APA Inputs'!$I$22))</f>
        <v>0</v>
      </c>
      <c r="AU7" s="409" t="n">
        <f aca="false">IF('APA Inputs'!$C$22="",0,(IF(AND(AU$4&gt;='APA Inputs'!$C$22,AU$4&lt;EDATE('APA Inputs'!$C$22,N('APA Inputs'!$D$22))),'APA Inputs'!$J$22,0)+IF(N('APA Inputs'!$H$22)&gt;0,IF(AU$4=EDATE('APA Inputs'!$C$22,'APA Inputs'!$H$22-1),N('APA Inputs'!$G$22),0),0))*IF('APA Inputs'!$I$22="",1,'APA Inputs'!$I$22))</f>
        <v>0</v>
      </c>
      <c r="AV7" s="409" t="n">
        <f aca="false">IF('APA Inputs'!$C$22="",0,(IF(AND(AV$4&gt;='APA Inputs'!$C$22,AV$4&lt;EDATE('APA Inputs'!$C$22,N('APA Inputs'!$D$22))),'APA Inputs'!$J$22,0)+IF(N('APA Inputs'!$H$22)&gt;0,IF(AV$4=EDATE('APA Inputs'!$C$22,'APA Inputs'!$H$22-1),N('APA Inputs'!$G$22),0),0))*IF('APA Inputs'!$I$22="",1,'APA Inputs'!$I$22))</f>
        <v>0</v>
      </c>
      <c r="AW7" s="409" t="n">
        <f aca="false">IF('APA Inputs'!$C$22="",0,(IF(AND(AW$4&gt;='APA Inputs'!$C$22,AW$4&lt;EDATE('APA Inputs'!$C$22,N('APA Inputs'!$D$22))),'APA Inputs'!$J$22,0)+IF(N('APA Inputs'!$H$22)&gt;0,IF(AW$4=EDATE('APA Inputs'!$C$22,'APA Inputs'!$H$22-1),N('APA Inputs'!$G$22),0),0))*IF('APA Inputs'!$I$22="",1,'APA Inputs'!$I$22))</f>
        <v>0</v>
      </c>
      <c r="AX7" s="409" t="n">
        <f aca="false">IF('APA Inputs'!$C$22="",0,(IF(AND(AX$4&gt;='APA Inputs'!$C$22,AX$4&lt;EDATE('APA Inputs'!$C$22,N('APA Inputs'!$D$22))),'APA Inputs'!$J$22,0)+IF(N('APA Inputs'!$H$22)&gt;0,IF(AX$4=EDATE('APA Inputs'!$C$22,'APA Inputs'!$H$22-1),N('APA Inputs'!$G$22),0),0))*IF('APA Inputs'!$I$22="",1,'APA Inputs'!$I$22))</f>
        <v>0</v>
      </c>
      <c r="AY7" s="409" t="n">
        <f aca="false">IF('APA Inputs'!$C$22="",0,(IF(AND(AY$4&gt;='APA Inputs'!$C$22,AY$4&lt;EDATE('APA Inputs'!$C$22,N('APA Inputs'!$D$22))),'APA Inputs'!$J$22,0)+IF(N('APA Inputs'!$H$22)&gt;0,IF(AY$4=EDATE('APA Inputs'!$C$22,'APA Inputs'!$H$22-1),N('APA Inputs'!$G$22),0),0))*IF('APA Inputs'!$I$22="",1,'APA Inputs'!$I$22))</f>
        <v>0</v>
      </c>
      <c r="AZ7" s="409" t="n">
        <f aca="false">IF('APA Inputs'!$C$22="",0,(IF(AND(AZ$4&gt;='APA Inputs'!$C$22,AZ$4&lt;EDATE('APA Inputs'!$C$22,N('APA Inputs'!$D$22))),'APA Inputs'!$J$22,0)+IF(N('APA Inputs'!$H$22)&gt;0,IF(AZ$4=EDATE('APA Inputs'!$C$22,'APA Inputs'!$H$22-1),N('APA Inputs'!$G$22),0),0))*IF('APA Inputs'!$I$22="",1,'APA Inputs'!$I$22))</f>
        <v>0</v>
      </c>
      <c r="BA7" s="409" t="n">
        <f aca="false">IF('APA Inputs'!$C$22="",0,(IF(AND(BA$4&gt;='APA Inputs'!$C$22,BA$4&lt;EDATE('APA Inputs'!$C$22,N('APA Inputs'!$D$22))),'APA Inputs'!$J$22,0)+IF(N('APA Inputs'!$H$22)&gt;0,IF(BA$4=EDATE('APA Inputs'!$C$22,'APA Inputs'!$H$22-1),N('APA Inputs'!$G$22),0),0))*IF('APA Inputs'!$I$22="",1,'APA Inputs'!$I$22))</f>
        <v>0</v>
      </c>
      <c r="BB7" s="409" t="n">
        <f aca="false">IF('APA Inputs'!$C$22="",0,(IF(AND(BB$4&gt;='APA Inputs'!$C$22,BB$4&lt;EDATE('APA Inputs'!$C$22,N('APA Inputs'!$D$22))),'APA Inputs'!$J$22,0)+IF(N('APA Inputs'!$H$22)&gt;0,IF(BB$4=EDATE('APA Inputs'!$C$22,'APA Inputs'!$H$22-1),N('APA Inputs'!$G$22),0),0))*IF('APA Inputs'!$I$22="",1,'APA Inputs'!$I$22))</f>
        <v>0</v>
      </c>
      <c r="BC7" s="409" t="n">
        <f aca="false">IF('APA Inputs'!$C$22="",0,(IF(AND(BC$4&gt;='APA Inputs'!$C$22,BC$4&lt;EDATE('APA Inputs'!$C$22,N('APA Inputs'!$D$22))),'APA Inputs'!$J$22,0)+IF(N('APA Inputs'!$H$22)&gt;0,IF(BC$4=EDATE('APA Inputs'!$C$22,'APA Inputs'!$H$22-1),N('APA Inputs'!$G$22),0),0))*IF('APA Inputs'!$I$22="",1,'APA Inputs'!$I$22))</f>
        <v>0</v>
      </c>
      <c r="BD7" s="409" t="n">
        <f aca="false">IF('APA Inputs'!$C$22="",0,(IF(AND(BD$4&gt;='APA Inputs'!$C$22,BD$4&lt;EDATE('APA Inputs'!$C$22,N('APA Inputs'!$D$22))),'APA Inputs'!$J$22,0)+IF(N('APA Inputs'!$H$22)&gt;0,IF(BD$4=EDATE('APA Inputs'!$C$22,'APA Inputs'!$H$22-1),N('APA Inputs'!$G$22),0),0))*IF('APA Inputs'!$I$22="",1,'APA Inputs'!$I$22))</f>
        <v>0</v>
      </c>
      <c r="BE7" s="409" t="n">
        <f aca="false">IF('APA Inputs'!$C$22="",0,(IF(AND(BE$4&gt;='APA Inputs'!$C$22,BE$4&lt;EDATE('APA Inputs'!$C$22,N('APA Inputs'!$D$22))),'APA Inputs'!$J$22,0)+IF(N('APA Inputs'!$H$22)&gt;0,IF(BE$4=EDATE('APA Inputs'!$C$22,'APA Inputs'!$H$22-1),N('APA Inputs'!$G$22),0),0))*IF('APA Inputs'!$I$22="",1,'APA Inputs'!$I$22))</f>
        <v>0</v>
      </c>
      <c r="BF7" s="409" t="n">
        <f aca="false">IF('APA Inputs'!$C$22="",0,(IF(AND(BF$4&gt;='APA Inputs'!$C$22,BF$4&lt;EDATE('APA Inputs'!$C$22,N('APA Inputs'!$D$22))),'APA Inputs'!$J$22,0)+IF(N('APA Inputs'!$H$22)&gt;0,IF(BF$4=EDATE('APA Inputs'!$C$22,'APA Inputs'!$H$22-1),N('APA Inputs'!$G$22),0),0))*IF('APA Inputs'!$I$22="",1,'APA Inputs'!$I$22))</f>
        <v>0</v>
      </c>
      <c r="BG7" s="409" t="n">
        <f aca="false">IF('APA Inputs'!$C$22="",0,(IF(AND(BG$4&gt;='APA Inputs'!$C$22,BG$4&lt;EDATE('APA Inputs'!$C$22,N('APA Inputs'!$D$22))),'APA Inputs'!$J$22,0)+IF(N('APA Inputs'!$H$22)&gt;0,IF(BG$4=EDATE('APA Inputs'!$C$22,'APA Inputs'!$H$22-1),N('APA Inputs'!$G$22),0),0))*IF('APA Inputs'!$I$22="",1,'APA Inputs'!$I$22))</f>
        <v>0</v>
      </c>
      <c r="BH7" s="409" t="n">
        <f aca="false">IF('APA Inputs'!$C$22="",0,(IF(AND(BH$4&gt;='APA Inputs'!$C$22,BH$4&lt;EDATE('APA Inputs'!$C$22,N('APA Inputs'!$D$22))),'APA Inputs'!$J$22,0)+IF(N('APA Inputs'!$H$22)&gt;0,IF(BH$4=EDATE('APA Inputs'!$C$22,'APA Inputs'!$H$22-1),N('APA Inputs'!$G$22),0),0))*IF('APA Inputs'!$I$22="",1,'APA Inputs'!$I$22))</f>
        <v>0</v>
      </c>
      <c r="BI7" s="409" t="n">
        <f aca="false">IF('APA Inputs'!$C$22="",0,(IF(AND(BI$4&gt;='APA Inputs'!$C$22,BI$4&lt;EDATE('APA Inputs'!$C$22,N('APA Inputs'!$D$22))),'APA Inputs'!$J$22,0)+IF(N('APA Inputs'!$H$22)&gt;0,IF(BI$4=EDATE('APA Inputs'!$C$22,'APA Inputs'!$H$22-1),N('APA Inputs'!$G$22),0),0))*IF('APA Inputs'!$I$22="",1,'APA Inputs'!$I$22))</f>
        <v>0</v>
      </c>
      <c r="BJ7" s="409" t="n">
        <f aca="false">IF('APA Inputs'!$C$22="",0,(IF(AND(BJ$4&gt;='APA Inputs'!$C$22,BJ$4&lt;EDATE('APA Inputs'!$C$22,N('APA Inputs'!$D$22))),'APA Inputs'!$J$22,0)+IF(N('APA Inputs'!$H$22)&gt;0,IF(BJ$4=EDATE('APA Inputs'!$C$22,'APA Inputs'!$H$22-1),N('APA Inputs'!$G$22),0),0))*IF('APA Inputs'!$I$22="",1,'APA Inputs'!$I$22))</f>
        <v>0</v>
      </c>
      <c r="BK7" s="409" t="n">
        <f aca="false">IF('APA Inputs'!$C$22="",0,(IF(AND(BK$4&gt;='APA Inputs'!$C$22,BK$4&lt;EDATE('APA Inputs'!$C$22,N('APA Inputs'!$D$22))),'APA Inputs'!$J$22,0)+IF(N('APA Inputs'!$H$22)&gt;0,IF(BK$4=EDATE('APA Inputs'!$C$22,'APA Inputs'!$H$22-1),N('APA Inputs'!$G$22),0),0))*IF('APA Inputs'!$I$22="",1,'APA Inputs'!$I$22))</f>
        <v>0</v>
      </c>
      <c r="BL7" s="409" t="n">
        <f aca="false">IF('APA Inputs'!$C$22="",0,(IF(AND(BL$4&gt;='APA Inputs'!$C$22,BL$4&lt;EDATE('APA Inputs'!$C$22,N('APA Inputs'!$D$22))),'APA Inputs'!$J$22,0)+IF(N('APA Inputs'!$H$22)&gt;0,IF(BL$4=EDATE('APA Inputs'!$C$22,'APA Inputs'!$H$22-1),N('APA Inputs'!$G$22),0),0))*IF('APA Inputs'!$I$22="",1,'APA Inputs'!$I$22))</f>
        <v>0</v>
      </c>
      <c r="BM7" s="409" t="n">
        <f aca="false">IF('APA Inputs'!$C$22="",0,(IF(AND(BM$4&gt;='APA Inputs'!$C$22,BM$4&lt;EDATE('APA Inputs'!$C$22,N('APA Inputs'!$D$22))),'APA Inputs'!$J$22,0)+IF(N('APA Inputs'!$H$22)&gt;0,IF(BM$4=EDATE('APA Inputs'!$C$22,'APA Inputs'!$H$22-1),N('APA Inputs'!$G$22),0),0))*IF('APA Inputs'!$I$22="",1,'APA Inputs'!$I$22))</f>
        <v>0</v>
      </c>
      <c r="BN7" s="409" t="n">
        <f aca="false">IF('APA Inputs'!$C$22="",0,(IF(AND(BN$4&gt;='APA Inputs'!$C$22,BN$4&lt;EDATE('APA Inputs'!$C$22,N('APA Inputs'!$D$22))),'APA Inputs'!$J$22,0)+IF(N('APA Inputs'!$H$22)&gt;0,IF(BN$4=EDATE('APA Inputs'!$C$22,'APA Inputs'!$H$22-1),N('APA Inputs'!$G$22),0),0))*IF('APA Inputs'!$I$22="",1,'APA Inputs'!$I$22))</f>
        <v>0</v>
      </c>
      <c r="BO7" s="409" t="n">
        <f aca="false">IF('APA Inputs'!$C$22="",0,(IF(AND(BO$4&gt;='APA Inputs'!$C$22,BO$4&lt;EDATE('APA Inputs'!$C$22,N('APA Inputs'!$D$22))),'APA Inputs'!$J$22,0)+IF(N('APA Inputs'!$H$22)&gt;0,IF(BO$4=EDATE('APA Inputs'!$C$22,'APA Inputs'!$H$22-1),N('APA Inputs'!$G$22),0),0))*IF('APA Inputs'!$I$22="",1,'APA Inputs'!$I$22))</f>
        <v>0</v>
      </c>
      <c r="BP7" s="409" t="n">
        <f aca="false">IF('APA Inputs'!$C$22="",0,(IF(AND(BP$4&gt;='APA Inputs'!$C$22,BP$4&lt;EDATE('APA Inputs'!$C$22,N('APA Inputs'!$D$22))),'APA Inputs'!$J$22,0)+IF(N('APA Inputs'!$H$22)&gt;0,IF(BP$4=EDATE('APA Inputs'!$C$22,'APA Inputs'!$H$22-1),N('APA Inputs'!$G$22),0),0))*IF('APA Inputs'!$I$22="",1,'APA Inputs'!$I$22))</f>
        <v>0</v>
      </c>
      <c r="BQ7" s="409" t="n">
        <f aca="false">IF('APA Inputs'!$C$22="",0,(IF(AND(BQ$4&gt;='APA Inputs'!$C$22,BQ$4&lt;EDATE('APA Inputs'!$C$22,N('APA Inputs'!$D$22))),'APA Inputs'!$J$22,0)+IF(N('APA Inputs'!$H$22)&gt;0,IF(BQ$4=EDATE('APA Inputs'!$C$22,'APA Inputs'!$H$22-1),N('APA Inputs'!$G$22),0),0))*IF('APA Inputs'!$I$22="",1,'APA Inputs'!$I$22))</f>
        <v>0</v>
      </c>
      <c r="BR7" s="409" t="n">
        <f aca="false">IF('APA Inputs'!$C$22="",0,(IF(AND(BR$4&gt;='APA Inputs'!$C$22,BR$4&lt;EDATE('APA Inputs'!$C$22,N('APA Inputs'!$D$22))),'APA Inputs'!$J$22,0)+IF(N('APA Inputs'!$H$22)&gt;0,IF(BR$4=EDATE('APA Inputs'!$C$22,'APA Inputs'!$H$22-1),N('APA Inputs'!$G$22),0),0))*IF('APA Inputs'!$I$22="",1,'APA Inputs'!$I$22))</f>
        <v>0</v>
      </c>
      <c r="BS7" s="409" t="n">
        <f aca="false">IF('APA Inputs'!$C$22="",0,(IF(AND(BS$4&gt;='APA Inputs'!$C$22,BS$4&lt;EDATE('APA Inputs'!$C$22,N('APA Inputs'!$D$22))),'APA Inputs'!$J$22,0)+IF(N('APA Inputs'!$H$22)&gt;0,IF(BS$4=EDATE('APA Inputs'!$C$22,'APA Inputs'!$H$22-1),N('APA Inputs'!$G$22),0),0))*IF('APA Inputs'!$I$22="",1,'APA Inputs'!$I$22))</f>
        <v>0</v>
      </c>
      <c r="BT7" s="409" t="n">
        <f aca="false">IF('APA Inputs'!$C$22="",0,(IF(AND(BT$4&gt;='APA Inputs'!$C$22,BT$4&lt;EDATE('APA Inputs'!$C$22,N('APA Inputs'!$D$22))),'APA Inputs'!$J$22,0)+IF(N('APA Inputs'!$H$22)&gt;0,IF(BT$4=EDATE('APA Inputs'!$C$22,'APA Inputs'!$H$22-1),N('APA Inputs'!$G$22),0),0))*IF('APA Inputs'!$I$22="",1,'APA Inputs'!$I$22))</f>
        <v>0</v>
      </c>
      <c r="BU7" s="409" t="n">
        <f aca="false">IF('APA Inputs'!$C$22="",0,(IF(AND(BU$4&gt;='APA Inputs'!$C$22,BU$4&lt;EDATE('APA Inputs'!$C$22,N('APA Inputs'!$D$22))),'APA Inputs'!$J$22,0)+IF(N('APA Inputs'!$H$22)&gt;0,IF(BU$4=EDATE('APA Inputs'!$C$22,'APA Inputs'!$H$22-1),N('APA Inputs'!$G$22),0),0))*IF('APA Inputs'!$I$22="",1,'APA Inputs'!$I$22))</f>
        <v>0</v>
      </c>
      <c r="BV7" s="409" t="n">
        <f aca="false">IF('APA Inputs'!$C$22="",0,(IF(AND(BV$4&gt;='APA Inputs'!$C$22,BV$4&lt;EDATE('APA Inputs'!$C$22,N('APA Inputs'!$D$22))),'APA Inputs'!$J$22,0)+IF(N('APA Inputs'!$H$22)&gt;0,IF(BV$4=EDATE('APA Inputs'!$C$22,'APA Inputs'!$H$22-1),N('APA Inputs'!$G$22),0),0))*IF('APA Inputs'!$I$22="",1,'APA Inputs'!$I$22))</f>
        <v>0</v>
      </c>
      <c r="BW7" s="409" t="n">
        <f aca="false">IF('APA Inputs'!$C$22="",0,(IF(AND(BW$4&gt;='APA Inputs'!$C$22,BW$4&lt;EDATE('APA Inputs'!$C$22,N('APA Inputs'!$D$22))),'APA Inputs'!$J$22,0)+IF(N('APA Inputs'!$H$22)&gt;0,IF(BW$4=EDATE('APA Inputs'!$C$22,'APA Inputs'!$H$22-1),N('APA Inputs'!$G$22),0),0))*IF('APA Inputs'!$I$22="",1,'APA Inputs'!$I$22))</f>
        <v>0</v>
      </c>
      <c r="BX7" s="409" t="n">
        <f aca="false">IF('APA Inputs'!$C$22="",0,(IF(AND(BX$4&gt;='APA Inputs'!$C$22,BX$4&lt;EDATE('APA Inputs'!$C$22,N('APA Inputs'!$D$22))),'APA Inputs'!$J$22,0)+IF(N('APA Inputs'!$H$22)&gt;0,IF(BX$4=EDATE('APA Inputs'!$C$22,'APA Inputs'!$H$22-1),N('APA Inputs'!$G$22),0),0))*IF('APA Inputs'!$I$22="",1,'APA Inputs'!$I$22))</f>
        <v>0</v>
      </c>
      <c r="BY7" s="409" t="n">
        <f aca="false">IF('APA Inputs'!$C$22="",0,(IF(AND(BY$4&gt;='APA Inputs'!$C$22,BY$4&lt;EDATE('APA Inputs'!$C$22,N('APA Inputs'!$D$22))),'APA Inputs'!$J$22,0)+IF(N('APA Inputs'!$H$22)&gt;0,IF(BY$4=EDATE('APA Inputs'!$C$22,'APA Inputs'!$H$22-1),N('APA Inputs'!$G$22),0),0))*IF('APA Inputs'!$I$22="",1,'APA Inputs'!$I$22))</f>
        <v>0</v>
      </c>
      <c r="BZ7" s="409" t="n">
        <f aca="false">IF('APA Inputs'!$C$22="",0,(IF(AND(BZ$4&gt;='APA Inputs'!$C$22,BZ$4&lt;EDATE('APA Inputs'!$C$22,N('APA Inputs'!$D$22))),'APA Inputs'!$J$22,0)+IF(N('APA Inputs'!$H$22)&gt;0,IF(BZ$4=EDATE('APA Inputs'!$C$22,'APA Inputs'!$H$22-1),N('APA Inputs'!$G$22),0),0))*IF('APA Inputs'!$I$22="",1,'APA Inputs'!$I$22))</f>
        <v>0</v>
      </c>
      <c r="CA7" s="409" t="n">
        <f aca="false">IF('APA Inputs'!$C$22="",0,(IF(AND(CA$4&gt;='APA Inputs'!$C$22,CA$4&lt;EDATE('APA Inputs'!$C$22,N('APA Inputs'!$D$22))),'APA Inputs'!$J$22,0)+IF(N('APA Inputs'!$H$22)&gt;0,IF(CA$4=EDATE('APA Inputs'!$C$22,'APA Inputs'!$H$22-1),N('APA Inputs'!$G$22),0),0))*IF('APA Inputs'!$I$22="",1,'APA Inputs'!$I$22))</f>
        <v>0</v>
      </c>
      <c r="CB7" s="409" t="n">
        <f aca="false">IF('APA Inputs'!$C$22="",0,(IF(AND(CB$4&gt;='APA Inputs'!$C$22,CB$4&lt;EDATE('APA Inputs'!$C$22,N('APA Inputs'!$D$22))),'APA Inputs'!$J$22,0)+IF(N('APA Inputs'!$H$22)&gt;0,IF(CB$4=EDATE('APA Inputs'!$C$22,'APA Inputs'!$H$22-1),N('APA Inputs'!$G$22),0),0))*IF('APA Inputs'!$I$22="",1,'APA Inputs'!$I$22))</f>
        <v>0</v>
      </c>
      <c r="CC7" s="409" t="n">
        <f aca="false">IF('APA Inputs'!$C$22="",0,(IF(AND(CC$4&gt;='APA Inputs'!$C$22,CC$4&lt;EDATE('APA Inputs'!$C$22,N('APA Inputs'!$D$22))),'APA Inputs'!$J$22,0)+IF(N('APA Inputs'!$H$22)&gt;0,IF(CC$4=EDATE('APA Inputs'!$C$22,'APA Inputs'!$H$22-1),N('APA Inputs'!$G$22),0),0))*IF('APA Inputs'!$I$22="",1,'APA Inputs'!$I$22))</f>
        <v>0</v>
      </c>
      <c r="CD7" s="409" t="n">
        <f aca="false">IF('APA Inputs'!$C$22="",0,(IF(AND(CD$4&gt;='APA Inputs'!$C$22,CD$4&lt;EDATE('APA Inputs'!$C$22,N('APA Inputs'!$D$22))),'APA Inputs'!$J$22,0)+IF(N('APA Inputs'!$H$22)&gt;0,IF(CD$4=EDATE('APA Inputs'!$C$22,'APA Inputs'!$H$22-1),N('APA Inputs'!$G$22),0),0))*IF('APA Inputs'!$I$22="",1,'APA Inputs'!$I$22))</f>
        <v>0</v>
      </c>
      <c r="CE7" s="409" t="n">
        <f aca="false">IF('APA Inputs'!$C$22="",0,(IF(AND(CE$4&gt;='APA Inputs'!$C$22,CE$4&lt;EDATE('APA Inputs'!$C$22,N('APA Inputs'!$D$22))),'APA Inputs'!$J$22,0)+IF(N('APA Inputs'!$H$22)&gt;0,IF(CE$4=EDATE('APA Inputs'!$C$22,'APA Inputs'!$H$22-1),N('APA Inputs'!$G$22),0),0))*IF('APA Inputs'!$I$22="",1,'APA Inputs'!$I$22))</f>
        <v>0</v>
      </c>
      <c r="CF7" s="409" t="n">
        <f aca="false">IF('APA Inputs'!$C$22="",0,(IF(AND(CF$4&gt;='APA Inputs'!$C$22,CF$4&lt;EDATE('APA Inputs'!$C$22,N('APA Inputs'!$D$22))),'APA Inputs'!$J$22,0)+IF(N('APA Inputs'!$H$22)&gt;0,IF(CF$4=EDATE('APA Inputs'!$C$22,'APA Inputs'!$H$22-1),N('APA Inputs'!$G$22),0),0))*IF('APA Inputs'!$I$22="",1,'APA Inputs'!$I$22))</f>
        <v>0</v>
      </c>
      <c r="CG7" s="409" t="n">
        <f aca="false">IF('APA Inputs'!$C$22="",0,(IF(AND(CG$4&gt;='APA Inputs'!$C$22,CG$4&lt;EDATE('APA Inputs'!$C$22,N('APA Inputs'!$D$22))),'APA Inputs'!$J$22,0)+IF(N('APA Inputs'!$H$22)&gt;0,IF(CG$4=EDATE('APA Inputs'!$C$22,'APA Inputs'!$H$22-1),N('APA Inputs'!$G$22),0),0))*IF('APA Inputs'!$I$22="",1,'APA Inputs'!$I$22))</f>
        <v>0</v>
      </c>
      <c r="CH7" s="409" t="n">
        <f aca="false">IF('APA Inputs'!$C$22="",0,(IF(AND(CH$4&gt;='APA Inputs'!$C$22,CH$4&lt;EDATE('APA Inputs'!$C$22,N('APA Inputs'!$D$22))),'APA Inputs'!$J$22,0)+IF(N('APA Inputs'!$H$22)&gt;0,IF(CH$4=EDATE('APA Inputs'!$C$22,'APA Inputs'!$H$22-1),N('APA Inputs'!$G$22),0),0))*IF('APA Inputs'!$I$22="",1,'APA Inputs'!$I$22))</f>
        <v>0</v>
      </c>
      <c r="CI7" s="409" t="n">
        <f aca="false">IF('APA Inputs'!$C$22="",0,(IF(AND(CI$4&gt;='APA Inputs'!$C$22,CI$4&lt;EDATE('APA Inputs'!$C$22,N('APA Inputs'!$D$22))),'APA Inputs'!$J$22,0)+IF(N('APA Inputs'!$H$22)&gt;0,IF(CI$4=EDATE('APA Inputs'!$C$22,'APA Inputs'!$H$22-1),N('APA Inputs'!$G$22),0),0))*IF('APA Inputs'!$I$22="",1,'APA Inputs'!$I$22))</f>
        <v>0</v>
      </c>
      <c r="CJ7" s="409" t="n">
        <f aca="false">IF('APA Inputs'!$C$22="",0,(IF(AND(CJ$4&gt;='APA Inputs'!$C$22,CJ$4&lt;EDATE('APA Inputs'!$C$22,N('APA Inputs'!$D$22))),'APA Inputs'!$J$22,0)+IF(N('APA Inputs'!$H$22)&gt;0,IF(CJ$4=EDATE('APA Inputs'!$C$22,'APA Inputs'!$H$22-1),N('APA Inputs'!$G$22),0),0))*IF('APA Inputs'!$I$22="",1,'APA Inputs'!$I$22))</f>
        <v>0</v>
      </c>
      <c r="CK7" s="409" t="n">
        <f aca="false">IF('APA Inputs'!$C$22="",0,(IF(AND(CK$4&gt;='APA Inputs'!$C$22,CK$4&lt;EDATE('APA Inputs'!$C$22,N('APA Inputs'!$D$22))),'APA Inputs'!$J$22,0)+IF(N('APA Inputs'!$H$22)&gt;0,IF(CK$4=EDATE('APA Inputs'!$C$22,'APA Inputs'!$H$22-1),N('APA Inputs'!$G$22),0),0))*IF('APA Inputs'!$I$22="",1,'APA Inputs'!$I$22))</f>
        <v>0</v>
      </c>
      <c r="CL7" s="409" t="n">
        <f aca="false">IF('APA Inputs'!$C$22="",0,(IF(AND(CL$4&gt;='APA Inputs'!$C$22,CL$4&lt;EDATE('APA Inputs'!$C$22,N('APA Inputs'!$D$22))),'APA Inputs'!$J$22,0)+IF(N('APA Inputs'!$H$22)&gt;0,IF(CL$4=EDATE('APA Inputs'!$C$22,'APA Inputs'!$H$22-1),N('APA Inputs'!$G$22),0),0))*IF('APA Inputs'!$I$22="",1,'APA Inputs'!$I$22))</f>
        <v>0</v>
      </c>
      <c r="CM7" s="409" t="n">
        <f aca="false">IF('APA Inputs'!$C$22="",0,(IF(AND(CM$4&gt;='APA Inputs'!$C$22,CM$4&lt;EDATE('APA Inputs'!$C$22,N('APA Inputs'!$D$22))),'APA Inputs'!$J$22,0)+IF(N('APA Inputs'!$H$22)&gt;0,IF(CM$4=EDATE('APA Inputs'!$C$22,'APA Inputs'!$H$22-1),N('APA Inputs'!$G$22),0),0))*IF('APA Inputs'!$I$22="",1,'APA Inputs'!$I$22))</f>
        <v>0</v>
      </c>
      <c r="CN7" s="409" t="n">
        <f aca="false">IF('APA Inputs'!$C$22="",0,(IF(AND(CN$4&gt;='APA Inputs'!$C$22,CN$4&lt;EDATE('APA Inputs'!$C$22,N('APA Inputs'!$D$22))),'APA Inputs'!$J$22,0)+IF(N('APA Inputs'!$H$22)&gt;0,IF(CN$4=EDATE('APA Inputs'!$C$22,'APA Inputs'!$H$22-1),N('APA Inputs'!$G$22),0),0))*IF('APA Inputs'!$I$22="",1,'APA Inputs'!$I$22))</f>
        <v>0</v>
      </c>
      <c r="CO7" s="409" t="n">
        <f aca="false">IF('APA Inputs'!$C$22="",0,(IF(AND(CO$4&gt;='APA Inputs'!$C$22,CO$4&lt;EDATE('APA Inputs'!$C$22,N('APA Inputs'!$D$22))),'APA Inputs'!$J$22,0)+IF(N('APA Inputs'!$H$22)&gt;0,IF(CO$4=EDATE('APA Inputs'!$C$22,'APA Inputs'!$H$22-1),N('APA Inputs'!$G$22),0),0))*IF('APA Inputs'!$I$22="",1,'APA Inputs'!$I$22))</f>
        <v>0</v>
      </c>
      <c r="CP7" s="409" t="n">
        <f aca="false">IF('APA Inputs'!$C$22="",0,(IF(AND(CP$4&gt;='APA Inputs'!$C$22,CP$4&lt;EDATE('APA Inputs'!$C$22,N('APA Inputs'!$D$22))),'APA Inputs'!$J$22,0)+IF(N('APA Inputs'!$H$22)&gt;0,IF(CP$4=EDATE('APA Inputs'!$C$22,'APA Inputs'!$H$22-1),N('APA Inputs'!$G$22),0),0))*IF('APA Inputs'!$I$22="",1,'APA Inputs'!$I$22))</f>
        <v>0</v>
      </c>
      <c r="CQ7" s="409" t="n">
        <f aca="false">IF('APA Inputs'!$C$22="",0,(IF(AND(CQ$4&gt;='APA Inputs'!$C$22,CQ$4&lt;EDATE('APA Inputs'!$C$22,N('APA Inputs'!$D$22))),'APA Inputs'!$J$22,0)+IF(N('APA Inputs'!$H$22)&gt;0,IF(CQ$4=EDATE('APA Inputs'!$C$22,'APA Inputs'!$H$22-1),N('APA Inputs'!$G$22),0),0))*IF('APA Inputs'!$I$22="",1,'APA Inputs'!$I$22))</f>
        <v>0</v>
      </c>
      <c r="CR7" s="409" t="n">
        <f aca="false">IF('APA Inputs'!$C$22="",0,(IF(AND(CR$4&gt;='APA Inputs'!$C$22,CR$4&lt;EDATE('APA Inputs'!$C$22,N('APA Inputs'!$D$22))),'APA Inputs'!$J$22,0)+IF(N('APA Inputs'!$H$22)&gt;0,IF(CR$4=EDATE('APA Inputs'!$C$22,'APA Inputs'!$H$22-1),N('APA Inputs'!$G$22),0),0))*IF('APA Inputs'!$I$22="",1,'APA Inputs'!$I$22))</f>
        <v>0</v>
      </c>
      <c r="CS7" s="409" t="n">
        <f aca="false">IF('APA Inputs'!$C$22="",0,(IF(AND(CS$4&gt;='APA Inputs'!$C$22,CS$4&lt;EDATE('APA Inputs'!$C$22,N('APA Inputs'!$D$22))),'APA Inputs'!$J$22,0)+IF(N('APA Inputs'!$H$22)&gt;0,IF(CS$4=EDATE('APA Inputs'!$C$22,'APA Inputs'!$H$22-1),N('APA Inputs'!$G$22),0),0))*IF('APA Inputs'!$I$22="",1,'APA Inputs'!$I$22))</f>
        <v>0</v>
      </c>
      <c r="CT7" s="409" t="n">
        <f aca="false">IF('APA Inputs'!$C$22="",0,(IF(AND(CT$4&gt;='APA Inputs'!$C$22,CT$4&lt;EDATE('APA Inputs'!$C$22,N('APA Inputs'!$D$22))),'APA Inputs'!$J$22,0)+IF(N('APA Inputs'!$H$22)&gt;0,IF(CT$4=EDATE('APA Inputs'!$C$22,'APA Inputs'!$H$22-1),N('APA Inputs'!$G$22),0),0))*IF('APA Inputs'!$I$22="",1,'APA Inputs'!$I$22))</f>
        <v>0</v>
      </c>
      <c r="CU7" s="409" t="n">
        <f aca="false">IF('APA Inputs'!$C$22="",0,(IF(AND(CU$4&gt;='APA Inputs'!$C$22,CU$4&lt;EDATE('APA Inputs'!$C$22,N('APA Inputs'!$D$22))),'APA Inputs'!$J$22,0)+IF(N('APA Inputs'!$H$22)&gt;0,IF(CU$4=EDATE('APA Inputs'!$C$22,'APA Inputs'!$H$22-1),N('APA Inputs'!$G$22),0),0))*IF('APA Inputs'!$I$22="",1,'APA Inputs'!$I$22))</f>
        <v>0</v>
      </c>
      <c r="CV7" s="409" t="n">
        <f aca="false">IF('APA Inputs'!$C$22="",0,(IF(AND(CV$4&gt;='APA Inputs'!$C$22,CV$4&lt;EDATE('APA Inputs'!$C$22,N('APA Inputs'!$D$22))),'APA Inputs'!$J$22,0)+IF(N('APA Inputs'!$H$22)&gt;0,IF(CV$4=EDATE('APA Inputs'!$C$22,'APA Inputs'!$H$22-1),N('APA Inputs'!$G$22),0),0))*IF('APA Inputs'!$I$22="",1,'APA Inputs'!$I$22))</f>
        <v>0</v>
      </c>
      <c r="CW7" s="409" t="n">
        <f aca="false">IF('APA Inputs'!$C$22="",0,(IF(AND(CW$4&gt;='APA Inputs'!$C$22,CW$4&lt;EDATE('APA Inputs'!$C$22,N('APA Inputs'!$D$22))),'APA Inputs'!$J$22,0)+IF(N('APA Inputs'!$H$22)&gt;0,IF(CW$4=EDATE('APA Inputs'!$C$22,'APA Inputs'!$H$22-1),N('APA Inputs'!$G$22),0),0))*IF('APA Inputs'!$I$22="",1,'APA Inputs'!$I$22))</f>
        <v>0</v>
      </c>
      <c r="CX7" s="409" t="n">
        <f aca="false">IF('APA Inputs'!$C$22="",0,(IF(AND(CX$4&gt;='APA Inputs'!$C$22,CX$4&lt;EDATE('APA Inputs'!$C$22,N('APA Inputs'!$D$22))),'APA Inputs'!$J$22,0)+IF(N('APA Inputs'!$H$22)&gt;0,IF(CX$4=EDATE('APA Inputs'!$C$22,'APA Inputs'!$H$22-1),N('APA Inputs'!$G$22),0),0))*IF('APA Inputs'!$I$22="",1,'APA Inputs'!$I$22))</f>
        <v>0</v>
      </c>
      <c r="CY7" s="409" t="n">
        <f aca="false">IF('APA Inputs'!$C$22="",0,(IF(AND(CY$4&gt;='APA Inputs'!$C$22,CY$4&lt;EDATE('APA Inputs'!$C$22,N('APA Inputs'!$D$22))),'APA Inputs'!$J$22,0)+IF(N('APA Inputs'!$H$22)&gt;0,IF(CY$4=EDATE('APA Inputs'!$C$22,'APA Inputs'!$H$22-1),N('APA Inputs'!$G$22),0),0))*IF('APA Inputs'!$I$22="",1,'APA Inputs'!$I$22))</f>
        <v>0</v>
      </c>
      <c r="CZ7" s="409" t="n">
        <f aca="false">IF('APA Inputs'!$C$22="",0,(IF(AND(CZ$4&gt;='APA Inputs'!$C$22,CZ$4&lt;EDATE('APA Inputs'!$C$22,N('APA Inputs'!$D$22))),'APA Inputs'!$J$22,0)+IF(N('APA Inputs'!$H$22)&gt;0,IF(CZ$4=EDATE('APA Inputs'!$C$22,'APA Inputs'!$H$22-1),N('APA Inputs'!$G$22),0),0))*IF('APA Inputs'!$I$22="",1,'APA Inputs'!$I$22))</f>
        <v>0</v>
      </c>
      <c r="DA7" s="409" t="n">
        <f aca="false">IF('APA Inputs'!$C$22="",0,(IF(AND(DA$4&gt;='APA Inputs'!$C$22,DA$4&lt;EDATE('APA Inputs'!$C$22,N('APA Inputs'!$D$22))),'APA Inputs'!$J$22,0)+IF(N('APA Inputs'!$H$22)&gt;0,IF(DA$4=EDATE('APA Inputs'!$C$22,'APA Inputs'!$H$22-1),N('APA Inputs'!$G$22),0),0))*IF('APA Inputs'!$I$22="",1,'APA Inputs'!$I$22))</f>
        <v>0</v>
      </c>
      <c r="DB7" s="409" t="n">
        <f aca="false">IF('APA Inputs'!$C$22="",0,(IF(AND(DB$4&gt;='APA Inputs'!$C$22,DB$4&lt;EDATE('APA Inputs'!$C$22,N('APA Inputs'!$D$22))),'APA Inputs'!$J$22,0)+IF(N('APA Inputs'!$H$22)&gt;0,IF(DB$4=EDATE('APA Inputs'!$C$22,'APA Inputs'!$H$22-1),N('APA Inputs'!$G$22),0),0))*IF('APA Inputs'!$I$22="",1,'APA Inputs'!$I$22))</f>
        <v>0</v>
      </c>
      <c r="DC7" s="409" t="n">
        <f aca="false">IF('APA Inputs'!$C$22="",0,(IF(AND(DC$4&gt;='APA Inputs'!$C$22,DC$4&lt;EDATE('APA Inputs'!$C$22,N('APA Inputs'!$D$22))),'APA Inputs'!$J$22,0)+IF(N('APA Inputs'!$H$22)&gt;0,IF(DC$4=EDATE('APA Inputs'!$C$22,'APA Inputs'!$H$22-1),N('APA Inputs'!$G$22),0),0))*IF('APA Inputs'!$I$22="",1,'APA Inputs'!$I$22))</f>
        <v>0</v>
      </c>
      <c r="DD7" s="409" t="n">
        <f aca="false">IF('APA Inputs'!$C$22="",0,(IF(AND(DD$4&gt;='APA Inputs'!$C$22,DD$4&lt;EDATE('APA Inputs'!$C$22,N('APA Inputs'!$D$22))),'APA Inputs'!$J$22,0)+IF(N('APA Inputs'!$H$22)&gt;0,IF(DD$4=EDATE('APA Inputs'!$C$22,'APA Inputs'!$H$22-1),N('APA Inputs'!$G$22),0),0))*IF('APA Inputs'!$I$22="",1,'APA Inputs'!$I$22))</f>
        <v>0</v>
      </c>
      <c r="DE7" s="409"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09" t="n">
        <f aca="false">IF('APA Inputs'!$C$23="",0,(IF(AND(B$4&gt;='APA Inputs'!$C$23,B$4&lt;EDATE('APA Inputs'!$C$23,N('APA Inputs'!$D$23))),'APA Inputs'!$J$23,0)+IF(N('APA Inputs'!$H$23)&gt;0,IF(B$4=EDATE('APA Inputs'!$C$23,'APA Inputs'!$H$23-1),N('APA Inputs'!$G$23),0),0))*IF('APA Inputs'!$I$23="",1,'APA Inputs'!$I$23))</f>
        <v>0</v>
      </c>
      <c r="C8" s="409" t="n">
        <f aca="false">IF('APA Inputs'!$C$23="",0,(IF(AND(C$4&gt;='APA Inputs'!$C$23,C$4&lt;EDATE('APA Inputs'!$C$23,N('APA Inputs'!$D$23))),'APA Inputs'!$J$23,0)+IF(N('APA Inputs'!$H$23)&gt;0,IF(C$4=EDATE('APA Inputs'!$C$23,'APA Inputs'!$H$23-1),N('APA Inputs'!$G$23),0),0))*IF('APA Inputs'!$I$23="",1,'APA Inputs'!$I$23))</f>
        <v>0</v>
      </c>
      <c r="D8" s="409" t="n">
        <f aca="false">IF('APA Inputs'!$C$23="",0,(IF(AND(D$4&gt;='APA Inputs'!$C$23,D$4&lt;EDATE('APA Inputs'!$C$23,N('APA Inputs'!$D$23))),'APA Inputs'!$J$23,0)+IF(N('APA Inputs'!$H$23)&gt;0,IF(D$4=EDATE('APA Inputs'!$C$23,'APA Inputs'!$H$23-1),N('APA Inputs'!$G$23),0),0))*IF('APA Inputs'!$I$23="",1,'APA Inputs'!$I$23))</f>
        <v>0</v>
      </c>
      <c r="E8" s="409" t="n">
        <f aca="false">IF('APA Inputs'!$C$23="",0,(IF(AND(E$4&gt;='APA Inputs'!$C$23,E$4&lt;EDATE('APA Inputs'!$C$23,N('APA Inputs'!$D$23))),'APA Inputs'!$J$23,0)+IF(N('APA Inputs'!$H$23)&gt;0,IF(E$4=EDATE('APA Inputs'!$C$23,'APA Inputs'!$H$23-1),N('APA Inputs'!$G$23),0),0))*IF('APA Inputs'!$I$23="",1,'APA Inputs'!$I$23))</f>
        <v>0</v>
      </c>
      <c r="F8" s="409" t="n">
        <f aca="false">IF('APA Inputs'!$C$23="",0,(IF(AND(F$4&gt;='APA Inputs'!$C$23,F$4&lt;EDATE('APA Inputs'!$C$23,N('APA Inputs'!$D$23))),'APA Inputs'!$J$23,0)+IF(N('APA Inputs'!$H$23)&gt;0,IF(F$4=EDATE('APA Inputs'!$C$23,'APA Inputs'!$H$23-1),N('APA Inputs'!$G$23),0),0))*IF('APA Inputs'!$I$23="",1,'APA Inputs'!$I$23))</f>
        <v>0</v>
      </c>
      <c r="G8" s="409" t="n">
        <f aca="false">IF('APA Inputs'!$C$23="",0,(IF(AND(G$4&gt;='APA Inputs'!$C$23,G$4&lt;EDATE('APA Inputs'!$C$23,N('APA Inputs'!$D$23))),'APA Inputs'!$J$23,0)+IF(N('APA Inputs'!$H$23)&gt;0,IF(G$4=EDATE('APA Inputs'!$C$23,'APA Inputs'!$H$23-1),N('APA Inputs'!$G$23),0),0))*IF('APA Inputs'!$I$23="",1,'APA Inputs'!$I$23))</f>
        <v>0</v>
      </c>
      <c r="H8" s="409" t="n">
        <f aca="false">IF('APA Inputs'!$C$23="",0,(IF(AND(H$4&gt;='APA Inputs'!$C$23,H$4&lt;EDATE('APA Inputs'!$C$23,N('APA Inputs'!$D$23))),'APA Inputs'!$J$23,0)+IF(N('APA Inputs'!$H$23)&gt;0,IF(H$4=EDATE('APA Inputs'!$C$23,'APA Inputs'!$H$23-1),N('APA Inputs'!$G$23),0),0))*IF('APA Inputs'!$I$23="",1,'APA Inputs'!$I$23))</f>
        <v>0</v>
      </c>
      <c r="I8" s="409" t="n">
        <f aca="false">IF('APA Inputs'!$C$23="",0,(IF(AND(I$4&gt;='APA Inputs'!$C$23,I$4&lt;EDATE('APA Inputs'!$C$23,N('APA Inputs'!$D$23))),'APA Inputs'!$J$23,0)+IF(N('APA Inputs'!$H$23)&gt;0,IF(I$4=EDATE('APA Inputs'!$C$23,'APA Inputs'!$H$23-1),N('APA Inputs'!$G$23),0),0))*IF('APA Inputs'!$I$23="",1,'APA Inputs'!$I$23))</f>
        <v>4166.66</v>
      </c>
      <c r="J8" s="409" t="n">
        <f aca="false">IF('APA Inputs'!$C$23="",0,(IF(AND(J$4&gt;='APA Inputs'!$C$23,J$4&lt;EDATE('APA Inputs'!$C$23,N('APA Inputs'!$D$23))),'APA Inputs'!$J$23,0)+IF(N('APA Inputs'!$H$23)&gt;0,IF(J$4=EDATE('APA Inputs'!$C$23,'APA Inputs'!$H$23-1),N('APA Inputs'!$G$23),0),0))*IF('APA Inputs'!$I$23="",1,'APA Inputs'!$I$23))</f>
        <v>4166.66</v>
      </c>
      <c r="K8" s="409" t="n">
        <f aca="false">IF('APA Inputs'!$C$23="",0,(IF(AND(K$4&gt;='APA Inputs'!$C$23,K$4&lt;EDATE('APA Inputs'!$C$23,N('APA Inputs'!$D$23))),'APA Inputs'!$J$23,0)+IF(N('APA Inputs'!$H$23)&gt;0,IF(K$4=EDATE('APA Inputs'!$C$23,'APA Inputs'!$H$23-1),N('APA Inputs'!$G$23),0),0))*IF('APA Inputs'!$I$23="",1,'APA Inputs'!$I$23))</f>
        <v>4166.66</v>
      </c>
      <c r="L8" s="409" t="n">
        <f aca="false">IF('APA Inputs'!$C$23="",0,(IF(AND(L$4&gt;='APA Inputs'!$C$23,L$4&lt;EDATE('APA Inputs'!$C$23,N('APA Inputs'!$D$23))),'APA Inputs'!$J$23,0)+IF(N('APA Inputs'!$H$23)&gt;0,IF(L$4=EDATE('APA Inputs'!$C$23,'APA Inputs'!$H$23-1),N('APA Inputs'!$G$23),0),0))*IF('APA Inputs'!$I$23="",1,'APA Inputs'!$I$23))</f>
        <v>4166.66</v>
      </c>
      <c r="M8" s="409" t="n">
        <f aca="false">IF('APA Inputs'!$C$23="",0,(IF(AND(M$4&gt;='APA Inputs'!$C$23,M$4&lt;EDATE('APA Inputs'!$C$23,N('APA Inputs'!$D$23))),'APA Inputs'!$J$23,0)+IF(N('APA Inputs'!$H$23)&gt;0,IF(M$4=EDATE('APA Inputs'!$C$23,'APA Inputs'!$H$23-1),N('APA Inputs'!$G$23),0),0))*IF('APA Inputs'!$I$23="",1,'APA Inputs'!$I$23))</f>
        <v>4166.66</v>
      </c>
      <c r="N8" s="409" t="n">
        <f aca="false">IF('APA Inputs'!$C$23="",0,(IF(AND(N$4&gt;='APA Inputs'!$C$23,N$4&lt;EDATE('APA Inputs'!$C$23,N('APA Inputs'!$D$23))),'APA Inputs'!$J$23,0)+IF(N('APA Inputs'!$H$23)&gt;0,IF(N$4=EDATE('APA Inputs'!$C$23,'APA Inputs'!$H$23-1),N('APA Inputs'!$G$23),0),0))*IF('APA Inputs'!$I$23="",1,'APA Inputs'!$I$23))</f>
        <v>4166.66</v>
      </c>
      <c r="O8" s="409" t="n">
        <f aca="false">IF('APA Inputs'!$C$23="",0,(IF(AND(O$4&gt;='APA Inputs'!$C$23,O$4&lt;EDATE('APA Inputs'!$C$23,N('APA Inputs'!$D$23))),'APA Inputs'!$J$23,0)+IF(N('APA Inputs'!$H$23)&gt;0,IF(O$4=EDATE('APA Inputs'!$C$23,'APA Inputs'!$H$23-1),N('APA Inputs'!$G$23),0),0))*IF('APA Inputs'!$I$23="",1,'APA Inputs'!$I$23))</f>
        <v>4166.66</v>
      </c>
      <c r="P8" s="409" t="n">
        <f aca="false">IF('APA Inputs'!$C$23="",0,(IF(AND(P$4&gt;='APA Inputs'!$C$23,P$4&lt;EDATE('APA Inputs'!$C$23,N('APA Inputs'!$D$23))),'APA Inputs'!$J$23,0)+IF(N('APA Inputs'!$H$23)&gt;0,IF(P$4=EDATE('APA Inputs'!$C$23,'APA Inputs'!$H$23-1),N('APA Inputs'!$G$23),0),0))*IF('APA Inputs'!$I$23="",1,'APA Inputs'!$I$23))</f>
        <v>4166.66</v>
      </c>
      <c r="Q8" s="409" t="n">
        <f aca="false">IF('APA Inputs'!$C$23="",0,(IF(AND(Q$4&gt;='APA Inputs'!$C$23,Q$4&lt;EDATE('APA Inputs'!$C$23,N('APA Inputs'!$D$23))),'APA Inputs'!$J$23,0)+IF(N('APA Inputs'!$H$23)&gt;0,IF(Q$4=EDATE('APA Inputs'!$C$23,'APA Inputs'!$H$23-1),N('APA Inputs'!$G$23),0),0))*IF('APA Inputs'!$I$23="",1,'APA Inputs'!$I$23))</f>
        <v>4166.66</v>
      </c>
      <c r="R8" s="409" t="n">
        <f aca="false">IF('APA Inputs'!$C$23="",0,(IF(AND(R$4&gt;='APA Inputs'!$C$23,R$4&lt;EDATE('APA Inputs'!$C$23,N('APA Inputs'!$D$23))),'APA Inputs'!$J$23,0)+IF(N('APA Inputs'!$H$23)&gt;0,IF(R$4=EDATE('APA Inputs'!$C$23,'APA Inputs'!$H$23-1),N('APA Inputs'!$G$23),0),0))*IF('APA Inputs'!$I$23="",1,'APA Inputs'!$I$23))</f>
        <v>4166.66</v>
      </c>
      <c r="S8" s="409" t="n">
        <f aca="false">IF('APA Inputs'!$C$23="",0,(IF(AND(S$4&gt;='APA Inputs'!$C$23,S$4&lt;EDATE('APA Inputs'!$C$23,N('APA Inputs'!$D$23))),'APA Inputs'!$J$23,0)+IF(N('APA Inputs'!$H$23)&gt;0,IF(S$4=EDATE('APA Inputs'!$C$23,'APA Inputs'!$H$23-1),N('APA Inputs'!$G$23),0),0))*IF('APA Inputs'!$I$23="",1,'APA Inputs'!$I$23))</f>
        <v>4166.66</v>
      </c>
      <c r="T8" s="409" t="n">
        <f aca="false">IF('APA Inputs'!$C$23="",0,(IF(AND(T$4&gt;='APA Inputs'!$C$23,T$4&lt;EDATE('APA Inputs'!$C$23,N('APA Inputs'!$D$23))),'APA Inputs'!$J$23,0)+IF(N('APA Inputs'!$H$23)&gt;0,IF(T$4=EDATE('APA Inputs'!$C$23,'APA Inputs'!$H$23-1),N('APA Inputs'!$G$23),0),0))*IF('APA Inputs'!$I$23="",1,'APA Inputs'!$I$23))</f>
        <v>29891.66</v>
      </c>
      <c r="U8" s="409" t="n">
        <f aca="false">IF('APA Inputs'!$C$23="",0,(IF(AND(U$4&gt;='APA Inputs'!$C$23,U$4&lt;EDATE('APA Inputs'!$C$23,N('APA Inputs'!$D$23))),'APA Inputs'!$J$23,0)+IF(N('APA Inputs'!$H$23)&gt;0,IF(U$4=EDATE('APA Inputs'!$C$23,'APA Inputs'!$H$23-1),N('APA Inputs'!$G$23),0),0))*IF('APA Inputs'!$I$23="",1,'APA Inputs'!$I$23))</f>
        <v>4166.66</v>
      </c>
      <c r="V8" s="409" t="n">
        <f aca="false">IF('APA Inputs'!$C$23="",0,(IF(AND(V$4&gt;='APA Inputs'!$C$23,V$4&lt;EDATE('APA Inputs'!$C$23,N('APA Inputs'!$D$23))),'APA Inputs'!$J$23,0)+IF(N('APA Inputs'!$H$23)&gt;0,IF(V$4=EDATE('APA Inputs'!$C$23,'APA Inputs'!$H$23-1),N('APA Inputs'!$G$23),0),0))*IF('APA Inputs'!$I$23="",1,'APA Inputs'!$I$23))</f>
        <v>4166.66</v>
      </c>
      <c r="W8" s="409" t="n">
        <f aca="false">IF('APA Inputs'!$C$23="",0,(IF(AND(W$4&gt;='APA Inputs'!$C$23,W$4&lt;EDATE('APA Inputs'!$C$23,N('APA Inputs'!$D$23))),'APA Inputs'!$J$23,0)+IF(N('APA Inputs'!$H$23)&gt;0,IF(W$4=EDATE('APA Inputs'!$C$23,'APA Inputs'!$H$23-1),N('APA Inputs'!$G$23),0),0))*IF('APA Inputs'!$I$23="",1,'APA Inputs'!$I$23))</f>
        <v>4166.66</v>
      </c>
      <c r="X8" s="409" t="n">
        <f aca="false">IF('APA Inputs'!$C$23="",0,(IF(AND(X$4&gt;='APA Inputs'!$C$23,X$4&lt;EDATE('APA Inputs'!$C$23,N('APA Inputs'!$D$23))),'APA Inputs'!$J$23,0)+IF(N('APA Inputs'!$H$23)&gt;0,IF(X$4=EDATE('APA Inputs'!$C$23,'APA Inputs'!$H$23-1),N('APA Inputs'!$G$23),0),0))*IF('APA Inputs'!$I$23="",1,'APA Inputs'!$I$23))</f>
        <v>4166.66</v>
      </c>
      <c r="Y8" s="409" t="n">
        <f aca="false">IF('APA Inputs'!$C$23="",0,(IF(AND(Y$4&gt;='APA Inputs'!$C$23,Y$4&lt;EDATE('APA Inputs'!$C$23,N('APA Inputs'!$D$23))),'APA Inputs'!$J$23,0)+IF(N('APA Inputs'!$H$23)&gt;0,IF(Y$4=EDATE('APA Inputs'!$C$23,'APA Inputs'!$H$23-1),N('APA Inputs'!$G$23),0),0))*IF('APA Inputs'!$I$23="",1,'APA Inputs'!$I$23))</f>
        <v>4166.66</v>
      </c>
      <c r="Z8" s="409" t="n">
        <f aca="false">IF('APA Inputs'!$C$23="",0,(IF(AND(Z$4&gt;='APA Inputs'!$C$23,Z$4&lt;EDATE('APA Inputs'!$C$23,N('APA Inputs'!$D$23))),'APA Inputs'!$J$23,0)+IF(N('APA Inputs'!$H$23)&gt;0,IF(Z$4=EDATE('APA Inputs'!$C$23,'APA Inputs'!$H$23-1),N('APA Inputs'!$G$23),0),0))*IF('APA Inputs'!$I$23="",1,'APA Inputs'!$I$23))</f>
        <v>4166.66</v>
      </c>
      <c r="AA8" s="409" t="n">
        <f aca="false">IF('APA Inputs'!$C$23="",0,(IF(AND(AA$4&gt;='APA Inputs'!$C$23,AA$4&lt;EDATE('APA Inputs'!$C$23,N('APA Inputs'!$D$23))),'APA Inputs'!$J$23,0)+IF(N('APA Inputs'!$H$23)&gt;0,IF(AA$4=EDATE('APA Inputs'!$C$23,'APA Inputs'!$H$23-1),N('APA Inputs'!$G$23),0),0))*IF('APA Inputs'!$I$23="",1,'APA Inputs'!$I$23))</f>
        <v>4166.66</v>
      </c>
      <c r="AB8" s="409" t="n">
        <f aca="false">IF('APA Inputs'!$C$23="",0,(IF(AND(AB$4&gt;='APA Inputs'!$C$23,AB$4&lt;EDATE('APA Inputs'!$C$23,N('APA Inputs'!$D$23))),'APA Inputs'!$J$23,0)+IF(N('APA Inputs'!$H$23)&gt;0,IF(AB$4=EDATE('APA Inputs'!$C$23,'APA Inputs'!$H$23-1),N('APA Inputs'!$G$23),0),0))*IF('APA Inputs'!$I$23="",1,'APA Inputs'!$I$23))</f>
        <v>4166.66</v>
      </c>
      <c r="AC8" s="409" t="n">
        <f aca="false">IF('APA Inputs'!$C$23="",0,(IF(AND(AC$4&gt;='APA Inputs'!$C$23,AC$4&lt;EDATE('APA Inputs'!$C$23,N('APA Inputs'!$D$23))),'APA Inputs'!$J$23,0)+IF(N('APA Inputs'!$H$23)&gt;0,IF(AC$4=EDATE('APA Inputs'!$C$23,'APA Inputs'!$H$23-1),N('APA Inputs'!$G$23),0),0))*IF('APA Inputs'!$I$23="",1,'APA Inputs'!$I$23))</f>
        <v>4166.66</v>
      </c>
      <c r="AD8" s="409" t="n">
        <f aca="false">IF('APA Inputs'!$C$23="",0,(IF(AND(AD$4&gt;='APA Inputs'!$C$23,AD$4&lt;EDATE('APA Inputs'!$C$23,N('APA Inputs'!$D$23))),'APA Inputs'!$J$23,0)+IF(N('APA Inputs'!$H$23)&gt;0,IF(AD$4=EDATE('APA Inputs'!$C$23,'APA Inputs'!$H$23-1),N('APA Inputs'!$G$23),0),0))*IF('APA Inputs'!$I$23="",1,'APA Inputs'!$I$23))</f>
        <v>4166.66</v>
      </c>
      <c r="AE8" s="409" t="n">
        <f aca="false">IF('APA Inputs'!$C$23="",0,(IF(AND(AE$4&gt;='APA Inputs'!$C$23,AE$4&lt;EDATE('APA Inputs'!$C$23,N('APA Inputs'!$D$23))),'APA Inputs'!$J$23,0)+IF(N('APA Inputs'!$H$23)&gt;0,IF(AE$4=EDATE('APA Inputs'!$C$23,'APA Inputs'!$H$23-1),N('APA Inputs'!$G$23),0),0))*IF('APA Inputs'!$I$23="",1,'APA Inputs'!$I$23))</f>
        <v>4166.66</v>
      </c>
      <c r="AF8" s="409" t="n">
        <f aca="false">IF('APA Inputs'!$C$23="",0,(IF(AND(AF$4&gt;='APA Inputs'!$C$23,AF$4&lt;EDATE('APA Inputs'!$C$23,N('APA Inputs'!$D$23))),'APA Inputs'!$J$23,0)+IF(N('APA Inputs'!$H$23)&gt;0,IF(AF$4=EDATE('APA Inputs'!$C$23,'APA Inputs'!$H$23-1),N('APA Inputs'!$G$23),0),0))*IF('APA Inputs'!$I$23="",1,'APA Inputs'!$I$23))</f>
        <v>4166.66</v>
      </c>
      <c r="AG8" s="409" t="n">
        <f aca="false">IF('APA Inputs'!$C$23="",0,(IF(AND(AG$4&gt;='APA Inputs'!$C$23,AG$4&lt;EDATE('APA Inputs'!$C$23,N('APA Inputs'!$D$23))),'APA Inputs'!$J$23,0)+IF(N('APA Inputs'!$H$23)&gt;0,IF(AG$4=EDATE('APA Inputs'!$C$23,'APA Inputs'!$H$23-1),N('APA Inputs'!$G$23),0),0))*IF('APA Inputs'!$I$23="",1,'APA Inputs'!$I$23))</f>
        <v>0</v>
      </c>
      <c r="AH8" s="409" t="n">
        <f aca="false">IF('APA Inputs'!$C$23="",0,(IF(AND(AH$4&gt;='APA Inputs'!$C$23,AH$4&lt;EDATE('APA Inputs'!$C$23,N('APA Inputs'!$D$23))),'APA Inputs'!$J$23,0)+IF(N('APA Inputs'!$H$23)&gt;0,IF(AH$4=EDATE('APA Inputs'!$C$23,'APA Inputs'!$H$23-1),N('APA Inputs'!$G$23),0),0))*IF('APA Inputs'!$I$23="",1,'APA Inputs'!$I$23))</f>
        <v>0</v>
      </c>
      <c r="AI8" s="409" t="n">
        <f aca="false">IF('APA Inputs'!$C$23="",0,(IF(AND(AI$4&gt;='APA Inputs'!$C$23,AI$4&lt;EDATE('APA Inputs'!$C$23,N('APA Inputs'!$D$23))),'APA Inputs'!$J$23,0)+IF(N('APA Inputs'!$H$23)&gt;0,IF(AI$4=EDATE('APA Inputs'!$C$23,'APA Inputs'!$H$23-1),N('APA Inputs'!$G$23),0),0))*IF('APA Inputs'!$I$23="",1,'APA Inputs'!$I$23))</f>
        <v>0</v>
      </c>
      <c r="AJ8" s="409" t="n">
        <f aca="false">IF('APA Inputs'!$C$23="",0,(IF(AND(AJ$4&gt;='APA Inputs'!$C$23,AJ$4&lt;EDATE('APA Inputs'!$C$23,N('APA Inputs'!$D$23))),'APA Inputs'!$J$23,0)+IF(N('APA Inputs'!$H$23)&gt;0,IF(AJ$4=EDATE('APA Inputs'!$C$23,'APA Inputs'!$H$23-1),N('APA Inputs'!$G$23),0),0))*IF('APA Inputs'!$I$23="",1,'APA Inputs'!$I$23))</f>
        <v>0</v>
      </c>
      <c r="AK8" s="409" t="n">
        <f aca="false">IF('APA Inputs'!$C$23="",0,(IF(AND(AK$4&gt;='APA Inputs'!$C$23,AK$4&lt;EDATE('APA Inputs'!$C$23,N('APA Inputs'!$D$23))),'APA Inputs'!$J$23,0)+IF(N('APA Inputs'!$H$23)&gt;0,IF(AK$4=EDATE('APA Inputs'!$C$23,'APA Inputs'!$H$23-1),N('APA Inputs'!$G$23),0),0))*IF('APA Inputs'!$I$23="",1,'APA Inputs'!$I$23))</f>
        <v>0</v>
      </c>
      <c r="AL8" s="409" t="n">
        <f aca="false">IF('APA Inputs'!$C$23="",0,(IF(AND(AL$4&gt;='APA Inputs'!$C$23,AL$4&lt;EDATE('APA Inputs'!$C$23,N('APA Inputs'!$D$23))),'APA Inputs'!$J$23,0)+IF(N('APA Inputs'!$H$23)&gt;0,IF(AL$4=EDATE('APA Inputs'!$C$23,'APA Inputs'!$H$23-1),N('APA Inputs'!$G$23),0),0))*IF('APA Inputs'!$I$23="",1,'APA Inputs'!$I$23))</f>
        <v>0</v>
      </c>
      <c r="AM8" s="409" t="n">
        <f aca="false">IF('APA Inputs'!$C$23="",0,(IF(AND(AM$4&gt;='APA Inputs'!$C$23,AM$4&lt;EDATE('APA Inputs'!$C$23,N('APA Inputs'!$D$23))),'APA Inputs'!$J$23,0)+IF(N('APA Inputs'!$H$23)&gt;0,IF(AM$4=EDATE('APA Inputs'!$C$23,'APA Inputs'!$H$23-1),N('APA Inputs'!$G$23),0),0))*IF('APA Inputs'!$I$23="",1,'APA Inputs'!$I$23))</f>
        <v>0</v>
      </c>
      <c r="AN8" s="409" t="n">
        <f aca="false">IF('APA Inputs'!$C$23="",0,(IF(AND(AN$4&gt;='APA Inputs'!$C$23,AN$4&lt;EDATE('APA Inputs'!$C$23,N('APA Inputs'!$D$23))),'APA Inputs'!$J$23,0)+IF(N('APA Inputs'!$H$23)&gt;0,IF(AN$4=EDATE('APA Inputs'!$C$23,'APA Inputs'!$H$23-1),N('APA Inputs'!$G$23),0),0))*IF('APA Inputs'!$I$23="",1,'APA Inputs'!$I$23))</f>
        <v>0</v>
      </c>
      <c r="AO8" s="409" t="n">
        <f aca="false">IF('APA Inputs'!$C$23="",0,(IF(AND(AO$4&gt;='APA Inputs'!$C$23,AO$4&lt;EDATE('APA Inputs'!$C$23,N('APA Inputs'!$D$23))),'APA Inputs'!$J$23,0)+IF(N('APA Inputs'!$H$23)&gt;0,IF(AO$4=EDATE('APA Inputs'!$C$23,'APA Inputs'!$H$23-1),N('APA Inputs'!$G$23),0),0))*IF('APA Inputs'!$I$23="",1,'APA Inputs'!$I$23))</f>
        <v>0</v>
      </c>
      <c r="AP8" s="409" t="n">
        <f aca="false">IF('APA Inputs'!$C$23="",0,(IF(AND(AP$4&gt;='APA Inputs'!$C$23,AP$4&lt;EDATE('APA Inputs'!$C$23,N('APA Inputs'!$D$23))),'APA Inputs'!$J$23,0)+IF(N('APA Inputs'!$H$23)&gt;0,IF(AP$4=EDATE('APA Inputs'!$C$23,'APA Inputs'!$H$23-1),N('APA Inputs'!$G$23),0),0))*IF('APA Inputs'!$I$23="",1,'APA Inputs'!$I$23))</f>
        <v>0</v>
      </c>
      <c r="AQ8" s="409" t="n">
        <f aca="false">IF('APA Inputs'!$C$23="",0,(IF(AND(AQ$4&gt;='APA Inputs'!$C$23,AQ$4&lt;EDATE('APA Inputs'!$C$23,N('APA Inputs'!$D$23))),'APA Inputs'!$J$23,0)+IF(N('APA Inputs'!$H$23)&gt;0,IF(AQ$4=EDATE('APA Inputs'!$C$23,'APA Inputs'!$H$23-1),N('APA Inputs'!$G$23),0),0))*IF('APA Inputs'!$I$23="",1,'APA Inputs'!$I$23))</f>
        <v>0</v>
      </c>
      <c r="AR8" s="409" t="n">
        <f aca="false">IF('APA Inputs'!$C$23="",0,(IF(AND(AR$4&gt;='APA Inputs'!$C$23,AR$4&lt;EDATE('APA Inputs'!$C$23,N('APA Inputs'!$D$23))),'APA Inputs'!$J$23,0)+IF(N('APA Inputs'!$H$23)&gt;0,IF(AR$4=EDATE('APA Inputs'!$C$23,'APA Inputs'!$H$23-1),N('APA Inputs'!$G$23),0),0))*IF('APA Inputs'!$I$23="",1,'APA Inputs'!$I$23))</f>
        <v>0</v>
      </c>
      <c r="AS8" s="409" t="n">
        <f aca="false">IF('APA Inputs'!$C$23="",0,(IF(AND(AS$4&gt;='APA Inputs'!$C$23,AS$4&lt;EDATE('APA Inputs'!$C$23,N('APA Inputs'!$D$23))),'APA Inputs'!$J$23,0)+IF(N('APA Inputs'!$H$23)&gt;0,IF(AS$4=EDATE('APA Inputs'!$C$23,'APA Inputs'!$H$23-1),N('APA Inputs'!$G$23),0),0))*IF('APA Inputs'!$I$23="",1,'APA Inputs'!$I$23))</f>
        <v>0</v>
      </c>
      <c r="AT8" s="409" t="n">
        <f aca="false">IF('APA Inputs'!$C$23="",0,(IF(AND(AT$4&gt;='APA Inputs'!$C$23,AT$4&lt;EDATE('APA Inputs'!$C$23,N('APA Inputs'!$D$23))),'APA Inputs'!$J$23,0)+IF(N('APA Inputs'!$H$23)&gt;0,IF(AT$4=EDATE('APA Inputs'!$C$23,'APA Inputs'!$H$23-1),N('APA Inputs'!$G$23),0),0))*IF('APA Inputs'!$I$23="",1,'APA Inputs'!$I$23))</f>
        <v>0</v>
      </c>
      <c r="AU8" s="409" t="n">
        <f aca="false">IF('APA Inputs'!$C$23="",0,(IF(AND(AU$4&gt;='APA Inputs'!$C$23,AU$4&lt;EDATE('APA Inputs'!$C$23,N('APA Inputs'!$D$23))),'APA Inputs'!$J$23,0)+IF(N('APA Inputs'!$H$23)&gt;0,IF(AU$4=EDATE('APA Inputs'!$C$23,'APA Inputs'!$H$23-1),N('APA Inputs'!$G$23),0),0))*IF('APA Inputs'!$I$23="",1,'APA Inputs'!$I$23))</f>
        <v>0</v>
      </c>
      <c r="AV8" s="409" t="n">
        <f aca="false">IF('APA Inputs'!$C$23="",0,(IF(AND(AV$4&gt;='APA Inputs'!$C$23,AV$4&lt;EDATE('APA Inputs'!$C$23,N('APA Inputs'!$D$23))),'APA Inputs'!$J$23,0)+IF(N('APA Inputs'!$H$23)&gt;0,IF(AV$4=EDATE('APA Inputs'!$C$23,'APA Inputs'!$H$23-1),N('APA Inputs'!$G$23),0),0))*IF('APA Inputs'!$I$23="",1,'APA Inputs'!$I$23))</f>
        <v>0</v>
      </c>
      <c r="AW8" s="409" t="n">
        <f aca="false">IF('APA Inputs'!$C$23="",0,(IF(AND(AW$4&gt;='APA Inputs'!$C$23,AW$4&lt;EDATE('APA Inputs'!$C$23,N('APA Inputs'!$D$23))),'APA Inputs'!$J$23,0)+IF(N('APA Inputs'!$H$23)&gt;0,IF(AW$4=EDATE('APA Inputs'!$C$23,'APA Inputs'!$H$23-1),N('APA Inputs'!$G$23),0),0))*IF('APA Inputs'!$I$23="",1,'APA Inputs'!$I$23))</f>
        <v>0</v>
      </c>
      <c r="AX8" s="409" t="n">
        <f aca="false">IF('APA Inputs'!$C$23="",0,(IF(AND(AX$4&gt;='APA Inputs'!$C$23,AX$4&lt;EDATE('APA Inputs'!$C$23,N('APA Inputs'!$D$23))),'APA Inputs'!$J$23,0)+IF(N('APA Inputs'!$H$23)&gt;0,IF(AX$4=EDATE('APA Inputs'!$C$23,'APA Inputs'!$H$23-1),N('APA Inputs'!$G$23),0),0))*IF('APA Inputs'!$I$23="",1,'APA Inputs'!$I$23))</f>
        <v>0</v>
      </c>
      <c r="AY8" s="409" t="n">
        <f aca="false">IF('APA Inputs'!$C$23="",0,(IF(AND(AY$4&gt;='APA Inputs'!$C$23,AY$4&lt;EDATE('APA Inputs'!$C$23,N('APA Inputs'!$D$23))),'APA Inputs'!$J$23,0)+IF(N('APA Inputs'!$H$23)&gt;0,IF(AY$4=EDATE('APA Inputs'!$C$23,'APA Inputs'!$H$23-1),N('APA Inputs'!$G$23),0),0))*IF('APA Inputs'!$I$23="",1,'APA Inputs'!$I$23))</f>
        <v>0</v>
      </c>
      <c r="AZ8" s="409" t="n">
        <f aca="false">IF('APA Inputs'!$C$23="",0,(IF(AND(AZ$4&gt;='APA Inputs'!$C$23,AZ$4&lt;EDATE('APA Inputs'!$C$23,N('APA Inputs'!$D$23))),'APA Inputs'!$J$23,0)+IF(N('APA Inputs'!$H$23)&gt;0,IF(AZ$4=EDATE('APA Inputs'!$C$23,'APA Inputs'!$H$23-1),N('APA Inputs'!$G$23),0),0))*IF('APA Inputs'!$I$23="",1,'APA Inputs'!$I$23))</f>
        <v>0</v>
      </c>
      <c r="BA8" s="409" t="n">
        <f aca="false">IF('APA Inputs'!$C$23="",0,(IF(AND(BA$4&gt;='APA Inputs'!$C$23,BA$4&lt;EDATE('APA Inputs'!$C$23,N('APA Inputs'!$D$23))),'APA Inputs'!$J$23,0)+IF(N('APA Inputs'!$H$23)&gt;0,IF(BA$4=EDATE('APA Inputs'!$C$23,'APA Inputs'!$H$23-1),N('APA Inputs'!$G$23),0),0))*IF('APA Inputs'!$I$23="",1,'APA Inputs'!$I$23))</f>
        <v>0</v>
      </c>
      <c r="BB8" s="409" t="n">
        <f aca="false">IF('APA Inputs'!$C$23="",0,(IF(AND(BB$4&gt;='APA Inputs'!$C$23,BB$4&lt;EDATE('APA Inputs'!$C$23,N('APA Inputs'!$D$23))),'APA Inputs'!$J$23,0)+IF(N('APA Inputs'!$H$23)&gt;0,IF(BB$4=EDATE('APA Inputs'!$C$23,'APA Inputs'!$H$23-1),N('APA Inputs'!$G$23),0),0))*IF('APA Inputs'!$I$23="",1,'APA Inputs'!$I$23))</f>
        <v>0</v>
      </c>
      <c r="BC8" s="409" t="n">
        <f aca="false">IF('APA Inputs'!$C$23="",0,(IF(AND(BC$4&gt;='APA Inputs'!$C$23,BC$4&lt;EDATE('APA Inputs'!$C$23,N('APA Inputs'!$D$23))),'APA Inputs'!$J$23,0)+IF(N('APA Inputs'!$H$23)&gt;0,IF(BC$4=EDATE('APA Inputs'!$C$23,'APA Inputs'!$H$23-1),N('APA Inputs'!$G$23),0),0))*IF('APA Inputs'!$I$23="",1,'APA Inputs'!$I$23))</f>
        <v>0</v>
      </c>
      <c r="BD8" s="409" t="n">
        <f aca="false">IF('APA Inputs'!$C$23="",0,(IF(AND(BD$4&gt;='APA Inputs'!$C$23,BD$4&lt;EDATE('APA Inputs'!$C$23,N('APA Inputs'!$D$23))),'APA Inputs'!$J$23,0)+IF(N('APA Inputs'!$H$23)&gt;0,IF(BD$4=EDATE('APA Inputs'!$C$23,'APA Inputs'!$H$23-1),N('APA Inputs'!$G$23),0),0))*IF('APA Inputs'!$I$23="",1,'APA Inputs'!$I$23))</f>
        <v>0</v>
      </c>
      <c r="BE8" s="409" t="n">
        <f aca="false">IF('APA Inputs'!$C$23="",0,(IF(AND(BE$4&gt;='APA Inputs'!$C$23,BE$4&lt;EDATE('APA Inputs'!$C$23,N('APA Inputs'!$D$23))),'APA Inputs'!$J$23,0)+IF(N('APA Inputs'!$H$23)&gt;0,IF(BE$4=EDATE('APA Inputs'!$C$23,'APA Inputs'!$H$23-1),N('APA Inputs'!$G$23),0),0))*IF('APA Inputs'!$I$23="",1,'APA Inputs'!$I$23))</f>
        <v>0</v>
      </c>
      <c r="BF8" s="409" t="n">
        <f aca="false">IF('APA Inputs'!$C$23="",0,(IF(AND(BF$4&gt;='APA Inputs'!$C$23,BF$4&lt;EDATE('APA Inputs'!$C$23,N('APA Inputs'!$D$23))),'APA Inputs'!$J$23,0)+IF(N('APA Inputs'!$H$23)&gt;0,IF(BF$4=EDATE('APA Inputs'!$C$23,'APA Inputs'!$H$23-1),N('APA Inputs'!$G$23),0),0))*IF('APA Inputs'!$I$23="",1,'APA Inputs'!$I$23))</f>
        <v>0</v>
      </c>
      <c r="BG8" s="409" t="n">
        <f aca="false">IF('APA Inputs'!$C$23="",0,(IF(AND(BG$4&gt;='APA Inputs'!$C$23,BG$4&lt;EDATE('APA Inputs'!$C$23,N('APA Inputs'!$D$23))),'APA Inputs'!$J$23,0)+IF(N('APA Inputs'!$H$23)&gt;0,IF(BG$4=EDATE('APA Inputs'!$C$23,'APA Inputs'!$H$23-1),N('APA Inputs'!$G$23),0),0))*IF('APA Inputs'!$I$23="",1,'APA Inputs'!$I$23))</f>
        <v>0</v>
      </c>
      <c r="BH8" s="409" t="n">
        <f aca="false">IF('APA Inputs'!$C$23="",0,(IF(AND(BH$4&gt;='APA Inputs'!$C$23,BH$4&lt;EDATE('APA Inputs'!$C$23,N('APA Inputs'!$D$23))),'APA Inputs'!$J$23,0)+IF(N('APA Inputs'!$H$23)&gt;0,IF(BH$4=EDATE('APA Inputs'!$C$23,'APA Inputs'!$H$23-1),N('APA Inputs'!$G$23),0),0))*IF('APA Inputs'!$I$23="",1,'APA Inputs'!$I$23))</f>
        <v>0</v>
      </c>
      <c r="BI8" s="409" t="n">
        <f aca="false">IF('APA Inputs'!$C$23="",0,(IF(AND(BI$4&gt;='APA Inputs'!$C$23,BI$4&lt;EDATE('APA Inputs'!$C$23,N('APA Inputs'!$D$23))),'APA Inputs'!$J$23,0)+IF(N('APA Inputs'!$H$23)&gt;0,IF(BI$4=EDATE('APA Inputs'!$C$23,'APA Inputs'!$H$23-1),N('APA Inputs'!$G$23),0),0))*IF('APA Inputs'!$I$23="",1,'APA Inputs'!$I$23))</f>
        <v>0</v>
      </c>
      <c r="BJ8" s="409" t="n">
        <f aca="false">IF('APA Inputs'!$C$23="",0,(IF(AND(BJ$4&gt;='APA Inputs'!$C$23,BJ$4&lt;EDATE('APA Inputs'!$C$23,N('APA Inputs'!$D$23))),'APA Inputs'!$J$23,0)+IF(N('APA Inputs'!$H$23)&gt;0,IF(BJ$4=EDATE('APA Inputs'!$C$23,'APA Inputs'!$H$23-1),N('APA Inputs'!$G$23),0),0))*IF('APA Inputs'!$I$23="",1,'APA Inputs'!$I$23))</f>
        <v>0</v>
      </c>
      <c r="BK8" s="409" t="n">
        <f aca="false">IF('APA Inputs'!$C$23="",0,(IF(AND(BK$4&gt;='APA Inputs'!$C$23,BK$4&lt;EDATE('APA Inputs'!$C$23,N('APA Inputs'!$D$23))),'APA Inputs'!$J$23,0)+IF(N('APA Inputs'!$H$23)&gt;0,IF(BK$4=EDATE('APA Inputs'!$C$23,'APA Inputs'!$H$23-1),N('APA Inputs'!$G$23),0),0))*IF('APA Inputs'!$I$23="",1,'APA Inputs'!$I$23))</f>
        <v>0</v>
      </c>
      <c r="BL8" s="409" t="n">
        <f aca="false">IF('APA Inputs'!$C$23="",0,(IF(AND(BL$4&gt;='APA Inputs'!$C$23,BL$4&lt;EDATE('APA Inputs'!$C$23,N('APA Inputs'!$D$23))),'APA Inputs'!$J$23,0)+IF(N('APA Inputs'!$H$23)&gt;0,IF(BL$4=EDATE('APA Inputs'!$C$23,'APA Inputs'!$H$23-1),N('APA Inputs'!$G$23),0),0))*IF('APA Inputs'!$I$23="",1,'APA Inputs'!$I$23))</f>
        <v>0</v>
      </c>
      <c r="BM8" s="409" t="n">
        <f aca="false">IF('APA Inputs'!$C$23="",0,(IF(AND(BM$4&gt;='APA Inputs'!$C$23,BM$4&lt;EDATE('APA Inputs'!$C$23,N('APA Inputs'!$D$23))),'APA Inputs'!$J$23,0)+IF(N('APA Inputs'!$H$23)&gt;0,IF(BM$4=EDATE('APA Inputs'!$C$23,'APA Inputs'!$H$23-1),N('APA Inputs'!$G$23),0),0))*IF('APA Inputs'!$I$23="",1,'APA Inputs'!$I$23))</f>
        <v>0</v>
      </c>
      <c r="BN8" s="409" t="n">
        <f aca="false">IF('APA Inputs'!$C$23="",0,(IF(AND(BN$4&gt;='APA Inputs'!$C$23,BN$4&lt;EDATE('APA Inputs'!$C$23,N('APA Inputs'!$D$23))),'APA Inputs'!$J$23,0)+IF(N('APA Inputs'!$H$23)&gt;0,IF(BN$4=EDATE('APA Inputs'!$C$23,'APA Inputs'!$H$23-1),N('APA Inputs'!$G$23),0),0))*IF('APA Inputs'!$I$23="",1,'APA Inputs'!$I$23))</f>
        <v>0</v>
      </c>
      <c r="BO8" s="409" t="n">
        <f aca="false">IF('APA Inputs'!$C$23="",0,(IF(AND(BO$4&gt;='APA Inputs'!$C$23,BO$4&lt;EDATE('APA Inputs'!$C$23,N('APA Inputs'!$D$23))),'APA Inputs'!$J$23,0)+IF(N('APA Inputs'!$H$23)&gt;0,IF(BO$4=EDATE('APA Inputs'!$C$23,'APA Inputs'!$H$23-1),N('APA Inputs'!$G$23),0),0))*IF('APA Inputs'!$I$23="",1,'APA Inputs'!$I$23))</f>
        <v>0</v>
      </c>
      <c r="BP8" s="409" t="n">
        <f aca="false">IF('APA Inputs'!$C$23="",0,(IF(AND(BP$4&gt;='APA Inputs'!$C$23,BP$4&lt;EDATE('APA Inputs'!$C$23,N('APA Inputs'!$D$23))),'APA Inputs'!$J$23,0)+IF(N('APA Inputs'!$H$23)&gt;0,IF(BP$4=EDATE('APA Inputs'!$C$23,'APA Inputs'!$H$23-1),N('APA Inputs'!$G$23),0),0))*IF('APA Inputs'!$I$23="",1,'APA Inputs'!$I$23))</f>
        <v>0</v>
      </c>
      <c r="BQ8" s="409" t="n">
        <f aca="false">IF('APA Inputs'!$C$23="",0,(IF(AND(BQ$4&gt;='APA Inputs'!$C$23,BQ$4&lt;EDATE('APA Inputs'!$C$23,N('APA Inputs'!$D$23))),'APA Inputs'!$J$23,0)+IF(N('APA Inputs'!$H$23)&gt;0,IF(BQ$4=EDATE('APA Inputs'!$C$23,'APA Inputs'!$H$23-1),N('APA Inputs'!$G$23),0),0))*IF('APA Inputs'!$I$23="",1,'APA Inputs'!$I$23))</f>
        <v>0</v>
      </c>
      <c r="BR8" s="409" t="n">
        <f aca="false">IF('APA Inputs'!$C$23="",0,(IF(AND(BR$4&gt;='APA Inputs'!$C$23,BR$4&lt;EDATE('APA Inputs'!$C$23,N('APA Inputs'!$D$23))),'APA Inputs'!$J$23,0)+IF(N('APA Inputs'!$H$23)&gt;0,IF(BR$4=EDATE('APA Inputs'!$C$23,'APA Inputs'!$H$23-1),N('APA Inputs'!$G$23),0),0))*IF('APA Inputs'!$I$23="",1,'APA Inputs'!$I$23))</f>
        <v>0</v>
      </c>
      <c r="BS8" s="409" t="n">
        <f aca="false">IF('APA Inputs'!$C$23="",0,(IF(AND(BS$4&gt;='APA Inputs'!$C$23,BS$4&lt;EDATE('APA Inputs'!$C$23,N('APA Inputs'!$D$23))),'APA Inputs'!$J$23,0)+IF(N('APA Inputs'!$H$23)&gt;0,IF(BS$4=EDATE('APA Inputs'!$C$23,'APA Inputs'!$H$23-1),N('APA Inputs'!$G$23),0),0))*IF('APA Inputs'!$I$23="",1,'APA Inputs'!$I$23))</f>
        <v>0</v>
      </c>
      <c r="BT8" s="409" t="n">
        <f aca="false">IF('APA Inputs'!$C$23="",0,(IF(AND(BT$4&gt;='APA Inputs'!$C$23,BT$4&lt;EDATE('APA Inputs'!$C$23,N('APA Inputs'!$D$23))),'APA Inputs'!$J$23,0)+IF(N('APA Inputs'!$H$23)&gt;0,IF(BT$4=EDATE('APA Inputs'!$C$23,'APA Inputs'!$H$23-1),N('APA Inputs'!$G$23),0),0))*IF('APA Inputs'!$I$23="",1,'APA Inputs'!$I$23))</f>
        <v>0</v>
      </c>
      <c r="BU8" s="409" t="n">
        <f aca="false">IF('APA Inputs'!$C$23="",0,(IF(AND(BU$4&gt;='APA Inputs'!$C$23,BU$4&lt;EDATE('APA Inputs'!$C$23,N('APA Inputs'!$D$23))),'APA Inputs'!$J$23,0)+IF(N('APA Inputs'!$H$23)&gt;0,IF(BU$4=EDATE('APA Inputs'!$C$23,'APA Inputs'!$H$23-1),N('APA Inputs'!$G$23),0),0))*IF('APA Inputs'!$I$23="",1,'APA Inputs'!$I$23))</f>
        <v>0</v>
      </c>
      <c r="BV8" s="409" t="n">
        <f aca="false">IF('APA Inputs'!$C$23="",0,(IF(AND(BV$4&gt;='APA Inputs'!$C$23,BV$4&lt;EDATE('APA Inputs'!$C$23,N('APA Inputs'!$D$23))),'APA Inputs'!$J$23,0)+IF(N('APA Inputs'!$H$23)&gt;0,IF(BV$4=EDATE('APA Inputs'!$C$23,'APA Inputs'!$H$23-1),N('APA Inputs'!$G$23),0),0))*IF('APA Inputs'!$I$23="",1,'APA Inputs'!$I$23))</f>
        <v>0</v>
      </c>
      <c r="BW8" s="409" t="n">
        <f aca="false">IF('APA Inputs'!$C$23="",0,(IF(AND(BW$4&gt;='APA Inputs'!$C$23,BW$4&lt;EDATE('APA Inputs'!$C$23,N('APA Inputs'!$D$23))),'APA Inputs'!$J$23,0)+IF(N('APA Inputs'!$H$23)&gt;0,IF(BW$4=EDATE('APA Inputs'!$C$23,'APA Inputs'!$H$23-1),N('APA Inputs'!$G$23),0),0))*IF('APA Inputs'!$I$23="",1,'APA Inputs'!$I$23))</f>
        <v>0</v>
      </c>
      <c r="BX8" s="409" t="n">
        <f aca="false">IF('APA Inputs'!$C$23="",0,(IF(AND(BX$4&gt;='APA Inputs'!$C$23,BX$4&lt;EDATE('APA Inputs'!$C$23,N('APA Inputs'!$D$23))),'APA Inputs'!$J$23,0)+IF(N('APA Inputs'!$H$23)&gt;0,IF(BX$4=EDATE('APA Inputs'!$C$23,'APA Inputs'!$H$23-1),N('APA Inputs'!$G$23),0),0))*IF('APA Inputs'!$I$23="",1,'APA Inputs'!$I$23))</f>
        <v>0</v>
      </c>
      <c r="BY8" s="409" t="n">
        <f aca="false">IF('APA Inputs'!$C$23="",0,(IF(AND(BY$4&gt;='APA Inputs'!$C$23,BY$4&lt;EDATE('APA Inputs'!$C$23,N('APA Inputs'!$D$23))),'APA Inputs'!$J$23,0)+IF(N('APA Inputs'!$H$23)&gt;0,IF(BY$4=EDATE('APA Inputs'!$C$23,'APA Inputs'!$H$23-1),N('APA Inputs'!$G$23),0),0))*IF('APA Inputs'!$I$23="",1,'APA Inputs'!$I$23))</f>
        <v>0</v>
      </c>
      <c r="BZ8" s="409" t="n">
        <f aca="false">IF('APA Inputs'!$C$23="",0,(IF(AND(BZ$4&gt;='APA Inputs'!$C$23,BZ$4&lt;EDATE('APA Inputs'!$C$23,N('APA Inputs'!$D$23))),'APA Inputs'!$J$23,0)+IF(N('APA Inputs'!$H$23)&gt;0,IF(BZ$4=EDATE('APA Inputs'!$C$23,'APA Inputs'!$H$23-1),N('APA Inputs'!$G$23),0),0))*IF('APA Inputs'!$I$23="",1,'APA Inputs'!$I$23))</f>
        <v>0</v>
      </c>
      <c r="CA8" s="409" t="n">
        <f aca="false">IF('APA Inputs'!$C$23="",0,(IF(AND(CA$4&gt;='APA Inputs'!$C$23,CA$4&lt;EDATE('APA Inputs'!$C$23,N('APA Inputs'!$D$23))),'APA Inputs'!$J$23,0)+IF(N('APA Inputs'!$H$23)&gt;0,IF(CA$4=EDATE('APA Inputs'!$C$23,'APA Inputs'!$H$23-1),N('APA Inputs'!$G$23),0),0))*IF('APA Inputs'!$I$23="",1,'APA Inputs'!$I$23))</f>
        <v>0</v>
      </c>
      <c r="CB8" s="409" t="n">
        <f aca="false">IF('APA Inputs'!$C$23="",0,(IF(AND(CB$4&gt;='APA Inputs'!$C$23,CB$4&lt;EDATE('APA Inputs'!$C$23,N('APA Inputs'!$D$23))),'APA Inputs'!$J$23,0)+IF(N('APA Inputs'!$H$23)&gt;0,IF(CB$4=EDATE('APA Inputs'!$C$23,'APA Inputs'!$H$23-1),N('APA Inputs'!$G$23),0),0))*IF('APA Inputs'!$I$23="",1,'APA Inputs'!$I$23))</f>
        <v>0</v>
      </c>
      <c r="CC8" s="409" t="n">
        <f aca="false">IF('APA Inputs'!$C$23="",0,(IF(AND(CC$4&gt;='APA Inputs'!$C$23,CC$4&lt;EDATE('APA Inputs'!$C$23,N('APA Inputs'!$D$23))),'APA Inputs'!$J$23,0)+IF(N('APA Inputs'!$H$23)&gt;0,IF(CC$4=EDATE('APA Inputs'!$C$23,'APA Inputs'!$H$23-1),N('APA Inputs'!$G$23),0),0))*IF('APA Inputs'!$I$23="",1,'APA Inputs'!$I$23))</f>
        <v>0</v>
      </c>
      <c r="CD8" s="409" t="n">
        <f aca="false">IF('APA Inputs'!$C$23="",0,(IF(AND(CD$4&gt;='APA Inputs'!$C$23,CD$4&lt;EDATE('APA Inputs'!$C$23,N('APA Inputs'!$D$23))),'APA Inputs'!$J$23,0)+IF(N('APA Inputs'!$H$23)&gt;0,IF(CD$4=EDATE('APA Inputs'!$C$23,'APA Inputs'!$H$23-1),N('APA Inputs'!$G$23),0),0))*IF('APA Inputs'!$I$23="",1,'APA Inputs'!$I$23))</f>
        <v>0</v>
      </c>
      <c r="CE8" s="409" t="n">
        <f aca="false">IF('APA Inputs'!$C$23="",0,(IF(AND(CE$4&gt;='APA Inputs'!$C$23,CE$4&lt;EDATE('APA Inputs'!$C$23,N('APA Inputs'!$D$23))),'APA Inputs'!$J$23,0)+IF(N('APA Inputs'!$H$23)&gt;0,IF(CE$4=EDATE('APA Inputs'!$C$23,'APA Inputs'!$H$23-1),N('APA Inputs'!$G$23),0),0))*IF('APA Inputs'!$I$23="",1,'APA Inputs'!$I$23))</f>
        <v>0</v>
      </c>
      <c r="CF8" s="409" t="n">
        <f aca="false">IF('APA Inputs'!$C$23="",0,(IF(AND(CF$4&gt;='APA Inputs'!$C$23,CF$4&lt;EDATE('APA Inputs'!$C$23,N('APA Inputs'!$D$23))),'APA Inputs'!$J$23,0)+IF(N('APA Inputs'!$H$23)&gt;0,IF(CF$4=EDATE('APA Inputs'!$C$23,'APA Inputs'!$H$23-1),N('APA Inputs'!$G$23),0),0))*IF('APA Inputs'!$I$23="",1,'APA Inputs'!$I$23))</f>
        <v>0</v>
      </c>
      <c r="CG8" s="409" t="n">
        <f aca="false">IF('APA Inputs'!$C$23="",0,(IF(AND(CG$4&gt;='APA Inputs'!$C$23,CG$4&lt;EDATE('APA Inputs'!$C$23,N('APA Inputs'!$D$23))),'APA Inputs'!$J$23,0)+IF(N('APA Inputs'!$H$23)&gt;0,IF(CG$4=EDATE('APA Inputs'!$C$23,'APA Inputs'!$H$23-1),N('APA Inputs'!$G$23),0),0))*IF('APA Inputs'!$I$23="",1,'APA Inputs'!$I$23))</f>
        <v>0</v>
      </c>
      <c r="CH8" s="409" t="n">
        <f aca="false">IF('APA Inputs'!$C$23="",0,(IF(AND(CH$4&gt;='APA Inputs'!$C$23,CH$4&lt;EDATE('APA Inputs'!$C$23,N('APA Inputs'!$D$23))),'APA Inputs'!$J$23,0)+IF(N('APA Inputs'!$H$23)&gt;0,IF(CH$4=EDATE('APA Inputs'!$C$23,'APA Inputs'!$H$23-1),N('APA Inputs'!$G$23),0),0))*IF('APA Inputs'!$I$23="",1,'APA Inputs'!$I$23))</f>
        <v>0</v>
      </c>
      <c r="CI8" s="409" t="n">
        <f aca="false">IF('APA Inputs'!$C$23="",0,(IF(AND(CI$4&gt;='APA Inputs'!$C$23,CI$4&lt;EDATE('APA Inputs'!$C$23,N('APA Inputs'!$D$23))),'APA Inputs'!$J$23,0)+IF(N('APA Inputs'!$H$23)&gt;0,IF(CI$4=EDATE('APA Inputs'!$C$23,'APA Inputs'!$H$23-1),N('APA Inputs'!$G$23),0),0))*IF('APA Inputs'!$I$23="",1,'APA Inputs'!$I$23))</f>
        <v>0</v>
      </c>
      <c r="CJ8" s="409" t="n">
        <f aca="false">IF('APA Inputs'!$C$23="",0,(IF(AND(CJ$4&gt;='APA Inputs'!$C$23,CJ$4&lt;EDATE('APA Inputs'!$C$23,N('APA Inputs'!$D$23))),'APA Inputs'!$J$23,0)+IF(N('APA Inputs'!$H$23)&gt;0,IF(CJ$4=EDATE('APA Inputs'!$C$23,'APA Inputs'!$H$23-1),N('APA Inputs'!$G$23),0),0))*IF('APA Inputs'!$I$23="",1,'APA Inputs'!$I$23))</f>
        <v>0</v>
      </c>
      <c r="CK8" s="409" t="n">
        <f aca="false">IF('APA Inputs'!$C$23="",0,(IF(AND(CK$4&gt;='APA Inputs'!$C$23,CK$4&lt;EDATE('APA Inputs'!$C$23,N('APA Inputs'!$D$23))),'APA Inputs'!$J$23,0)+IF(N('APA Inputs'!$H$23)&gt;0,IF(CK$4=EDATE('APA Inputs'!$C$23,'APA Inputs'!$H$23-1),N('APA Inputs'!$G$23),0),0))*IF('APA Inputs'!$I$23="",1,'APA Inputs'!$I$23))</f>
        <v>0</v>
      </c>
      <c r="CL8" s="409" t="n">
        <f aca="false">IF('APA Inputs'!$C$23="",0,(IF(AND(CL$4&gt;='APA Inputs'!$C$23,CL$4&lt;EDATE('APA Inputs'!$C$23,N('APA Inputs'!$D$23))),'APA Inputs'!$J$23,0)+IF(N('APA Inputs'!$H$23)&gt;0,IF(CL$4=EDATE('APA Inputs'!$C$23,'APA Inputs'!$H$23-1),N('APA Inputs'!$G$23),0),0))*IF('APA Inputs'!$I$23="",1,'APA Inputs'!$I$23))</f>
        <v>0</v>
      </c>
      <c r="CM8" s="409" t="n">
        <f aca="false">IF('APA Inputs'!$C$23="",0,(IF(AND(CM$4&gt;='APA Inputs'!$C$23,CM$4&lt;EDATE('APA Inputs'!$C$23,N('APA Inputs'!$D$23))),'APA Inputs'!$J$23,0)+IF(N('APA Inputs'!$H$23)&gt;0,IF(CM$4=EDATE('APA Inputs'!$C$23,'APA Inputs'!$H$23-1),N('APA Inputs'!$G$23),0),0))*IF('APA Inputs'!$I$23="",1,'APA Inputs'!$I$23))</f>
        <v>0</v>
      </c>
      <c r="CN8" s="409" t="n">
        <f aca="false">IF('APA Inputs'!$C$23="",0,(IF(AND(CN$4&gt;='APA Inputs'!$C$23,CN$4&lt;EDATE('APA Inputs'!$C$23,N('APA Inputs'!$D$23))),'APA Inputs'!$J$23,0)+IF(N('APA Inputs'!$H$23)&gt;0,IF(CN$4=EDATE('APA Inputs'!$C$23,'APA Inputs'!$H$23-1),N('APA Inputs'!$G$23),0),0))*IF('APA Inputs'!$I$23="",1,'APA Inputs'!$I$23))</f>
        <v>0</v>
      </c>
      <c r="CO8" s="409" t="n">
        <f aca="false">IF('APA Inputs'!$C$23="",0,(IF(AND(CO$4&gt;='APA Inputs'!$C$23,CO$4&lt;EDATE('APA Inputs'!$C$23,N('APA Inputs'!$D$23))),'APA Inputs'!$J$23,0)+IF(N('APA Inputs'!$H$23)&gt;0,IF(CO$4=EDATE('APA Inputs'!$C$23,'APA Inputs'!$H$23-1),N('APA Inputs'!$G$23),0),0))*IF('APA Inputs'!$I$23="",1,'APA Inputs'!$I$23))</f>
        <v>0</v>
      </c>
      <c r="CP8" s="409" t="n">
        <f aca="false">IF('APA Inputs'!$C$23="",0,(IF(AND(CP$4&gt;='APA Inputs'!$C$23,CP$4&lt;EDATE('APA Inputs'!$C$23,N('APA Inputs'!$D$23))),'APA Inputs'!$J$23,0)+IF(N('APA Inputs'!$H$23)&gt;0,IF(CP$4=EDATE('APA Inputs'!$C$23,'APA Inputs'!$H$23-1),N('APA Inputs'!$G$23),0),0))*IF('APA Inputs'!$I$23="",1,'APA Inputs'!$I$23))</f>
        <v>0</v>
      </c>
      <c r="CQ8" s="409" t="n">
        <f aca="false">IF('APA Inputs'!$C$23="",0,(IF(AND(CQ$4&gt;='APA Inputs'!$C$23,CQ$4&lt;EDATE('APA Inputs'!$C$23,N('APA Inputs'!$D$23))),'APA Inputs'!$J$23,0)+IF(N('APA Inputs'!$H$23)&gt;0,IF(CQ$4=EDATE('APA Inputs'!$C$23,'APA Inputs'!$H$23-1),N('APA Inputs'!$G$23),0),0))*IF('APA Inputs'!$I$23="",1,'APA Inputs'!$I$23))</f>
        <v>0</v>
      </c>
      <c r="CR8" s="409" t="n">
        <f aca="false">IF('APA Inputs'!$C$23="",0,(IF(AND(CR$4&gt;='APA Inputs'!$C$23,CR$4&lt;EDATE('APA Inputs'!$C$23,N('APA Inputs'!$D$23))),'APA Inputs'!$J$23,0)+IF(N('APA Inputs'!$H$23)&gt;0,IF(CR$4=EDATE('APA Inputs'!$C$23,'APA Inputs'!$H$23-1),N('APA Inputs'!$G$23),0),0))*IF('APA Inputs'!$I$23="",1,'APA Inputs'!$I$23))</f>
        <v>0</v>
      </c>
      <c r="CS8" s="409" t="n">
        <f aca="false">IF('APA Inputs'!$C$23="",0,(IF(AND(CS$4&gt;='APA Inputs'!$C$23,CS$4&lt;EDATE('APA Inputs'!$C$23,N('APA Inputs'!$D$23))),'APA Inputs'!$J$23,0)+IF(N('APA Inputs'!$H$23)&gt;0,IF(CS$4=EDATE('APA Inputs'!$C$23,'APA Inputs'!$H$23-1),N('APA Inputs'!$G$23),0),0))*IF('APA Inputs'!$I$23="",1,'APA Inputs'!$I$23))</f>
        <v>0</v>
      </c>
      <c r="CT8" s="409" t="n">
        <f aca="false">IF('APA Inputs'!$C$23="",0,(IF(AND(CT$4&gt;='APA Inputs'!$C$23,CT$4&lt;EDATE('APA Inputs'!$C$23,N('APA Inputs'!$D$23))),'APA Inputs'!$J$23,0)+IF(N('APA Inputs'!$H$23)&gt;0,IF(CT$4=EDATE('APA Inputs'!$C$23,'APA Inputs'!$H$23-1),N('APA Inputs'!$G$23),0),0))*IF('APA Inputs'!$I$23="",1,'APA Inputs'!$I$23))</f>
        <v>0</v>
      </c>
      <c r="CU8" s="409" t="n">
        <f aca="false">IF('APA Inputs'!$C$23="",0,(IF(AND(CU$4&gt;='APA Inputs'!$C$23,CU$4&lt;EDATE('APA Inputs'!$C$23,N('APA Inputs'!$D$23))),'APA Inputs'!$J$23,0)+IF(N('APA Inputs'!$H$23)&gt;0,IF(CU$4=EDATE('APA Inputs'!$C$23,'APA Inputs'!$H$23-1),N('APA Inputs'!$G$23),0),0))*IF('APA Inputs'!$I$23="",1,'APA Inputs'!$I$23))</f>
        <v>0</v>
      </c>
      <c r="CV8" s="409" t="n">
        <f aca="false">IF('APA Inputs'!$C$23="",0,(IF(AND(CV$4&gt;='APA Inputs'!$C$23,CV$4&lt;EDATE('APA Inputs'!$C$23,N('APA Inputs'!$D$23))),'APA Inputs'!$J$23,0)+IF(N('APA Inputs'!$H$23)&gt;0,IF(CV$4=EDATE('APA Inputs'!$C$23,'APA Inputs'!$H$23-1),N('APA Inputs'!$G$23),0),0))*IF('APA Inputs'!$I$23="",1,'APA Inputs'!$I$23))</f>
        <v>0</v>
      </c>
      <c r="CW8" s="409" t="n">
        <f aca="false">IF('APA Inputs'!$C$23="",0,(IF(AND(CW$4&gt;='APA Inputs'!$C$23,CW$4&lt;EDATE('APA Inputs'!$C$23,N('APA Inputs'!$D$23))),'APA Inputs'!$J$23,0)+IF(N('APA Inputs'!$H$23)&gt;0,IF(CW$4=EDATE('APA Inputs'!$C$23,'APA Inputs'!$H$23-1),N('APA Inputs'!$G$23),0),0))*IF('APA Inputs'!$I$23="",1,'APA Inputs'!$I$23))</f>
        <v>0</v>
      </c>
      <c r="CX8" s="409" t="n">
        <f aca="false">IF('APA Inputs'!$C$23="",0,(IF(AND(CX$4&gt;='APA Inputs'!$C$23,CX$4&lt;EDATE('APA Inputs'!$C$23,N('APA Inputs'!$D$23))),'APA Inputs'!$J$23,0)+IF(N('APA Inputs'!$H$23)&gt;0,IF(CX$4=EDATE('APA Inputs'!$C$23,'APA Inputs'!$H$23-1),N('APA Inputs'!$G$23),0),0))*IF('APA Inputs'!$I$23="",1,'APA Inputs'!$I$23))</f>
        <v>0</v>
      </c>
      <c r="CY8" s="409" t="n">
        <f aca="false">IF('APA Inputs'!$C$23="",0,(IF(AND(CY$4&gt;='APA Inputs'!$C$23,CY$4&lt;EDATE('APA Inputs'!$C$23,N('APA Inputs'!$D$23))),'APA Inputs'!$J$23,0)+IF(N('APA Inputs'!$H$23)&gt;0,IF(CY$4=EDATE('APA Inputs'!$C$23,'APA Inputs'!$H$23-1),N('APA Inputs'!$G$23),0),0))*IF('APA Inputs'!$I$23="",1,'APA Inputs'!$I$23))</f>
        <v>0</v>
      </c>
      <c r="CZ8" s="409" t="n">
        <f aca="false">IF('APA Inputs'!$C$23="",0,(IF(AND(CZ$4&gt;='APA Inputs'!$C$23,CZ$4&lt;EDATE('APA Inputs'!$C$23,N('APA Inputs'!$D$23))),'APA Inputs'!$J$23,0)+IF(N('APA Inputs'!$H$23)&gt;0,IF(CZ$4=EDATE('APA Inputs'!$C$23,'APA Inputs'!$H$23-1),N('APA Inputs'!$G$23),0),0))*IF('APA Inputs'!$I$23="",1,'APA Inputs'!$I$23))</f>
        <v>0</v>
      </c>
      <c r="DA8" s="409" t="n">
        <f aca="false">IF('APA Inputs'!$C$23="",0,(IF(AND(DA$4&gt;='APA Inputs'!$C$23,DA$4&lt;EDATE('APA Inputs'!$C$23,N('APA Inputs'!$D$23))),'APA Inputs'!$J$23,0)+IF(N('APA Inputs'!$H$23)&gt;0,IF(DA$4=EDATE('APA Inputs'!$C$23,'APA Inputs'!$H$23-1),N('APA Inputs'!$G$23),0),0))*IF('APA Inputs'!$I$23="",1,'APA Inputs'!$I$23))</f>
        <v>0</v>
      </c>
      <c r="DB8" s="409" t="n">
        <f aca="false">IF('APA Inputs'!$C$23="",0,(IF(AND(DB$4&gt;='APA Inputs'!$C$23,DB$4&lt;EDATE('APA Inputs'!$C$23,N('APA Inputs'!$D$23))),'APA Inputs'!$J$23,0)+IF(N('APA Inputs'!$H$23)&gt;0,IF(DB$4=EDATE('APA Inputs'!$C$23,'APA Inputs'!$H$23-1),N('APA Inputs'!$G$23),0),0))*IF('APA Inputs'!$I$23="",1,'APA Inputs'!$I$23))</f>
        <v>0</v>
      </c>
      <c r="DC8" s="409" t="n">
        <f aca="false">IF('APA Inputs'!$C$23="",0,(IF(AND(DC$4&gt;='APA Inputs'!$C$23,DC$4&lt;EDATE('APA Inputs'!$C$23,N('APA Inputs'!$D$23))),'APA Inputs'!$J$23,0)+IF(N('APA Inputs'!$H$23)&gt;0,IF(DC$4=EDATE('APA Inputs'!$C$23,'APA Inputs'!$H$23-1),N('APA Inputs'!$G$23),0),0))*IF('APA Inputs'!$I$23="",1,'APA Inputs'!$I$23))</f>
        <v>0</v>
      </c>
      <c r="DD8" s="409" t="n">
        <f aca="false">IF('APA Inputs'!$C$23="",0,(IF(AND(DD$4&gt;='APA Inputs'!$C$23,DD$4&lt;EDATE('APA Inputs'!$C$23,N('APA Inputs'!$D$23))),'APA Inputs'!$J$23,0)+IF(N('APA Inputs'!$H$23)&gt;0,IF(DD$4=EDATE('APA Inputs'!$C$23,'APA Inputs'!$H$23-1),N('APA Inputs'!$G$23),0),0))*IF('APA Inputs'!$I$23="",1,'APA Inputs'!$I$23))</f>
        <v>0</v>
      </c>
      <c r="DE8" s="409"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09" t="n">
        <f aca="false">IF('APA Inputs'!$C$24="",0,(IF(AND(B$4&gt;='APA Inputs'!$C$24,B$4&lt;EDATE('APA Inputs'!$C$24,N('APA Inputs'!$D$24))),'APA Inputs'!$J$24,0)+IF(N('APA Inputs'!$H$24)&gt;0,IF(B$4=EDATE('APA Inputs'!$C$24,'APA Inputs'!$H$24-1),N('APA Inputs'!$G$24),0),0))*IF('APA Inputs'!$I$24="",1,'APA Inputs'!$I$24))</f>
        <v>0</v>
      </c>
      <c r="C9" s="409" t="n">
        <f aca="false">IF('APA Inputs'!$C$24="",0,(IF(AND(C$4&gt;='APA Inputs'!$C$24,C$4&lt;EDATE('APA Inputs'!$C$24,N('APA Inputs'!$D$24))),'APA Inputs'!$J$24,0)+IF(N('APA Inputs'!$H$24)&gt;0,IF(C$4=EDATE('APA Inputs'!$C$24,'APA Inputs'!$H$24-1),N('APA Inputs'!$G$24),0),0))*IF('APA Inputs'!$I$24="",1,'APA Inputs'!$I$24))</f>
        <v>0</v>
      </c>
      <c r="D9" s="409" t="n">
        <f aca="false">IF('APA Inputs'!$C$24="",0,(IF(AND(D$4&gt;='APA Inputs'!$C$24,D$4&lt;EDATE('APA Inputs'!$C$24,N('APA Inputs'!$D$24))),'APA Inputs'!$J$24,0)+IF(N('APA Inputs'!$H$24)&gt;0,IF(D$4=EDATE('APA Inputs'!$C$24,'APA Inputs'!$H$24-1),N('APA Inputs'!$G$24),0),0))*IF('APA Inputs'!$I$24="",1,'APA Inputs'!$I$24))</f>
        <v>0</v>
      </c>
      <c r="E9" s="409" t="n">
        <f aca="false">IF('APA Inputs'!$C$24="",0,(IF(AND(E$4&gt;='APA Inputs'!$C$24,E$4&lt;EDATE('APA Inputs'!$C$24,N('APA Inputs'!$D$24))),'APA Inputs'!$J$24,0)+IF(N('APA Inputs'!$H$24)&gt;0,IF(E$4=EDATE('APA Inputs'!$C$24,'APA Inputs'!$H$24-1),N('APA Inputs'!$G$24),0),0))*IF('APA Inputs'!$I$24="",1,'APA Inputs'!$I$24))</f>
        <v>0</v>
      </c>
      <c r="F9" s="409" t="n">
        <f aca="false">IF('APA Inputs'!$C$24="",0,(IF(AND(F$4&gt;='APA Inputs'!$C$24,F$4&lt;EDATE('APA Inputs'!$C$24,N('APA Inputs'!$D$24))),'APA Inputs'!$J$24,0)+IF(N('APA Inputs'!$H$24)&gt;0,IF(F$4=EDATE('APA Inputs'!$C$24,'APA Inputs'!$H$24-1),N('APA Inputs'!$G$24),0),0))*IF('APA Inputs'!$I$24="",1,'APA Inputs'!$I$24))</f>
        <v>0</v>
      </c>
      <c r="G9" s="409" t="n">
        <f aca="false">IF('APA Inputs'!$C$24="",0,(IF(AND(G$4&gt;='APA Inputs'!$C$24,G$4&lt;EDATE('APA Inputs'!$C$24,N('APA Inputs'!$D$24))),'APA Inputs'!$J$24,0)+IF(N('APA Inputs'!$H$24)&gt;0,IF(G$4=EDATE('APA Inputs'!$C$24,'APA Inputs'!$H$24-1),N('APA Inputs'!$G$24),0),0))*IF('APA Inputs'!$I$24="",1,'APA Inputs'!$I$24))</f>
        <v>0</v>
      </c>
      <c r="H9" s="409" t="n">
        <f aca="false">IF('APA Inputs'!$C$24="",0,(IF(AND(H$4&gt;='APA Inputs'!$C$24,H$4&lt;EDATE('APA Inputs'!$C$24,N('APA Inputs'!$D$24))),'APA Inputs'!$J$24,0)+IF(N('APA Inputs'!$H$24)&gt;0,IF(H$4=EDATE('APA Inputs'!$C$24,'APA Inputs'!$H$24-1),N('APA Inputs'!$G$24),0),0))*IF('APA Inputs'!$I$24="",1,'APA Inputs'!$I$24))</f>
        <v>0</v>
      </c>
      <c r="I9" s="409" t="n">
        <f aca="false">IF('APA Inputs'!$C$24="",0,(IF(AND(I$4&gt;='APA Inputs'!$C$24,I$4&lt;EDATE('APA Inputs'!$C$24,N('APA Inputs'!$D$24))),'APA Inputs'!$J$24,0)+IF(N('APA Inputs'!$H$24)&gt;0,IF(I$4=EDATE('APA Inputs'!$C$24,'APA Inputs'!$H$24-1),N('APA Inputs'!$G$24),0),0))*IF('APA Inputs'!$I$24="",1,'APA Inputs'!$I$24))</f>
        <v>0</v>
      </c>
      <c r="J9" s="409" t="n">
        <f aca="false">IF('APA Inputs'!$C$24="",0,(IF(AND(J$4&gt;='APA Inputs'!$C$24,J$4&lt;EDATE('APA Inputs'!$C$24,N('APA Inputs'!$D$24))),'APA Inputs'!$J$24,0)+IF(N('APA Inputs'!$H$24)&gt;0,IF(J$4=EDATE('APA Inputs'!$C$24,'APA Inputs'!$H$24-1),N('APA Inputs'!$G$24),0),0))*IF('APA Inputs'!$I$24="",1,'APA Inputs'!$I$24))</f>
        <v>3332.72</v>
      </c>
      <c r="K9" s="409" t="n">
        <f aca="false">IF('APA Inputs'!$C$24="",0,(IF(AND(K$4&gt;='APA Inputs'!$C$24,K$4&lt;EDATE('APA Inputs'!$C$24,N('APA Inputs'!$D$24))),'APA Inputs'!$J$24,0)+IF(N('APA Inputs'!$H$24)&gt;0,IF(K$4=EDATE('APA Inputs'!$C$24,'APA Inputs'!$H$24-1),N('APA Inputs'!$G$24),0),0))*IF('APA Inputs'!$I$24="",1,'APA Inputs'!$I$24))</f>
        <v>3332.72</v>
      </c>
      <c r="L9" s="409" t="n">
        <f aca="false">IF('APA Inputs'!$C$24="",0,(IF(AND(L$4&gt;='APA Inputs'!$C$24,L$4&lt;EDATE('APA Inputs'!$C$24,N('APA Inputs'!$D$24))),'APA Inputs'!$J$24,0)+IF(N('APA Inputs'!$H$24)&gt;0,IF(L$4=EDATE('APA Inputs'!$C$24,'APA Inputs'!$H$24-1),N('APA Inputs'!$G$24),0),0))*IF('APA Inputs'!$I$24="",1,'APA Inputs'!$I$24))</f>
        <v>3332.72</v>
      </c>
      <c r="M9" s="409" t="n">
        <f aca="false">IF('APA Inputs'!$C$24="",0,(IF(AND(M$4&gt;='APA Inputs'!$C$24,M$4&lt;EDATE('APA Inputs'!$C$24,N('APA Inputs'!$D$24))),'APA Inputs'!$J$24,0)+IF(N('APA Inputs'!$H$24)&gt;0,IF(M$4=EDATE('APA Inputs'!$C$24,'APA Inputs'!$H$24-1),N('APA Inputs'!$G$24),0),0))*IF('APA Inputs'!$I$24="",1,'APA Inputs'!$I$24))</f>
        <v>3332.72</v>
      </c>
      <c r="N9" s="409" t="n">
        <f aca="false">IF('APA Inputs'!$C$24="",0,(IF(AND(N$4&gt;='APA Inputs'!$C$24,N$4&lt;EDATE('APA Inputs'!$C$24,N('APA Inputs'!$D$24))),'APA Inputs'!$J$24,0)+IF(N('APA Inputs'!$H$24)&gt;0,IF(N$4=EDATE('APA Inputs'!$C$24,'APA Inputs'!$H$24-1),N('APA Inputs'!$G$24),0),0))*IF('APA Inputs'!$I$24="",1,'APA Inputs'!$I$24))</f>
        <v>3332.72</v>
      </c>
      <c r="O9" s="409" t="n">
        <f aca="false">IF('APA Inputs'!$C$24="",0,(IF(AND(O$4&gt;='APA Inputs'!$C$24,O$4&lt;EDATE('APA Inputs'!$C$24,N('APA Inputs'!$D$24))),'APA Inputs'!$J$24,0)+IF(N('APA Inputs'!$H$24)&gt;0,IF(O$4=EDATE('APA Inputs'!$C$24,'APA Inputs'!$H$24-1),N('APA Inputs'!$G$24),0),0))*IF('APA Inputs'!$I$24="",1,'APA Inputs'!$I$24))</f>
        <v>3332.72</v>
      </c>
      <c r="P9" s="409" t="n">
        <f aca="false">IF('APA Inputs'!$C$24="",0,(IF(AND(P$4&gt;='APA Inputs'!$C$24,P$4&lt;EDATE('APA Inputs'!$C$24,N('APA Inputs'!$D$24))),'APA Inputs'!$J$24,0)+IF(N('APA Inputs'!$H$24)&gt;0,IF(P$4=EDATE('APA Inputs'!$C$24,'APA Inputs'!$H$24-1),N('APA Inputs'!$G$24),0),0))*IF('APA Inputs'!$I$24="",1,'APA Inputs'!$I$24))</f>
        <v>3332.72</v>
      </c>
      <c r="Q9" s="409" t="n">
        <f aca="false">IF('APA Inputs'!$C$24="",0,(IF(AND(Q$4&gt;='APA Inputs'!$C$24,Q$4&lt;EDATE('APA Inputs'!$C$24,N('APA Inputs'!$D$24))),'APA Inputs'!$J$24,0)+IF(N('APA Inputs'!$H$24)&gt;0,IF(Q$4=EDATE('APA Inputs'!$C$24,'APA Inputs'!$H$24-1),N('APA Inputs'!$G$24),0),0))*IF('APA Inputs'!$I$24="",1,'APA Inputs'!$I$24))</f>
        <v>3332.72</v>
      </c>
      <c r="R9" s="409" t="n">
        <f aca="false">IF('APA Inputs'!$C$24="",0,(IF(AND(R$4&gt;='APA Inputs'!$C$24,R$4&lt;EDATE('APA Inputs'!$C$24,N('APA Inputs'!$D$24))),'APA Inputs'!$J$24,0)+IF(N('APA Inputs'!$H$24)&gt;0,IF(R$4=EDATE('APA Inputs'!$C$24,'APA Inputs'!$H$24-1),N('APA Inputs'!$G$24),0),0))*IF('APA Inputs'!$I$24="",1,'APA Inputs'!$I$24))</f>
        <v>3332.72</v>
      </c>
      <c r="S9" s="409" t="n">
        <f aca="false">IF('APA Inputs'!$C$24="",0,(IF(AND(S$4&gt;='APA Inputs'!$C$24,S$4&lt;EDATE('APA Inputs'!$C$24,N('APA Inputs'!$D$24))),'APA Inputs'!$J$24,0)+IF(N('APA Inputs'!$H$24)&gt;0,IF(S$4=EDATE('APA Inputs'!$C$24,'APA Inputs'!$H$24-1),N('APA Inputs'!$G$24),0),0))*IF('APA Inputs'!$I$24="",1,'APA Inputs'!$I$24))</f>
        <v>3332.72</v>
      </c>
      <c r="T9" s="409" t="n">
        <f aca="false">IF('APA Inputs'!$C$24="",0,(IF(AND(T$4&gt;='APA Inputs'!$C$24,T$4&lt;EDATE('APA Inputs'!$C$24,N('APA Inputs'!$D$24))),'APA Inputs'!$J$24,0)+IF(N('APA Inputs'!$H$24)&gt;0,IF(T$4=EDATE('APA Inputs'!$C$24,'APA Inputs'!$H$24-1),N('APA Inputs'!$G$24),0),0))*IF('APA Inputs'!$I$24="",1,'APA Inputs'!$I$24))</f>
        <v>3332.72</v>
      </c>
      <c r="U9" s="409" t="n">
        <f aca="false">IF('APA Inputs'!$C$24="",0,(IF(AND(U$4&gt;='APA Inputs'!$C$24,U$4&lt;EDATE('APA Inputs'!$C$24,N('APA Inputs'!$D$24))),'APA Inputs'!$J$24,0)+IF(N('APA Inputs'!$H$24)&gt;0,IF(U$4=EDATE('APA Inputs'!$C$24,'APA Inputs'!$H$24-1),N('APA Inputs'!$G$24),0),0))*IF('APA Inputs'!$I$24="",1,'APA Inputs'!$I$24))</f>
        <v>3332.72</v>
      </c>
      <c r="V9" s="409" t="n">
        <f aca="false">IF('APA Inputs'!$C$24="",0,(IF(AND(V$4&gt;='APA Inputs'!$C$24,V$4&lt;EDATE('APA Inputs'!$C$24,N('APA Inputs'!$D$24))),'APA Inputs'!$J$24,0)+IF(N('APA Inputs'!$H$24)&gt;0,IF(V$4=EDATE('APA Inputs'!$C$24,'APA Inputs'!$H$24-1),N('APA Inputs'!$G$24),0),0))*IF('APA Inputs'!$I$24="",1,'APA Inputs'!$I$24))</f>
        <v>0</v>
      </c>
      <c r="W9" s="409" t="n">
        <f aca="false">IF('APA Inputs'!$C$24="",0,(IF(AND(W$4&gt;='APA Inputs'!$C$24,W$4&lt;EDATE('APA Inputs'!$C$24,N('APA Inputs'!$D$24))),'APA Inputs'!$J$24,0)+IF(N('APA Inputs'!$H$24)&gt;0,IF(W$4=EDATE('APA Inputs'!$C$24,'APA Inputs'!$H$24-1),N('APA Inputs'!$G$24),0),0))*IF('APA Inputs'!$I$24="",1,'APA Inputs'!$I$24))</f>
        <v>0</v>
      </c>
      <c r="X9" s="409" t="n">
        <f aca="false">IF('APA Inputs'!$C$24="",0,(IF(AND(X$4&gt;='APA Inputs'!$C$24,X$4&lt;EDATE('APA Inputs'!$C$24,N('APA Inputs'!$D$24))),'APA Inputs'!$J$24,0)+IF(N('APA Inputs'!$H$24)&gt;0,IF(X$4=EDATE('APA Inputs'!$C$24,'APA Inputs'!$H$24-1),N('APA Inputs'!$G$24),0),0))*IF('APA Inputs'!$I$24="",1,'APA Inputs'!$I$24))</f>
        <v>0</v>
      </c>
      <c r="Y9" s="409" t="n">
        <f aca="false">IF('APA Inputs'!$C$24="",0,(IF(AND(Y$4&gt;='APA Inputs'!$C$24,Y$4&lt;EDATE('APA Inputs'!$C$24,N('APA Inputs'!$D$24))),'APA Inputs'!$J$24,0)+IF(N('APA Inputs'!$H$24)&gt;0,IF(Y$4=EDATE('APA Inputs'!$C$24,'APA Inputs'!$H$24-1),N('APA Inputs'!$G$24),0),0))*IF('APA Inputs'!$I$24="",1,'APA Inputs'!$I$24))</f>
        <v>0</v>
      </c>
      <c r="Z9" s="409" t="n">
        <f aca="false">IF('APA Inputs'!$C$24="",0,(IF(AND(Z$4&gt;='APA Inputs'!$C$24,Z$4&lt;EDATE('APA Inputs'!$C$24,N('APA Inputs'!$D$24))),'APA Inputs'!$J$24,0)+IF(N('APA Inputs'!$H$24)&gt;0,IF(Z$4=EDATE('APA Inputs'!$C$24,'APA Inputs'!$H$24-1),N('APA Inputs'!$G$24),0),0))*IF('APA Inputs'!$I$24="",1,'APA Inputs'!$I$24))</f>
        <v>0</v>
      </c>
      <c r="AA9" s="409" t="n">
        <f aca="false">IF('APA Inputs'!$C$24="",0,(IF(AND(AA$4&gt;='APA Inputs'!$C$24,AA$4&lt;EDATE('APA Inputs'!$C$24,N('APA Inputs'!$D$24))),'APA Inputs'!$J$24,0)+IF(N('APA Inputs'!$H$24)&gt;0,IF(AA$4=EDATE('APA Inputs'!$C$24,'APA Inputs'!$H$24-1),N('APA Inputs'!$G$24),0),0))*IF('APA Inputs'!$I$24="",1,'APA Inputs'!$I$24))</f>
        <v>0</v>
      </c>
      <c r="AB9" s="409" t="n">
        <f aca="false">IF('APA Inputs'!$C$24="",0,(IF(AND(AB$4&gt;='APA Inputs'!$C$24,AB$4&lt;EDATE('APA Inputs'!$C$24,N('APA Inputs'!$D$24))),'APA Inputs'!$J$24,0)+IF(N('APA Inputs'!$H$24)&gt;0,IF(AB$4=EDATE('APA Inputs'!$C$24,'APA Inputs'!$H$24-1),N('APA Inputs'!$G$24),0),0))*IF('APA Inputs'!$I$24="",1,'APA Inputs'!$I$24))</f>
        <v>0</v>
      </c>
      <c r="AC9" s="409" t="n">
        <f aca="false">IF('APA Inputs'!$C$24="",0,(IF(AND(AC$4&gt;='APA Inputs'!$C$24,AC$4&lt;EDATE('APA Inputs'!$C$24,N('APA Inputs'!$D$24))),'APA Inputs'!$J$24,0)+IF(N('APA Inputs'!$H$24)&gt;0,IF(AC$4=EDATE('APA Inputs'!$C$24,'APA Inputs'!$H$24-1),N('APA Inputs'!$G$24),0),0))*IF('APA Inputs'!$I$24="",1,'APA Inputs'!$I$24))</f>
        <v>0</v>
      </c>
      <c r="AD9" s="409" t="n">
        <f aca="false">IF('APA Inputs'!$C$24="",0,(IF(AND(AD$4&gt;='APA Inputs'!$C$24,AD$4&lt;EDATE('APA Inputs'!$C$24,N('APA Inputs'!$D$24))),'APA Inputs'!$J$24,0)+IF(N('APA Inputs'!$H$24)&gt;0,IF(AD$4=EDATE('APA Inputs'!$C$24,'APA Inputs'!$H$24-1),N('APA Inputs'!$G$24),0),0))*IF('APA Inputs'!$I$24="",1,'APA Inputs'!$I$24))</f>
        <v>0</v>
      </c>
      <c r="AE9" s="409" t="n">
        <f aca="false">IF('APA Inputs'!$C$24="",0,(IF(AND(AE$4&gt;='APA Inputs'!$C$24,AE$4&lt;EDATE('APA Inputs'!$C$24,N('APA Inputs'!$D$24))),'APA Inputs'!$J$24,0)+IF(N('APA Inputs'!$H$24)&gt;0,IF(AE$4=EDATE('APA Inputs'!$C$24,'APA Inputs'!$H$24-1),N('APA Inputs'!$G$24),0),0))*IF('APA Inputs'!$I$24="",1,'APA Inputs'!$I$24))</f>
        <v>0</v>
      </c>
      <c r="AF9" s="409" t="n">
        <f aca="false">IF('APA Inputs'!$C$24="",0,(IF(AND(AF$4&gt;='APA Inputs'!$C$24,AF$4&lt;EDATE('APA Inputs'!$C$24,N('APA Inputs'!$D$24))),'APA Inputs'!$J$24,0)+IF(N('APA Inputs'!$H$24)&gt;0,IF(AF$4=EDATE('APA Inputs'!$C$24,'APA Inputs'!$H$24-1),N('APA Inputs'!$G$24),0),0))*IF('APA Inputs'!$I$24="",1,'APA Inputs'!$I$24))</f>
        <v>0</v>
      </c>
      <c r="AG9" s="409" t="n">
        <f aca="false">IF('APA Inputs'!$C$24="",0,(IF(AND(AG$4&gt;='APA Inputs'!$C$24,AG$4&lt;EDATE('APA Inputs'!$C$24,N('APA Inputs'!$D$24))),'APA Inputs'!$J$24,0)+IF(N('APA Inputs'!$H$24)&gt;0,IF(AG$4=EDATE('APA Inputs'!$C$24,'APA Inputs'!$H$24-1),N('APA Inputs'!$G$24),0),0))*IF('APA Inputs'!$I$24="",1,'APA Inputs'!$I$24))</f>
        <v>0</v>
      </c>
      <c r="AH9" s="409" t="n">
        <f aca="false">IF('APA Inputs'!$C$24="",0,(IF(AND(AH$4&gt;='APA Inputs'!$C$24,AH$4&lt;EDATE('APA Inputs'!$C$24,N('APA Inputs'!$D$24))),'APA Inputs'!$J$24,0)+IF(N('APA Inputs'!$H$24)&gt;0,IF(AH$4=EDATE('APA Inputs'!$C$24,'APA Inputs'!$H$24-1),N('APA Inputs'!$G$24),0),0))*IF('APA Inputs'!$I$24="",1,'APA Inputs'!$I$24))</f>
        <v>0</v>
      </c>
      <c r="AI9" s="409" t="n">
        <f aca="false">IF('APA Inputs'!$C$24="",0,(IF(AND(AI$4&gt;='APA Inputs'!$C$24,AI$4&lt;EDATE('APA Inputs'!$C$24,N('APA Inputs'!$D$24))),'APA Inputs'!$J$24,0)+IF(N('APA Inputs'!$H$24)&gt;0,IF(AI$4=EDATE('APA Inputs'!$C$24,'APA Inputs'!$H$24-1),N('APA Inputs'!$G$24),0),0))*IF('APA Inputs'!$I$24="",1,'APA Inputs'!$I$24))</f>
        <v>0</v>
      </c>
      <c r="AJ9" s="409" t="n">
        <f aca="false">IF('APA Inputs'!$C$24="",0,(IF(AND(AJ$4&gt;='APA Inputs'!$C$24,AJ$4&lt;EDATE('APA Inputs'!$C$24,N('APA Inputs'!$D$24))),'APA Inputs'!$J$24,0)+IF(N('APA Inputs'!$H$24)&gt;0,IF(AJ$4=EDATE('APA Inputs'!$C$24,'APA Inputs'!$H$24-1),N('APA Inputs'!$G$24),0),0))*IF('APA Inputs'!$I$24="",1,'APA Inputs'!$I$24))</f>
        <v>0</v>
      </c>
      <c r="AK9" s="409" t="n">
        <f aca="false">IF('APA Inputs'!$C$24="",0,(IF(AND(AK$4&gt;='APA Inputs'!$C$24,AK$4&lt;EDATE('APA Inputs'!$C$24,N('APA Inputs'!$D$24))),'APA Inputs'!$J$24,0)+IF(N('APA Inputs'!$H$24)&gt;0,IF(AK$4=EDATE('APA Inputs'!$C$24,'APA Inputs'!$H$24-1),N('APA Inputs'!$G$24),0),0))*IF('APA Inputs'!$I$24="",1,'APA Inputs'!$I$24))</f>
        <v>0</v>
      </c>
      <c r="AL9" s="409" t="n">
        <f aca="false">IF('APA Inputs'!$C$24="",0,(IF(AND(AL$4&gt;='APA Inputs'!$C$24,AL$4&lt;EDATE('APA Inputs'!$C$24,N('APA Inputs'!$D$24))),'APA Inputs'!$J$24,0)+IF(N('APA Inputs'!$H$24)&gt;0,IF(AL$4=EDATE('APA Inputs'!$C$24,'APA Inputs'!$H$24-1),N('APA Inputs'!$G$24),0),0))*IF('APA Inputs'!$I$24="",1,'APA Inputs'!$I$24))</f>
        <v>0</v>
      </c>
      <c r="AM9" s="409" t="n">
        <f aca="false">IF('APA Inputs'!$C$24="",0,(IF(AND(AM$4&gt;='APA Inputs'!$C$24,AM$4&lt;EDATE('APA Inputs'!$C$24,N('APA Inputs'!$D$24))),'APA Inputs'!$J$24,0)+IF(N('APA Inputs'!$H$24)&gt;0,IF(AM$4=EDATE('APA Inputs'!$C$24,'APA Inputs'!$H$24-1),N('APA Inputs'!$G$24),0),0))*IF('APA Inputs'!$I$24="",1,'APA Inputs'!$I$24))</f>
        <v>0</v>
      </c>
      <c r="AN9" s="409" t="n">
        <f aca="false">IF('APA Inputs'!$C$24="",0,(IF(AND(AN$4&gt;='APA Inputs'!$C$24,AN$4&lt;EDATE('APA Inputs'!$C$24,N('APA Inputs'!$D$24))),'APA Inputs'!$J$24,0)+IF(N('APA Inputs'!$H$24)&gt;0,IF(AN$4=EDATE('APA Inputs'!$C$24,'APA Inputs'!$H$24-1),N('APA Inputs'!$G$24),0),0))*IF('APA Inputs'!$I$24="",1,'APA Inputs'!$I$24))</f>
        <v>0</v>
      </c>
      <c r="AO9" s="409" t="n">
        <f aca="false">IF('APA Inputs'!$C$24="",0,(IF(AND(AO$4&gt;='APA Inputs'!$C$24,AO$4&lt;EDATE('APA Inputs'!$C$24,N('APA Inputs'!$D$24))),'APA Inputs'!$J$24,0)+IF(N('APA Inputs'!$H$24)&gt;0,IF(AO$4=EDATE('APA Inputs'!$C$24,'APA Inputs'!$H$24-1),N('APA Inputs'!$G$24),0),0))*IF('APA Inputs'!$I$24="",1,'APA Inputs'!$I$24))</f>
        <v>0</v>
      </c>
      <c r="AP9" s="409" t="n">
        <f aca="false">IF('APA Inputs'!$C$24="",0,(IF(AND(AP$4&gt;='APA Inputs'!$C$24,AP$4&lt;EDATE('APA Inputs'!$C$24,N('APA Inputs'!$D$24))),'APA Inputs'!$J$24,0)+IF(N('APA Inputs'!$H$24)&gt;0,IF(AP$4=EDATE('APA Inputs'!$C$24,'APA Inputs'!$H$24-1),N('APA Inputs'!$G$24),0),0))*IF('APA Inputs'!$I$24="",1,'APA Inputs'!$I$24))</f>
        <v>0</v>
      </c>
      <c r="AQ9" s="409" t="n">
        <f aca="false">IF('APA Inputs'!$C$24="",0,(IF(AND(AQ$4&gt;='APA Inputs'!$C$24,AQ$4&lt;EDATE('APA Inputs'!$C$24,N('APA Inputs'!$D$24))),'APA Inputs'!$J$24,0)+IF(N('APA Inputs'!$H$24)&gt;0,IF(AQ$4=EDATE('APA Inputs'!$C$24,'APA Inputs'!$H$24-1),N('APA Inputs'!$G$24),0),0))*IF('APA Inputs'!$I$24="",1,'APA Inputs'!$I$24))</f>
        <v>0</v>
      </c>
      <c r="AR9" s="409" t="n">
        <f aca="false">IF('APA Inputs'!$C$24="",0,(IF(AND(AR$4&gt;='APA Inputs'!$C$24,AR$4&lt;EDATE('APA Inputs'!$C$24,N('APA Inputs'!$D$24))),'APA Inputs'!$J$24,0)+IF(N('APA Inputs'!$H$24)&gt;0,IF(AR$4=EDATE('APA Inputs'!$C$24,'APA Inputs'!$H$24-1),N('APA Inputs'!$G$24),0),0))*IF('APA Inputs'!$I$24="",1,'APA Inputs'!$I$24))</f>
        <v>0</v>
      </c>
      <c r="AS9" s="409" t="n">
        <f aca="false">IF('APA Inputs'!$C$24="",0,(IF(AND(AS$4&gt;='APA Inputs'!$C$24,AS$4&lt;EDATE('APA Inputs'!$C$24,N('APA Inputs'!$D$24))),'APA Inputs'!$J$24,0)+IF(N('APA Inputs'!$H$24)&gt;0,IF(AS$4=EDATE('APA Inputs'!$C$24,'APA Inputs'!$H$24-1),N('APA Inputs'!$G$24),0),0))*IF('APA Inputs'!$I$24="",1,'APA Inputs'!$I$24))</f>
        <v>0</v>
      </c>
      <c r="AT9" s="409" t="n">
        <f aca="false">IF('APA Inputs'!$C$24="",0,(IF(AND(AT$4&gt;='APA Inputs'!$C$24,AT$4&lt;EDATE('APA Inputs'!$C$24,N('APA Inputs'!$D$24))),'APA Inputs'!$J$24,0)+IF(N('APA Inputs'!$H$24)&gt;0,IF(AT$4=EDATE('APA Inputs'!$C$24,'APA Inputs'!$H$24-1),N('APA Inputs'!$G$24),0),0))*IF('APA Inputs'!$I$24="",1,'APA Inputs'!$I$24))</f>
        <v>0</v>
      </c>
      <c r="AU9" s="409" t="n">
        <f aca="false">IF('APA Inputs'!$C$24="",0,(IF(AND(AU$4&gt;='APA Inputs'!$C$24,AU$4&lt;EDATE('APA Inputs'!$C$24,N('APA Inputs'!$D$24))),'APA Inputs'!$J$24,0)+IF(N('APA Inputs'!$H$24)&gt;0,IF(AU$4=EDATE('APA Inputs'!$C$24,'APA Inputs'!$H$24-1),N('APA Inputs'!$G$24),0),0))*IF('APA Inputs'!$I$24="",1,'APA Inputs'!$I$24))</f>
        <v>0</v>
      </c>
      <c r="AV9" s="409" t="n">
        <f aca="false">IF('APA Inputs'!$C$24="",0,(IF(AND(AV$4&gt;='APA Inputs'!$C$24,AV$4&lt;EDATE('APA Inputs'!$C$24,N('APA Inputs'!$D$24))),'APA Inputs'!$J$24,0)+IF(N('APA Inputs'!$H$24)&gt;0,IF(AV$4=EDATE('APA Inputs'!$C$24,'APA Inputs'!$H$24-1),N('APA Inputs'!$G$24),0),0))*IF('APA Inputs'!$I$24="",1,'APA Inputs'!$I$24))</f>
        <v>0</v>
      </c>
      <c r="AW9" s="409" t="n">
        <f aca="false">IF('APA Inputs'!$C$24="",0,(IF(AND(AW$4&gt;='APA Inputs'!$C$24,AW$4&lt;EDATE('APA Inputs'!$C$24,N('APA Inputs'!$D$24))),'APA Inputs'!$J$24,0)+IF(N('APA Inputs'!$H$24)&gt;0,IF(AW$4=EDATE('APA Inputs'!$C$24,'APA Inputs'!$H$24-1),N('APA Inputs'!$G$24),0),0))*IF('APA Inputs'!$I$24="",1,'APA Inputs'!$I$24))</f>
        <v>0</v>
      </c>
      <c r="AX9" s="409" t="n">
        <f aca="false">IF('APA Inputs'!$C$24="",0,(IF(AND(AX$4&gt;='APA Inputs'!$C$24,AX$4&lt;EDATE('APA Inputs'!$C$24,N('APA Inputs'!$D$24))),'APA Inputs'!$J$24,0)+IF(N('APA Inputs'!$H$24)&gt;0,IF(AX$4=EDATE('APA Inputs'!$C$24,'APA Inputs'!$H$24-1),N('APA Inputs'!$G$24),0),0))*IF('APA Inputs'!$I$24="",1,'APA Inputs'!$I$24))</f>
        <v>0</v>
      </c>
      <c r="AY9" s="409" t="n">
        <f aca="false">IF('APA Inputs'!$C$24="",0,(IF(AND(AY$4&gt;='APA Inputs'!$C$24,AY$4&lt;EDATE('APA Inputs'!$C$24,N('APA Inputs'!$D$24))),'APA Inputs'!$J$24,0)+IF(N('APA Inputs'!$H$24)&gt;0,IF(AY$4=EDATE('APA Inputs'!$C$24,'APA Inputs'!$H$24-1),N('APA Inputs'!$G$24),0),0))*IF('APA Inputs'!$I$24="",1,'APA Inputs'!$I$24))</f>
        <v>0</v>
      </c>
      <c r="AZ9" s="409" t="n">
        <f aca="false">IF('APA Inputs'!$C$24="",0,(IF(AND(AZ$4&gt;='APA Inputs'!$C$24,AZ$4&lt;EDATE('APA Inputs'!$C$24,N('APA Inputs'!$D$24))),'APA Inputs'!$J$24,0)+IF(N('APA Inputs'!$H$24)&gt;0,IF(AZ$4=EDATE('APA Inputs'!$C$24,'APA Inputs'!$H$24-1),N('APA Inputs'!$G$24),0),0))*IF('APA Inputs'!$I$24="",1,'APA Inputs'!$I$24))</f>
        <v>0</v>
      </c>
      <c r="BA9" s="409" t="n">
        <f aca="false">IF('APA Inputs'!$C$24="",0,(IF(AND(BA$4&gt;='APA Inputs'!$C$24,BA$4&lt;EDATE('APA Inputs'!$C$24,N('APA Inputs'!$D$24))),'APA Inputs'!$J$24,0)+IF(N('APA Inputs'!$H$24)&gt;0,IF(BA$4=EDATE('APA Inputs'!$C$24,'APA Inputs'!$H$24-1),N('APA Inputs'!$G$24),0),0))*IF('APA Inputs'!$I$24="",1,'APA Inputs'!$I$24))</f>
        <v>0</v>
      </c>
      <c r="BB9" s="409" t="n">
        <f aca="false">IF('APA Inputs'!$C$24="",0,(IF(AND(BB$4&gt;='APA Inputs'!$C$24,BB$4&lt;EDATE('APA Inputs'!$C$24,N('APA Inputs'!$D$24))),'APA Inputs'!$J$24,0)+IF(N('APA Inputs'!$H$24)&gt;0,IF(BB$4=EDATE('APA Inputs'!$C$24,'APA Inputs'!$H$24-1),N('APA Inputs'!$G$24),0),0))*IF('APA Inputs'!$I$24="",1,'APA Inputs'!$I$24))</f>
        <v>0</v>
      </c>
      <c r="BC9" s="409" t="n">
        <f aca="false">IF('APA Inputs'!$C$24="",0,(IF(AND(BC$4&gt;='APA Inputs'!$C$24,BC$4&lt;EDATE('APA Inputs'!$C$24,N('APA Inputs'!$D$24))),'APA Inputs'!$J$24,0)+IF(N('APA Inputs'!$H$24)&gt;0,IF(BC$4=EDATE('APA Inputs'!$C$24,'APA Inputs'!$H$24-1),N('APA Inputs'!$G$24),0),0))*IF('APA Inputs'!$I$24="",1,'APA Inputs'!$I$24))</f>
        <v>0</v>
      </c>
      <c r="BD9" s="409" t="n">
        <f aca="false">IF('APA Inputs'!$C$24="",0,(IF(AND(BD$4&gt;='APA Inputs'!$C$24,BD$4&lt;EDATE('APA Inputs'!$C$24,N('APA Inputs'!$D$24))),'APA Inputs'!$J$24,0)+IF(N('APA Inputs'!$H$24)&gt;0,IF(BD$4=EDATE('APA Inputs'!$C$24,'APA Inputs'!$H$24-1),N('APA Inputs'!$G$24),0),0))*IF('APA Inputs'!$I$24="",1,'APA Inputs'!$I$24))</f>
        <v>0</v>
      </c>
      <c r="BE9" s="409" t="n">
        <f aca="false">IF('APA Inputs'!$C$24="",0,(IF(AND(BE$4&gt;='APA Inputs'!$C$24,BE$4&lt;EDATE('APA Inputs'!$C$24,N('APA Inputs'!$D$24))),'APA Inputs'!$J$24,0)+IF(N('APA Inputs'!$H$24)&gt;0,IF(BE$4=EDATE('APA Inputs'!$C$24,'APA Inputs'!$H$24-1),N('APA Inputs'!$G$24),0),0))*IF('APA Inputs'!$I$24="",1,'APA Inputs'!$I$24))</f>
        <v>0</v>
      </c>
      <c r="BF9" s="409" t="n">
        <f aca="false">IF('APA Inputs'!$C$24="",0,(IF(AND(BF$4&gt;='APA Inputs'!$C$24,BF$4&lt;EDATE('APA Inputs'!$C$24,N('APA Inputs'!$D$24))),'APA Inputs'!$J$24,0)+IF(N('APA Inputs'!$H$24)&gt;0,IF(BF$4=EDATE('APA Inputs'!$C$24,'APA Inputs'!$H$24-1),N('APA Inputs'!$G$24),0),0))*IF('APA Inputs'!$I$24="",1,'APA Inputs'!$I$24))</f>
        <v>0</v>
      </c>
      <c r="BG9" s="409" t="n">
        <f aca="false">IF('APA Inputs'!$C$24="",0,(IF(AND(BG$4&gt;='APA Inputs'!$C$24,BG$4&lt;EDATE('APA Inputs'!$C$24,N('APA Inputs'!$D$24))),'APA Inputs'!$J$24,0)+IF(N('APA Inputs'!$H$24)&gt;0,IF(BG$4=EDATE('APA Inputs'!$C$24,'APA Inputs'!$H$24-1),N('APA Inputs'!$G$24),0),0))*IF('APA Inputs'!$I$24="",1,'APA Inputs'!$I$24))</f>
        <v>0</v>
      </c>
      <c r="BH9" s="409" t="n">
        <f aca="false">IF('APA Inputs'!$C$24="",0,(IF(AND(BH$4&gt;='APA Inputs'!$C$24,BH$4&lt;EDATE('APA Inputs'!$C$24,N('APA Inputs'!$D$24))),'APA Inputs'!$J$24,0)+IF(N('APA Inputs'!$H$24)&gt;0,IF(BH$4=EDATE('APA Inputs'!$C$24,'APA Inputs'!$H$24-1),N('APA Inputs'!$G$24),0),0))*IF('APA Inputs'!$I$24="",1,'APA Inputs'!$I$24))</f>
        <v>0</v>
      </c>
      <c r="BI9" s="409" t="n">
        <f aca="false">IF('APA Inputs'!$C$24="",0,(IF(AND(BI$4&gt;='APA Inputs'!$C$24,BI$4&lt;EDATE('APA Inputs'!$C$24,N('APA Inputs'!$D$24))),'APA Inputs'!$J$24,0)+IF(N('APA Inputs'!$H$24)&gt;0,IF(BI$4=EDATE('APA Inputs'!$C$24,'APA Inputs'!$H$24-1),N('APA Inputs'!$G$24),0),0))*IF('APA Inputs'!$I$24="",1,'APA Inputs'!$I$24))</f>
        <v>0</v>
      </c>
      <c r="BJ9" s="409" t="n">
        <f aca="false">IF('APA Inputs'!$C$24="",0,(IF(AND(BJ$4&gt;='APA Inputs'!$C$24,BJ$4&lt;EDATE('APA Inputs'!$C$24,N('APA Inputs'!$D$24))),'APA Inputs'!$J$24,0)+IF(N('APA Inputs'!$H$24)&gt;0,IF(BJ$4=EDATE('APA Inputs'!$C$24,'APA Inputs'!$H$24-1),N('APA Inputs'!$G$24),0),0))*IF('APA Inputs'!$I$24="",1,'APA Inputs'!$I$24))</f>
        <v>0</v>
      </c>
      <c r="BK9" s="409" t="n">
        <f aca="false">IF('APA Inputs'!$C$24="",0,(IF(AND(BK$4&gt;='APA Inputs'!$C$24,BK$4&lt;EDATE('APA Inputs'!$C$24,N('APA Inputs'!$D$24))),'APA Inputs'!$J$24,0)+IF(N('APA Inputs'!$H$24)&gt;0,IF(BK$4=EDATE('APA Inputs'!$C$24,'APA Inputs'!$H$24-1),N('APA Inputs'!$G$24),0),0))*IF('APA Inputs'!$I$24="",1,'APA Inputs'!$I$24))</f>
        <v>0</v>
      </c>
      <c r="BL9" s="409" t="n">
        <f aca="false">IF('APA Inputs'!$C$24="",0,(IF(AND(BL$4&gt;='APA Inputs'!$C$24,BL$4&lt;EDATE('APA Inputs'!$C$24,N('APA Inputs'!$D$24))),'APA Inputs'!$J$24,0)+IF(N('APA Inputs'!$H$24)&gt;0,IF(BL$4=EDATE('APA Inputs'!$C$24,'APA Inputs'!$H$24-1),N('APA Inputs'!$G$24),0),0))*IF('APA Inputs'!$I$24="",1,'APA Inputs'!$I$24))</f>
        <v>0</v>
      </c>
      <c r="BM9" s="409" t="n">
        <f aca="false">IF('APA Inputs'!$C$24="",0,(IF(AND(BM$4&gt;='APA Inputs'!$C$24,BM$4&lt;EDATE('APA Inputs'!$C$24,N('APA Inputs'!$D$24))),'APA Inputs'!$J$24,0)+IF(N('APA Inputs'!$H$24)&gt;0,IF(BM$4=EDATE('APA Inputs'!$C$24,'APA Inputs'!$H$24-1),N('APA Inputs'!$G$24),0),0))*IF('APA Inputs'!$I$24="",1,'APA Inputs'!$I$24))</f>
        <v>0</v>
      </c>
      <c r="BN9" s="409" t="n">
        <f aca="false">IF('APA Inputs'!$C$24="",0,(IF(AND(BN$4&gt;='APA Inputs'!$C$24,BN$4&lt;EDATE('APA Inputs'!$C$24,N('APA Inputs'!$D$24))),'APA Inputs'!$J$24,0)+IF(N('APA Inputs'!$H$24)&gt;0,IF(BN$4=EDATE('APA Inputs'!$C$24,'APA Inputs'!$H$24-1),N('APA Inputs'!$G$24),0),0))*IF('APA Inputs'!$I$24="",1,'APA Inputs'!$I$24))</f>
        <v>0</v>
      </c>
      <c r="BO9" s="409" t="n">
        <f aca="false">IF('APA Inputs'!$C$24="",0,(IF(AND(BO$4&gt;='APA Inputs'!$C$24,BO$4&lt;EDATE('APA Inputs'!$C$24,N('APA Inputs'!$D$24))),'APA Inputs'!$J$24,0)+IF(N('APA Inputs'!$H$24)&gt;0,IF(BO$4=EDATE('APA Inputs'!$C$24,'APA Inputs'!$H$24-1),N('APA Inputs'!$G$24),0),0))*IF('APA Inputs'!$I$24="",1,'APA Inputs'!$I$24))</f>
        <v>0</v>
      </c>
      <c r="BP9" s="409" t="n">
        <f aca="false">IF('APA Inputs'!$C$24="",0,(IF(AND(BP$4&gt;='APA Inputs'!$C$24,BP$4&lt;EDATE('APA Inputs'!$C$24,N('APA Inputs'!$D$24))),'APA Inputs'!$J$24,0)+IF(N('APA Inputs'!$H$24)&gt;0,IF(BP$4=EDATE('APA Inputs'!$C$24,'APA Inputs'!$H$24-1),N('APA Inputs'!$G$24),0),0))*IF('APA Inputs'!$I$24="",1,'APA Inputs'!$I$24))</f>
        <v>0</v>
      </c>
      <c r="BQ9" s="409" t="n">
        <f aca="false">IF('APA Inputs'!$C$24="",0,(IF(AND(BQ$4&gt;='APA Inputs'!$C$24,BQ$4&lt;EDATE('APA Inputs'!$C$24,N('APA Inputs'!$D$24))),'APA Inputs'!$J$24,0)+IF(N('APA Inputs'!$H$24)&gt;0,IF(BQ$4=EDATE('APA Inputs'!$C$24,'APA Inputs'!$H$24-1),N('APA Inputs'!$G$24),0),0))*IF('APA Inputs'!$I$24="",1,'APA Inputs'!$I$24))</f>
        <v>0</v>
      </c>
      <c r="BR9" s="409" t="n">
        <f aca="false">IF('APA Inputs'!$C$24="",0,(IF(AND(BR$4&gt;='APA Inputs'!$C$24,BR$4&lt;EDATE('APA Inputs'!$C$24,N('APA Inputs'!$D$24))),'APA Inputs'!$J$24,0)+IF(N('APA Inputs'!$H$24)&gt;0,IF(BR$4=EDATE('APA Inputs'!$C$24,'APA Inputs'!$H$24-1),N('APA Inputs'!$G$24),0),0))*IF('APA Inputs'!$I$24="",1,'APA Inputs'!$I$24))</f>
        <v>0</v>
      </c>
      <c r="BS9" s="409" t="n">
        <f aca="false">IF('APA Inputs'!$C$24="",0,(IF(AND(BS$4&gt;='APA Inputs'!$C$24,BS$4&lt;EDATE('APA Inputs'!$C$24,N('APA Inputs'!$D$24))),'APA Inputs'!$J$24,0)+IF(N('APA Inputs'!$H$24)&gt;0,IF(BS$4=EDATE('APA Inputs'!$C$24,'APA Inputs'!$H$24-1),N('APA Inputs'!$G$24),0),0))*IF('APA Inputs'!$I$24="",1,'APA Inputs'!$I$24))</f>
        <v>0</v>
      </c>
      <c r="BT9" s="409" t="n">
        <f aca="false">IF('APA Inputs'!$C$24="",0,(IF(AND(BT$4&gt;='APA Inputs'!$C$24,BT$4&lt;EDATE('APA Inputs'!$C$24,N('APA Inputs'!$D$24))),'APA Inputs'!$J$24,0)+IF(N('APA Inputs'!$H$24)&gt;0,IF(BT$4=EDATE('APA Inputs'!$C$24,'APA Inputs'!$H$24-1),N('APA Inputs'!$G$24),0),0))*IF('APA Inputs'!$I$24="",1,'APA Inputs'!$I$24))</f>
        <v>0</v>
      </c>
      <c r="BU9" s="409" t="n">
        <f aca="false">IF('APA Inputs'!$C$24="",0,(IF(AND(BU$4&gt;='APA Inputs'!$C$24,BU$4&lt;EDATE('APA Inputs'!$C$24,N('APA Inputs'!$D$24))),'APA Inputs'!$J$24,0)+IF(N('APA Inputs'!$H$24)&gt;0,IF(BU$4=EDATE('APA Inputs'!$C$24,'APA Inputs'!$H$24-1),N('APA Inputs'!$G$24),0),0))*IF('APA Inputs'!$I$24="",1,'APA Inputs'!$I$24))</f>
        <v>0</v>
      </c>
      <c r="BV9" s="409" t="n">
        <f aca="false">IF('APA Inputs'!$C$24="",0,(IF(AND(BV$4&gt;='APA Inputs'!$C$24,BV$4&lt;EDATE('APA Inputs'!$C$24,N('APA Inputs'!$D$24))),'APA Inputs'!$J$24,0)+IF(N('APA Inputs'!$H$24)&gt;0,IF(BV$4=EDATE('APA Inputs'!$C$24,'APA Inputs'!$H$24-1),N('APA Inputs'!$G$24),0),0))*IF('APA Inputs'!$I$24="",1,'APA Inputs'!$I$24))</f>
        <v>0</v>
      </c>
      <c r="BW9" s="409" t="n">
        <f aca="false">IF('APA Inputs'!$C$24="",0,(IF(AND(BW$4&gt;='APA Inputs'!$C$24,BW$4&lt;EDATE('APA Inputs'!$C$24,N('APA Inputs'!$D$24))),'APA Inputs'!$J$24,0)+IF(N('APA Inputs'!$H$24)&gt;0,IF(BW$4=EDATE('APA Inputs'!$C$24,'APA Inputs'!$H$24-1),N('APA Inputs'!$G$24),0),0))*IF('APA Inputs'!$I$24="",1,'APA Inputs'!$I$24))</f>
        <v>0</v>
      </c>
      <c r="BX9" s="409" t="n">
        <f aca="false">IF('APA Inputs'!$C$24="",0,(IF(AND(BX$4&gt;='APA Inputs'!$C$24,BX$4&lt;EDATE('APA Inputs'!$C$24,N('APA Inputs'!$D$24))),'APA Inputs'!$J$24,0)+IF(N('APA Inputs'!$H$24)&gt;0,IF(BX$4=EDATE('APA Inputs'!$C$24,'APA Inputs'!$H$24-1),N('APA Inputs'!$G$24),0),0))*IF('APA Inputs'!$I$24="",1,'APA Inputs'!$I$24))</f>
        <v>0</v>
      </c>
      <c r="BY9" s="409" t="n">
        <f aca="false">IF('APA Inputs'!$C$24="",0,(IF(AND(BY$4&gt;='APA Inputs'!$C$24,BY$4&lt;EDATE('APA Inputs'!$C$24,N('APA Inputs'!$D$24))),'APA Inputs'!$J$24,0)+IF(N('APA Inputs'!$H$24)&gt;0,IF(BY$4=EDATE('APA Inputs'!$C$24,'APA Inputs'!$H$24-1),N('APA Inputs'!$G$24),0),0))*IF('APA Inputs'!$I$24="",1,'APA Inputs'!$I$24))</f>
        <v>0</v>
      </c>
      <c r="BZ9" s="409" t="n">
        <f aca="false">IF('APA Inputs'!$C$24="",0,(IF(AND(BZ$4&gt;='APA Inputs'!$C$24,BZ$4&lt;EDATE('APA Inputs'!$C$24,N('APA Inputs'!$D$24))),'APA Inputs'!$J$24,0)+IF(N('APA Inputs'!$H$24)&gt;0,IF(BZ$4=EDATE('APA Inputs'!$C$24,'APA Inputs'!$H$24-1),N('APA Inputs'!$G$24),0),0))*IF('APA Inputs'!$I$24="",1,'APA Inputs'!$I$24))</f>
        <v>0</v>
      </c>
      <c r="CA9" s="409" t="n">
        <f aca="false">IF('APA Inputs'!$C$24="",0,(IF(AND(CA$4&gt;='APA Inputs'!$C$24,CA$4&lt;EDATE('APA Inputs'!$C$24,N('APA Inputs'!$D$24))),'APA Inputs'!$J$24,0)+IF(N('APA Inputs'!$H$24)&gt;0,IF(CA$4=EDATE('APA Inputs'!$C$24,'APA Inputs'!$H$24-1),N('APA Inputs'!$G$24),0),0))*IF('APA Inputs'!$I$24="",1,'APA Inputs'!$I$24))</f>
        <v>0</v>
      </c>
      <c r="CB9" s="409" t="n">
        <f aca="false">IF('APA Inputs'!$C$24="",0,(IF(AND(CB$4&gt;='APA Inputs'!$C$24,CB$4&lt;EDATE('APA Inputs'!$C$24,N('APA Inputs'!$D$24))),'APA Inputs'!$J$24,0)+IF(N('APA Inputs'!$H$24)&gt;0,IF(CB$4=EDATE('APA Inputs'!$C$24,'APA Inputs'!$H$24-1),N('APA Inputs'!$G$24),0),0))*IF('APA Inputs'!$I$24="",1,'APA Inputs'!$I$24))</f>
        <v>0</v>
      </c>
      <c r="CC9" s="409" t="n">
        <f aca="false">IF('APA Inputs'!$C$24="",0,(IF(AND(CC$4&gt;='APA Inputs'!$C$24,CC$4&lt;EDATE('APA Inputs'!$C$24,N('APA Inputs'!$D$24))),'APA Inputs'!$J$24,0)+IF(N('APA Inputs'!$H$24)&gt;0,IF(CC$4=EDATE('APA Inputs'!$C$24,'APA Inputs'!$H$24-1),N('APA Inputs'!$G$24),0),0))*IF('APA Inputs'!$I$24="",1,'APA Inputs'!$I$24))</f>
        <v>0</v>
      </c>
      <c r="CD9" s="409" t="n">
        <f aca="false">IF('APA Inputs'!$C$24="",0,(IF(AND(CD$4&gt;='APA Inputs'!$C$24,CD$4&lt;EDATE('APA Inputs'!$C$24,N('APA Inputs'!$D$24))),'APA Inputs'!$J$24,0)+IF(N('APA Inputs'!$H$24)&gt;0,IF(CD$4=EDATE('APA Inputs'!$C$24,'APA Inputs'!$H$24-1),N('APA Inputs'!$G$24),0),0))*IF('APA Inputs'!$I$24="",1,'APA Inputs'!$I$24))</f>
        <v>0</v>
      </c>
      <c r="CE9" s="409" t="n">
        <f aca="false">IF('APA Inputs'!$C$24="",0,(IF(AND(CE$4&gt;='APA Inputs'!$C$24,CE$4&lt;EDATE('APA Inputs'!$C$24,N('APA Inputs'!$D$24))),'APA Inputs'!$J$24,0)+IF(N('APA Inputs'!$H$24)&gt;0,IF(CE$4=EDATE('APA Inputs'!$C$24,'APA Inputs'!$H$24-1),N('APA Inputs'!$G$24),0),0))*IF('APA Inputs'!$I$24="",1,'APA Inputs'!$I$24))</f>
        <v>0</v>
      </c>
      <c r="CF9" s="409" t="n">
        <f aca="false">IF('APA Inputs'!$C$24="",0,(IF(AND(CF$4&gt;='APA Inputs'!$C$24,CF$4&lt;EDATE('APA Inputs'!$C$24,N('APA Inputs'!$D$24))),'APA Inputs'!$J$24,0)+IF(N('APA Inputs'!$H$24)&gt;0,IF(CF$4=EDATE('APA Inputs'!$C$24,'APA Inputs'!$H$24-1),N('APA Inputs'!$G$24),0),0))*IF('APA Inputs'!$I$24="",1,'APA Inputs'!$I$24))</f>
        <v>0</v>
      </c>
      <c r="CG9" s="409" t="n">
        <f aca="false">IF('APA Inputs'!$C$24="",0,(IF(AND(CG$4&gt;='APA Inputs'!$C$24,CG$4&lt;EDATE('APA Inputs'!$C$24,N('APA Inputs'!$D$24))),'APA Inputs'!$J$24,0)+IF(N('APA Inputs'!$H$24)&gt;0,IF(CG$4=EDATE('APA Inputs'!$C$24,'APA Inputs'!$H$24-1),N('APA Inputs'!$G$24),0),0))*IF('APA Inputs'!$I$24="",1,'APA Inputs'!$I$24))</f>
        <v>0</v>
      </c>
      <c r="CH9" s="409" t="n">
        <f aca="false">IF('APA Inputs'!$C$24="",0,(IF(AND(CH$4&gt;='APA Inputs'!$C$24,CH$4&lt;EDATE('APA Inputs'!$C$24,N('APA Inputs'!$D$24))),'APA Inputs'!$J$24,0)+IF(N('APA Inputs'!$H$24)&gt;0,IF(CH$4=EDATE('APA Inputs'!$C$24,'APA Inputs'!$H$24-1),N('APA Inputs'!$G$24),0),0))*IF('APA Inputs'!$I$24="",1,'APA Inputs'!$I$24))</f>
        <v>0</v>
      </c>
      <c r="CI9" s="409" t="n">
        <f aca="false">IF('APA Inputs'!$C$24="",0,(IF(AND(CI$4&gt;='APA Inputs'!$C$24,CI$4&lt;EDATE('APA Inputs'!$C$24,N('APA Inputs'!$D$24))),'APA Inputs'!$J$24,0)+IF(N('APA Inputs'!$H$24)&gt;0,IF(CI$4=EDATE('APA Inputs'!$C$24,'APA Inputs'!$H$24-1),N('APA Inputs'!$G$24),0),0))*IF('APA Inputs'!$I$24="",1,'APA Inputs'!$I$24))</f>
        <v>0</v>
      </c>
      <c r="CJ9" s="409" t="n">
        <f aca="false">IF('APA Inputs'!$C$24="",0,(IF(AND(CJ$4&gt;='APA Inputs'!$C$24,CJ$4&lt;EDATE('APA Inputs'!$C$24,N('APA Inputs'!$D$24))),'APA Inputs'!$J$24,0)+IF(N('APA Inputs'!$H$24)&gt;0,IF(CJ$4=EDATE('APA Inputs'!$C$24,'APA Inputs'!$H$24-1),N('APA Inputs'!$G$24),0),0))*IF('APA Inputs'!$I$24="",1,'APA Inputs'!$I$24))</f>
        <v>0</v>
      </c>
      <c r="CK9" s="409" t="n">
        <f aca="false">IF('APA Inputs'!$C$24="",0,(IF(AND(CK$4&gt;='APA Inputs'!$C$24,CK$4&lt;EDATE('APA Inputs'!$C$24,N('APA Inputs'!$D$24))),'APA Inputs'!$J$24,0)+IF(N('APA Inputs'!$H$24)&gt;0,IF(CK$4=EDATE('APA Inputs'!$C$24,'APA Inputs'!$H$24-1),N('APA Inputs'!$G$24),0),0))*IF('APA Inputs'!$I$24="",1,'APA Inputs'!$I$24))</f>
        <v>0</v>
      </c>
      <c r="CL9" s="409" t="n">
        <f aca="false">IF('APA Inputs'!$C$24="",0,(IF(AND(CL$4&gt;='APA Inputs'!$C$24,CL$4&lt;EDATE('APA Inputs'!$C$24,N('APA Inputs'!$D$24))),'APA Inputs'!$J$24,0)+IF(N('APA Inputs'!$H$24)&gt;0,IF(CL$4=EDATE('APA Inputs'!$C$24,'APA Inputs'!$H$24-1),N('APA Inputs'!$G$24),0),0))*IF('APA Inputs'!$I$24="",1,'APA Inputs'!$I$24))</f>
        <v>0</v>
      </c>
      <c r="CM9" s="409" t="n">
        <f aca="false">IF('APA Inputs'!$C$24="",0,(IF(AND(CM$4&gt;='APA Inputs'!$C$24,CM$4&lt;EDATE('APA Inputs'!$C$24,N('APA Inputs'!$D$24))),'APA Inputs'!$J$24,0)+IF(N('APA Inputs'!$H$24)&gt;0,IF(CM$4=EDATE('APA Inputs'!$C$24,'APA Inputs'!$H$24-1),N('APA Inputs'!$G$24),0),0))*IF('APA Inputs'!$I$24="",1,'APA Inputs'!$I$24))</f>
        <v>0</v>
      </c>
      <c r="CN9" s="409" t="n">
        <f aca="false">IF('APA Inputs'!$C$24="",0,(IF(AND(CN$4&gt;='APA Inputs'!$C$24,CN$4&lt;EDATE('APA Inputs'!$C$24,N('APA Inputs'!$D$24))),'APA Inputs'!$J$24,0)+IF(N('APA Inputs'!$H$24)&gt;0,IF(CN$4=EDATE('APA Inputs'!$C$24,'APA Inputs'!$H$24-1),N('APA Inputs'!$G$24),0),0))*IF('APA Inputs'!$I$24="",1,'APA Inputs'!$I$24))</f>
        <v>0</v>
      </c>
      <c r="CO9" s="409" t="n">
        <f aca="false">IF('APA Inputs'!$C$24="",0,(IF(AND(CO$4&gt;='APA Inputs'!$C$24,CO$4&lt;EDATE('APA Inputs'!$C$24,N('APA Inputs'!$D$24))),'APA Inputs'!$J$24,0)+IF(N('APA Inputs'!$H$24)&gt;0,IF(CO$4=EDATE('APA Inputs'!$C$24,'APA Inputs'!$H$24-1),N('APA Inputs'!$G$24),0),0))*IF('APA Inputs'!$I$24="",1,'APA Inputs'!$I$24))</f>
        <v>0</v>
      </c>
      <c r="CP9" s="409" t="n">
        <f aca="false">IF('APA Inputs'!$C$24="",0,(IF(AND(CP$4&gt;='APA Inputs'!$C$24,CP$4&lt;EDATE('APA Inputs'!$C$24,N('APA Inputs'!$D$24))),'APA Inputs'!$J$24,0)+IF(N('APA Inputs'!$H$24)&gt;0,IF(CP$4=EDATE('APA Inputs'!$C$24,'APA Inputs'!$H$24-1),N('APA Inputs'!$G$24),0),0))*IF('APA Inputs'!$I$24="",1,'APA Inputs'!$I$24))</f>
        <v>0</v>
      </c>
      <c r="CQ9" s="409" t="n">
        <f aca="false">IF('APA Inputs'!$C$24="",0,(IF(AND(CQ$4&gt;='APA Inputs'!$C$24,CQ$4&lt;EDATE('APA Inputs'!$C$24,N('APA Inputs'!$D$24))),'APA Inputs'!$J$24,0)+IF(N('APA Inputs'!$H$24)&gt;0,IF(CQ$4=EDATE('APA Inputs'!$C$24,'APA Inputs'!$H$24-1),N('APA Inputs'!$G$24),0),0))*IF('APA Inputs'!$I$24="",1,'APA Inputs'!$I$24))</f>
        <v>0</v>
      </c>
      <c r="CR9" s="409" t="n">
        <f aca="false">IF('APA Inputs'!$C$24="",0,(IF(AND(CR$4&gt;='APA Inputs'!$C$24,CR$4&lt;EDATE('APA Inputs'!$C$24,N('APA Inputs'!$D$24))),'APA Inputs'!$J$24,0)+IF(N('APA Inputs'!$H$24)&gt;0,IF(CR$4=EDATE('APA Inputs'!$C$24,'APA Inputs'!$H$24-1),N('APA Inputs'!$G$24),0),0))*IF('APA Inputs'!$I$24="",1,'APA Inputs'!$I$24))</f>
        <v>0</v>
      </c>
      <c r="CS9" s="409" t="n">
        <f aca="false">IF('APA Inputs'!$C$24="",0,(IF(AND(CS$4&gt;='APA Inputs'!$C$24,CS$4&lt;EDATE('APA Inputs'!$C$24,N('APA Inputs'!$D$24))),'APA Inputs'!$J$24,0)+IF(N('APA Inputs'!$H$24)&gt;0,IF(CS$4=EDATE('APA Inputs'!$C$24,'APA Inputs'!$H$24-1),N('APA Inputs'!$G$24),0),0))*IF('APA Inputs'!$I$24="",1,'APA Inputs'!$I$24))</f>
        <v>0</v>
      </c>
      <c r="CT9" s="409" t="n">
        <f aca="false">IF('APA Inputs'!$C$24="",0,(IF(AND(CT$4&gt;='APA Inputs'!$C$24,CT$4&lt;EDATE('APA Inputs'!$C$24,N('APA Inputs'!$D$24))),'APA Inputs'!$J$24,0)+IF(N('APA Inputs'!$H$24)&gt;0,IF(CT$4=EDATE('APA Inputs'!$C$24,'APA Inputs'!$H$24-1),N('APA Inputs'!$G$24),0),0))*IF('APA Inputs'!$I$24="",1,'APA Inputs'!$I$24))</f>
        <v>0</v>
      </c>
      <c r="CU9" s="409" t="n">
        <f aca="false">IF('APA Inputs'!$C$24="",0,(IF(AND(CU$4&gt;='APA Inputs'!$C$24,CU$4&lt;EDATE('APA Inputs'!$C$24,N('APA Inputs'!$D$24))),'APA Inputs'!$J$24,0)+IF(N('APA Inputs'!$H$24)&gt;0,IF(CU$4=EDATE('APA Inputs'!$C$24,'APA Inputs'!$H$24-1),N('APA Inputs'!$G$24),0),0))*IF('APA Inputs'!$I$24="",1,'APA Inputs'!$I$24))</f>
        <v>0</v>
      </c>
      <c r="CV9" s="409" t="n">
        <f aca="false">IF('APA Inputs'!$C$24="",0,(IF(AND(CV$4&gt;='APA Inputs'!$C$24,CV$4&lt;EDATE('APA Inputs'!$C$24,N('APA Inputs'!$D$24))),'APA Inputs'!$J$24,0)+IF(N('APA Inputs'!$H$24)&gt;0,IF(CV$4=EDATE('APA Inputs'!$C$24,'APA Inputs'!$H$24-1),N('APA Inputs'!$G$24),0),0))*IF('APA Inputs'!$I$24="",1,'APA Inputs'!$I$24))</f>
        <v>0</v>
      </c>
      <c r="CW9" s="409" t="n">
        <f aca="false">IF('APA Inputs'!$C$24="",0,(IF(AND(CW$4&gt;='APA Inputs'!$C$24,CW$4&lt;EDATE('APA Inputs'!$C$24,N('APA Inputs'!$D$24))),'APA Inputs'!$J$24,0)+IF(N('APA Inputs'!$H$24)&gt;0,IF(CW$4=EDATE('APA Inputs'!$C$24,'APA Inputs'!$H$24-1),N('APA Inputs'!$G$24),0),0))*IF('APA Inputs'!$I$24="",1,'APA Inputs'!$I$24))</f>
        <v>0</v>
      </c>
      <c r="CX9" s="409" t="n">
        <f aca="false">IF('APA Inputs'!$C$24="",0,(IF(AND(CX$4&gt;='APA Inputs'!$C$24,CX$4&lt;EDATE('APA Inputs'!$C$24,N('APA Inputs'!$D$24))),'APA Inputs'!$J$24,0)+IF(N('APA Inputs'!$H$24)&gt;0,IF(CX$4=EDATE('APA Inputs'!$C$24,'APA Inputs'!$H$24-1),N('APA Inputs'!$G$24),0),0))*IF('APA Inputs'!$I$24="",1,'APA Inputs'!$I$24))</f>
        <v>0</v>
      </c>
      <c r="CY9" s="409" t="n">
        <f aca="false">IF('APA Inputs'!$C$24="",0,(IF(AND(CY$4&gt;='APA Inputs'!$C$24,CY$4&lt;EDATE('APA Inputs'!$C$24,N('APA Inputs'!$D$24))),'APA Inputs'!$J$24,0)+IF(N('APA Inputs'!$H$24)&gt;0,IF(CY$4=EDATE('APA Inputs'!$C$24,'APA Inputs'!$H$24-1),N('APA Inputs'!$G$24),0),0))*IF('APA Inputs'!$I$24="",1,'APA Inputs'!$I$24))</f>
        <v>0</v>
      </c>
      <c r="CZ9" s="409" t="n">
        <f aca="false">IF('APA Inputs'!$C$24="",0,(IF(AND(CZ$4&gt;='APA Inputs'!$C$24,CZ$4&lt;EDATE('APA Inputs'!$C$24,N('APA Inputs'!$D$24))),'APA Inputs'!$J$24,0)+IF(N('APA Inputs'!$H$24)&gt;0,IF(CZ$4=EDATE('APA Inputs'!$C$24,'APA Inputs'!$H$24-1),N('APA Inputs'!$G$24),0),0))*IF('APA Inputs'!$I$24="",1,'APA Inputs'!$I$24))</f>
        <v>0</v>
      </c>
      <c r="DA9" s="409" t="n">
        <f aca="false">IF('APA Inputs'!$C$24="",0,(IF(AND(DA$4&gt;='APA Inputs'!$C$24,DA$4&lt;EDATE('APA Inputs'!$C$24,N('APA Inputs'!$D$24))),'APA Inputs'!$J$24,0)+IF(N('APA Inputs'!$H$24)&gt;0,IF(DA$4=EDATE('APA Inputs'!$C$24,'APA Inputs'!$H$24-1),N('APA Inputs'!$G$24),0),0))*IF('APA Inputs'!$I$24="",1,'APA Inputs'!$I$24))</f>
        <v>0</v>
      </c>
      <c r="DB9" s="409" t="n">
        <f aca="false">IF('APA Inputs'!$C$24="",0,(IF(AND(DB$4&gt;='APA Inputs'!$C$24,DB$4&lt;EDATE('APA Inputs'!$C$24,N('APA Inputs'!$D$24))),'APA Inputs'!$J$24,0)+IF(N('APA Inputs'!$H$24)&gt;0,IF(DB$4=EDATE('APA Inputs'!$C$24,'APA Inputs'!$H$24-1),N('APA Inputs'!$G$24),0),0))*IF('APA Inputs'!$I$24="",1,'APA Inputs'!$I$24))</f>
        <v>0</v>
      </c>
      <c r="DC9" s="409" t="n">
        <f aca="false">IF('APA Inputs'!$C$24="",0,(IF(AND(DC$4&gt;='APA Inputs'!$C$24,DC$4&lt;EDATE('APA Inputs'!$C$24,N('APA Inputs'!$D$24))),'APA Inputs'!$J$24,0)+IF(N('APA Inputs'!$H$24)&gt;0,IF(DC$4=EDATE('APA Inputs'!$C$24,'APA Inputs'!$H$24-1),N('APA Inputs'!$G$24),0),0))*IF('APA Inputs'!$I$24="",1,'APA Inputs'!$I$24))</f>
        <v>0</v>
      </c>
      <c r="DD9" s="409" t="n">
        <f aca="false">IF('APA Inputs'!$C$24="",0,(IF(AND(DD$4&gt;='APA Inputs'!$C$24,DD$4&lt;EDATE('APA Inputs'!$C$24,N('APA Inputs'!$D$24))),'APA Inputs'!$J$24,0)+IF(N('APA Inputs'!$H$24)&gt;0,IF(DD$4=EDATE('APA Inputs'!$C$24,'APA Inputs'!$H$24-1),N('APA Inputs'!$G$24),0),0))*IF('APA Inputs'!$I$24="",1,'APA Inputs'!$I$24))</f>
        <v>0</v>
      </c>
      <c r="DE9" s="409"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3rd Street</v>
      </c>
      <c r="B10" s="409" t="n">
        <f aca="false">IF('APA Inputs'!$C$25="",0,(IF(AND(B$4&gt;='APA Inputs'!$C$25,B$4&lt;EDATE('APA Inputs'!$C$25,N('APA Inputs'!$D$25))),'APA Inputs'!$J$25,0)+IF(N('APA Inputs'!$H$25)&gt;0,IF(B$4=EDATE('APA Inputs'!$C$25,'APA Inputs'!$H$25-1),N('APA Inputs'!$G$25),0),0))*IF('APA Inputs'!$I$25="",1,'APA Inputs'!$I$25))</f>
        <v>0</v>
      </c>
      <c r="C10" s="409" t="n">
        <f aca="false">IF('APA Inputs'!$C$25="",0,(IF(AND(C$4&gt;='APA Inputs'!$C$25,C$4&lt;EDATE('APA Inputs'!$C$25,N('APA Inputs'!$D$25))),'APA Inputs'!$J$25,0)+IF(N('APA Inputs'!$H$25)&gt;0,IF(C$4=EDATE('APA Inputs'!$C$25,'APA Inputs'!$H$25-1),N('APA Inputs'!$G$25),0),0))*IF('APA Inputs'!$I$25="",1,'APA Inputs'!$I$25))</f>
        <v>0</v>
      </c>
      <c r="D10" s="409" t="n">
        <f aca="false">IF('APA Inputs'!$C$25="",0,(IF(AND(D$4&gt;='APA Inputs'!$C$25,D$4&lt;EDATE('APA Inputs'!$C$25,N('APA Inputs'!$D$25))),'APA Inputs'!$J$25,0)+IF(N('APA Inputs'!$H$25)&gt;0,IF(D$4=EDATE('APA Inputs'!$C$25,'APA Inputs'!$H$25-1),N('APA Inputs'!$G$25),0),0))*IF('APA Inputs'!$I$25="",1,'APA Inputs'!$I$25))</f>
        <v>0</v>
      </c>
      <c r="E10" s="409" t="n">
        <f aca="false">IF('APA Inputs'!$C$25="",0,(IF(AND(E$4&gt;='APA Inputs'!$C$25,E$4&lt;EDATE('APA Inputs'!$C$25,N('APA Inputs'!$D$25))),'APA Inputs'!$J$25,0)+IF(N('APA Inputs'!$H$25)&gt;0,IF(E$4=EDATE('APA Inputs'!$C$25,'APA Inputs'!$H$25-1),N('APA Inputs'!$G$25),0),0))*IF('APA Inputs'!$I$25="",1,'APA Inputs'!$I$25))</f>
        <v>0</v>
      </c>
      <c r="F10" s="409" t="n">
        <f aca="false">IF('APA Inputs'!$C$25="",0,(IF(AND(F$4&gt;='APA Inputs'!$C$25,F$4&lt;EDATE('APA Inputs'!$C$25,N('APA Inputs'!$D$25))),'APA Inputs'!$J$25,0)+IF(N('APA Inputs'!$H$25)&gt;0,IF(F$4=EDATE('APA Inputs'!$C$25,'APA Inputs'!$H$25-1),N('APA Inputs'!$G$25),0),0))*IF('APA Inputs'!$I$25="",1,'APA Inputs'!$I$25))</f>
        <v>0</v>
      </c>
      <c r="G10" s="409" t="n">
        <f aca="false">IF('APA Inputs'!$C$25="",0,(IF(AND(G$4&gt;='APA Inputs'!$C$25,G$4&lt;EDATE('APA Inputs'!$C$25,N('APA Inputs'!$D$25))),'APA Inputs'!$J$25,0)+IF(N('APA Inputs'!$H$25)&gt;0,IF(G$4=EDATE('APA Inputs'!$C$25,'APA Inputs'!$H$25-1),N('APA Inputs'!$G$25),0),0))*IF('APA Inputs'!$I$25="",1,'APA Inputs'!$I$25))</f>
        <v>0</v>
      </c>
      <c r="H10" s="409" t="n">
        <f aca="false">IF('APA Inputs'!$C$25="",0,(IF(AND(H$4&gt;='APA Inputs'!$C$25,H$4&lt;EDATE('APA Inputs'!$C$25,N('APA Inputs'!$D$25))),'APA Inputs'!$J$25,0)+IF(N('APA Inputs'!$H$25)&gt;0,IF(H$4=EDATE('APA Inputs'!$C$25,'APA Inputs'!$H$25-1),N('APA Inputs'!$G$25),0),0))*IF('APA Inputs'!$I$25="",1,'APA Inputs'!$I$25))</f>
        <v>0</v>
      </c>
      <c r="I10" s="409" t="n">
        <f aca="false">IF('APA Inputs'!$C$25="",0,(IF(AND(I$4&gt;='APA Inputs'!$C$25,I$4&lt;EDATE('APA Inputs'!$C$25,N('APA Inputs'!$D$25))),'APA Inputs'!$J$25,0)+IF(N('APA Inputs'!$H$25)&gt;0,IF(I$4=EDATE('APA Inputs'!$C$25,'APA Inputs'!$H$25-1),N('APA Inputs'!$G$25),0),0))*IF('APA Inputs'!$I$25="",1,'APA Inputs'!$I$25))</f>
        <v>0</v>
      </c>
      <c r="J10" s="409" t="n">
        <f aca="false">IF('APA Inputs'!$C$25="",0,(IF(AND(J$4&gt;='APA Inputs'!$C$25,J$4&lt;EDATE('APA Inputs'!$C$25,N('APA Inputs'!$D$25))),'APA Inputs'!$J$25,0)+IF(N('APA Inputs'!$H$25)&gt;0,IF(J$4=EDATE('APA Inputs'!$C$25,'APA Inputs'!$H$25-1),N('APA Inputs'!$G$25),0),0))*IF('APA Inputs'!$I$25="",1,'APA Inputs'!$I$25))</f>
        <v>0</v>
      </c>
      <c r="K10" s="409" t="n">
        <f aca="false">IF('APA Inputs'!$C$25="",0,(IF(AND(K$4&gt;='APA Inputs'!$C$25,K$4&lt;EDATE('APA Inputs'!$C$25,N('APA Inputs'!$D$25))),'APA Inputs'!$J$25,0)+IF(N('APA Inputs'!$H$25)&gt;0,IF(K$4=EDATE('APA Inputs'!$C$25,'APA Inputs'!$H$25-1),N('APA Inputs'!$G$25),0),0))*IF('APA Inputs'!$I$25="",1,'APA Inputs'!$I$25))</f>
        <v>0</v>
      </c>
      <c r="L10" s="409" t="n">
        <f aca="false">IF('APA Inputs'!$C$25="",0,(IF(AND(L$4&gt;='APA Inputs'!$C$25,L$4&lt;EDATE('APA Inputs'!$C$25,N('APA Inputs'!$D$25))),'APA Inputs'!$J$25,0)+IF(N('APA Inputs'!$H$25)&gt;0,IF(L$4=EDATE('APA Inputs'!$C$25,'APA Inputs'!$H$25-1),N('APA Inputs'!$G$25),0),0))*IF('APA Inputs'!$I$25="",1,'APA Inputs'!$I$25))</f>
        <v>0</v>
      </c>
      <c r="M10" s="409" t="n">
        <f aca="false">IF('APA Inputs'!$C$25="",0,(IF(AND(M$4&gt;='APA Inputs'!$C$25,M$4&lt;EDATE('APA Inputs'!$C$25,N('APA Inputs'!$D$25))),'APA Inputs'!$J$25,0)+IF(N('APA Inputs'!$H$25)&gt;0,IF(M$4=EDATE('APA Inputs'!$C$25,'APA Inputs'!$H$25-1),N('APA Inputs'!$G$25),0),0))*IF('APA Inputs'!$I$25="",1,'APA Inputs'!$I$25))</f>
        <v>0</v>
      </c>
      <c r="N10" s="409" t="n">
        <f aca="false">IF('APA Inputs'!$C$25="",0,(IF(AND(N$4&gt;='APA Inputs'!$C$25,N$4&lt;EDATE('APA Inputs'!$C$25,N('APA Inputs'!$D$25))),'APA Inputs'!$J$25,0)+IF(N('APA Inputs'!$H$25)&gt;0,IF(N$4=EDATE('APA Inputs'!$C$25,'APA Inputs'!$H$25-1),N('APA Inputs'!$G$25),0),0))*IF('APA Inputs'!$I$25="",1,'APA Inputs'!$I$25))</f>
        <v>0</v>
      </c>
      <c r="O10" s="409" t="n">
        <f aca="false">IF('APA Inputs'!$C$25="",0,(IF(AND(O$4&gt;='APA Inputs'!$C$25,O$4&lt;EDATE('APA Inputs'!$C$25,N('APA Inputs'!$D$25))),'APA Inputs'!$J$25,0)+IF(N('APA Inputs'!$H$25)&gt;0,IF(O$4=EDATE('APA Inputs'!$C$25,'APA Inputs'!$H$25-1),N('APA Inputs'!$G$25),0),0))*IF('APA Inputs'!$I$25="",1,'APA Inputs'!$I$25))</f>
        <v>0</v>
      </c>
      <c r="P10" s="409" t="n">
        <f aca="false">IF('APA Inputs'!$C$25="",0,(IF(AND(P$4&gt;='APA Inputs'!$C$25,P$4&lt;EDATE('APA Inputs'!$C$25,N('APA Inputs'!$D$25))),'APA Inputs'!$J$25,0)+IF(N('APA Inputs'!$H$25)&gt;0,IF(P$4=EDATE('APA Inputs'!$C$25,'APA Inputs'!$H$25-1),N('APA Inputs'!$G$25),0),0))*IF('APA Inputs'!$I$25="",1,'APA Inputs'!$I$25))</f>
        <v>0</v>
      </c>
      <c r="Q10" s="409" t="n">
        <f aca="false">IF('APA Inputs'!$C$25="",0,(IF(AND(Q$4&gt;='APA Inputs'!$C$25,Q$4&lt;EDATE('APA Inputs'!$C$25,N('APA Inputs'!$D$25))),'APA Inputs'!$J$25,0)+IF(N('APA Inputs'!$H$25)&gt;0,IF(Q$4=EDATE('APA Inputs'!$C$25,'APA Inputs'!$H$25-1),N('APA Inputs'!$G$25),0),0))*IF('APA Inputs'!$I$25="",1,'APA Inputs'!$I$25))</f>
        <v>0</v>
      </c>
      <c r="R10" s="409" t="n">
        <f aca="false">IF('APA Inputs'!$C$25="",0,(IF(AND(R$4&gt;='APA Inputs'!$C$25,R$4&lt;EDATE('APA Inputs'!$C$25,N('APA Inputs'!$D$25))),'APA Inputs'!$J$25,0)+IF(N('APA Inputs'!$H$25)&gt;0,IF(R$4=EDATE('APA Inputs'!$C$25,'APA Inputs'!$H$25-1),N('APA Inputs'!$G$25),0),0))*IF('APA Inputs'!$I$25="",1,'APA Inputs'!$I$25))</f>
        <v>0</v>
      </c>
      <c r="S10" s="409" t="n">
        <f aca="false">IF('APA Inputs'!$C$25="",0,(IF(AND(S$4&gt;='APA Inputs'!$C$25,S$4&lt;EDATE('APA Inputs'!$C$25,N('APA Inputs'!$D$25))),'APA Inputs'!$J$25,0)+IF(N('APA Inputs'!$H$25)&gt;0,IF(S$4=EDATE('APA Inputs'!$C$25,'APA Inputs'!$H$25-1),N('APA Inputs'!$G$25),0),0))*IF('APA Inputs'!$I$25="",1,'APA Inputs'!$I$25))</f>
        <v>38888.8888888889</v>
      </c>
      <c r="T10" s="409" t="n">
        <f aca="false">IF('APA Inputs'!$C$25="",0,(IF(AND(T$4&gt;='APA Inputs'!$C$25,T$4&lt;EDATE('APA Inputs'!$C$25,N('APA Inputs'!$D$25))),'APA Inputs'!$J$25,0)+IF(N('APA Inputs'!$H$25)&gt;0,IF(T$4=EDATE('APA Inputs'!$C$25,'APA Inputs'!$H$25-1),N('APA Inputs'!$G$25),0),0))*IF('APA Inputs'!$I$25="",1,'APA Inputs'!$I$25))</f>
        <v>38888.8888888889</v>
      </c>
      <c r="U10" s="409" t="n">
        <f aca="false">IF('APA Inputs'!$C$25="",0,(IF(AND(U$4&gt;='APA Inputs'!$C$25,U$4&lt;EDATE('APA Inputs'!$C$25,N('APA Inputs'!$D$25))),'APA Inputs'!$J$25,0)+IF(N('APA Inputs'!$H$25)&gt;0,IF(U$4=EDATE('APA Inputs'!$C$25,'APA Inputs'!$H$25-1),N('APA Inputs'!$G$25),0),0))*IF('APA Inputs'!$I$25="",1,'APA Inputs'!$I$25))</f>
        <v>38888.8888888889</v>
      </c>
      <c r="V10" s="409" t="n">
        <f aca="false">IF('APA Inputs'!$C$25="",0,(IF(AND(V$4&gt;='APA Inputs'!$C$25,V$4&lt;EDATE('APA Inputs'!$C$25,N('APA Inputs'!$D$25))),'APA Inputs'!$J$25,0)+IF(N('APA Inputs'!$H$25)&gt;0,IF(V$4=EDATE('APA Inputs'!$C$25,'APA Inputs'!$H$25-1),N('APA Inputs'!$G$25),0),0))*IF('APA Inputs'!$I$25="",1,'APA Inputs'!$I$25))</f>
        <v>38888.8888888889</v>
      </c>
      <c r="W10" s="409" t="n">
        <f aca="false">IF('APA Inputs'!$C$25="",0,(IF(AND(W$4&gt;='APA Inputs'!$C$25,W$4&lt;EDATE('APA Inputs'!$C$25,N('APA Inputs'!$D$25))),'APA Inputs'!$J$25,0)+IF(N('APA Inputs'!$H$25)&gt;0,IF(W$4=EDATE('APA Inputs'!$C$25,'APA Inputs'!$H$25-1),N('APA Inputs'!$G$25),0),0))*IF('APA Inputs'!$I$25="",1,'APA Inputs'!$I$25))</f>
        <v>38888.8888888889</v>
      </c>
      <c r="X10" s="409" t="n">
        <f aca="false">IF('APA Inputs'!$C$25="",0,(IF(AND(X$4&gt;='APA Inputs'!$C$25,X$4&lt;EDATE('APA Inputs'!$C$25,N('APA Inputs'!$D$25))),'APA Inputs'!$J$25,0)+IF(N('APA Inputs'!$H$25)&gt;0,IF(X$4=EDATE('APA Inputs'!$C$25,'APA Inputs'!$H$25-1),N('APA Inputs'!$G$25),0),0))*IF('APA Inputs'!$I$25="",1,'APA Inputs'!$I$25))</f>
        <v>38888.8888888889</v>
      </c>
      <c r="Y10" s="409" t="n">
        <f aca="false">IF('APA Inputs'!$C$25="",0,(IF(AND(Y$4&gt;='APA Inputs'!$C$25,Y$4&lt;EDATE('APA Inputs'!$C$25,N('APA Inputs'!$D$25))),'APA Inputs'!$J$25,0)+IF(N('APA Inputs'!$H$25)&gt;0,IF(Y$4=EDATE('APA Inputs'!$C$25,'APA Inputs'!$H$25-1),N('APA Inputs'!$G$25),0),0))*IF('APA Inputs'!$I$25="",1,'APA Inputs'!$I$25))</f>
        <v>38888.8888888889</v>
      </c>
      <c r="Z10" s="409" t="n">
        <f aca="false">IF('APA Inputs'!$C$25="",0,(IF(AND(Z$4&gt;='APA Inputs'!$C$25,Z$4&lt;EDATE('APA Inputs'!$C$25,N('APA Inputs'!$D$25))),'APA Inputs'!$J$25,0)+IF(N('APA Inputs'!$H$25)&gt;0,IF(Z$4=EDATE('APA Inputs'!$C$25,'APA Inputs'!$H$25-1),N('APA Inputs'!$G$25),0),0))*IF('APA Inputs'!$I$25="",1,'APA Inputs'!$I$25))</f>
        <v>38888.8888888889</v>
      </c>
      <c r="AA10" s="409" t="n">
        <f aca="false">IF('APA Inputs'!$C$25="",0,(IF(AND(AA$4&gt;='APA Inputs'!$C$25,AA$4&lt;EDATE('APA Inputs'!$C$25,N('APA Inputs'!$D$25))),'APA Inputs'!$J$25,0)+IF(N('APA Inputs'!$H$25)&gt;0,IF(AA$4=EDATE('APA Inputs'!$C$25,'APA Inputs'!$H$25-1),N('APA Inputs'!$G$25),0),0))*IF('APA Inputs'!$I$25="",1,'APA Inputs'!$I$25))</f>
        <v>38888.8888888889</v>
      </c>
      <c r="AB10" s="409" t="n">
        <f aca="false">IF('APA Inputs'!$C$25="",0,(IF(AND(AB$4&gt;='APA Inputs'!$C$25,AB$4&lt;EDATE('APA Inputs'!$C$25,N('APA Inputs'!$D$25))),'APA Inputs'!$J$25,0)+IF(N('APA Inputs'!$H$25)&gt;0,IF(AB$4=EDATE('APA Inputs'!$C$25,'APA Inputs'!$H$25-1),N('APA Inputs'!$G$25),0),0))*IF('APA Inputs'!$I$25="",1,'APA Inputs'!$I$25))</f>
        <v>38888.8888888889</v>
      </c>
      <c r="AC10" s="409" t="n">
        <f aca="false">IF('APA Inputs'!$C$25="",0,(IF(AND(AC$4&gt;='APA Inputs'!$C$25,AC$4&lt;EDATE('APA Inputs'!$C$25,N('APA Inputs'!$D$25))),'APA Inputs'!$J$25,0)+IF(N('APA Inputs'!$H$25)&gt;0,IF(AC$4=EDATE('APA Inputs'!$C$25,'APA Inputs'!$H$25-1),N('APA Inputs'!$G$25),0),0))*IF('APA Inputs'!$I$25="",1,'APA Inputs'!$I$25))</f>
        <v>38888.8888888889</v>
      </c>
      <c r="AD10" s="409" t="n">
        <f aca="false">IF('APA Inputs'!$C$25="",0,(IF(AND(AD$4&gt;='APA Inputs'!$C$25,AD$4&lt;EDATE('APA Inputs'!$C$25,N('APA Inputs'!$D$25))),'APA Inputs'!$J$25,0)+IF(N('APA Inputs'!$H$25)&gt;0,IF(AD$4=EDATE('APA Inputs'!$C$25,'APA Inputs'!$H$25-1),N('APA Inputs'!$G$25),0),0))*IF('APA Inputs'!$I$25="",1,'APA Inputs'!$I$25))</f>
        <v>38888.8888888889</v>
      </c>
      <c r="AE10" s="409" t="n">
        <f aca="false">IF('APA Inputs'!$C$25="",0,(IF(AND(AE$4&gt;='APA Inputs'!$C$25,AE$4&lt;EDATE('APA Inputs'!$C$25,N('APA Inputs'!$D$25))),'APA Inputs'!$J$25,0)+IF(N('APA Inputs'!$H$25)&gt;0,IF(AE$4=EDATE('APA Inputs'!$C$25,'APA Inputs'!$H$25-1),N('APA Inputs'!$G$25),0),0))*IF('APA Inputs'!$I$25="",1,'APA Inputs'!$I$25))</f>
        <v>38888.8888888889</v>
      </c>
      <c r="AF10" s="409" t="n">
        <f aca="false">IF('APA Inputs'!$C$25="",0,(IF(AND(AF$4&gt;='APA Inputs'!$C$25,AF$4&lt;EDATE('APA Inputs'!$C$25,N('APA Inputs'!$D$25))),'APA Inputs'!$J$25,0)+IF(N('APA Inputs'!$H$25)&gt;0,IF(AF$4=EDATE('APA Inputs'!$C$25,'APA Inputs'!$H$25-1),N('APA Inputs'!$G$25),0),0))*IF('APA Inputs'!$I$25="",1,'APA Inputs'!$I$25))</f>
        <v>38888.8888888889</v>
      </c>
      <c r="AG10" s="409" t="n">
        <f aca="false">IF('APA Inputs'!$C$25="",0,(IF(AND(AG$4&gt;='APA Inputs'!$C$25,AG$4&lt;EDATE('APA Inputs'!$C$25,N('APA Inputs'!$D$25))),'APA Inputs'!$J$25,0)+IF(N('APA Inputs'!$H$25)&gt;0,IF(AG$4=EDATE('APA Inputs'!$C$25,'APA Inputs'!$H$25-1),N('APA Inputs'!$G$25),0),0))*IF('APA Inputs'!$I$25="",1,'APA Inputs'!$I$25))</f>
        <v>38888.8888888889</v>
      </c>
      <c r="AH10" s="409" t="n">
        <f aca="false">IF('APA Inputs'!$C$25="",0,(IF(AND(AH$4&gt;='APA Inputs'!$C$25,AH$4&lt;EDATE('APA Inputs'!$C$25,N('APA Inputs'!$D$25))),'APA Inputs'!$J$25,0)+IF(N('APA Inputs'!$H$25)&gt;0,IF(AH$4=EDATE('APA Inputs'!$C$25,'APA Inputs'!$H$25-1),N('APA Inputs'!$G$25),0),0))*IF('APA Inputs'!$I$25="",1,'APA Inputs'!$I$25))</f>
        <v>38888.8888888889</v>
      </c>
      <c r="AI10" s="409" t="n">
        <f aca="false">IF('APA Inputs'!$C$25="",0,(IF(AND(AI$4&gt;='APA Inputs'!$C$25,AI$4&lt;EDATE('APA Inputs'!$C$25,N('APA Inputs'!$D$25))),'APA Inputs'!$J$25,0)+IF(N('APA Inputs'!$H$25)&gt;0,IF(AI$4=EDATE('APA Inputs'!$C$25,'APA Inputs'!$H$25-1),N('APA Inputs'!$G$25),0),0))*IF('APA Inputs'!$I$25="",1,'APA Inputs'!$I$25))</f>
        <v>38888.8888888889</v>
      </c>
      <c r="AJ10" s="409" t="n">
        <f aca="false">IF('APA Inputs'!$C$25="",0,(IF(AND(AJ$4&gt;='APA Inputs'!$C$25,AJ$4&lt;EDATE('APA Inputs'!$C$25,N('APA Inputs'!$D$25))),'APA Inputs'!$J$25,0)+IF(N('APA Inputs'!$H$25)&gt;0,IF(AJ$4=EDATE('APA Inputs'!$C$25,'APA Inputs'!$H$25-1),N('APA Inputs'!$G$25),0),0))*IF('APA Inputs'!$I$25="",1,'APA Inputs'!$I$25))</f>
        <v>38888.8888888889</v>
      </c>
      <c r="AK10" s="409" t="n">
        <f aca="false">IF('APA Inputs'!$C$25="",0,(IF(AND(AK$4&gt;='APA Inputs'!$C$25,AK$4&lt;EDATE('APA Inputs'!$C$25,N('APA Inputs'!$D$25))),'APA Inputs'!$J$25,0)+IF(N('APA Inputs'!$H$25)&gt;0,IF(AK$4=EDATE('APA Inputs'!$C$25,'APA Inputs'!$H$25-1),N('APA Inputs'!$G$25),0),0))*IF('APA Inputs'!$I$25="",1,'APA Inputs'!$I$25))</f>
        <v>0</v>
      </c>
      <c r="AL10" s="409" t="n">
        <f aca="false">IF('APA Inputs'!$C$25="",0,(IF(AND(AL$4&gt;='APA Inputs'!$C$25,AL$4&lt;EDATE('APA Inputs'!$C$25,N('APA Inputs'!$D$25))),'APA Inputs'!$J$25,0)+IF(N('APA Inputs'!$H$25)&gt;0,IF(AL$4=EDATE('APA Inputs'!$C$25,'APA Inputs'!$H$25-1),N('APA Inputs'!$G$25),0),0))*IF('APA Inputs'!$I$25="",1,'APA Inputs'!$I$25))</f>
        <v>0</v>
      </c>
      <c r="AM10" s="409" t="n">
        <f aca="false">IF('APA Inputs'!$C$25="",0,(IF(AND(AM$4&gt;='APA Inputs'!$C$25,AM$4&lt;EDATE('APA Inputs'!$C$25,N('APA Inputs'!$D$25))),'APA Inputs'!$J$25,0)+IF(N('APA Inputs'!$H$25)&gt;0,IF(AM$4=EDATE('APA Inputs'!$C$25,'APA Inputs'!$H$25-1),N('APA Inputs'!$G$25),0),0))*IF('APA Inputs'!$I$25="",1,'APA Inputs'!$I$25))</f>
        <v>0</v>
      </c>
      <c r="AN10" s="409" t="n">
        <f aca="false">IF('APA Inputs'!$C$25="",0,(IF(AND(AN$4&gt;='APA Inputs'!$C$25,AN$4&lt;EDATE('APA Inputs'!$C$25,N('APA Inputs'!$D$25))),'APA Inputs'!$J$25,0)+IF(N('APA Inputs'!$H$25)&gt;0,IF(AN$4=EDATE('APA Inputs'!$C$25,'APA Inputs'!$H$25-1),N('APA Inputs'!$G$25),0),0))*IF('APA Inputs'!$I$25="",1,'APA Inputs'!$I$25))</f>
        <v>0</v>
      </c>
      <c r="AO10" s="409" t="n">
        <f aca="false">IF('APA Inputs'!$C$25="",0,(IF(AND(AO$4&gt;='APA Inputs'!$C$25,AO$4&lt;EDATE('APA Inputs'!$C$25,N('APA Inputs'!$D$25))),'APA Inputs'!$J$25,0)+IF(N('APA Inputs'!$H$25)&gt;0,IF(AO$4=EDATE('APA Inputs'!$C$25,'APA Inputs'!$H$25-1),N('APA Inputs'!$G$25),0),0))*IF('APA Inputs'!$I$25="",1,'APA Inputs'!$I$25))</f>
        <v>0</v>
      </c>
      <c r="AP10" s="409" t="n">
        <f aca="false">IF('APA Inputs'!$C$25="",0,(IF(AND(AP$4&gt;='APA Inputs'!$C$25,AP$4&lt;EDATE('APA Inputs'!$C$25,N('APA Inputs'!$D$25))),'APA Inputs'!$J$25,0)+IF(N('APA Inputs'!$H$25)&gt;0,IF(AP$4=EDATE('APA Inputs'!$C$25,'APA Inputs'!$H$25-1),N('APA Inputs'!$G$25),0),0))*IF('APA Inputs'!$I$25="",1,'APA Inputs'!$I$25))</f>
        <v>0</v>
      </c>
      <c r="AQ10" s="409" t="n">
        <f aca="false">IF('APA Inputs'!$C$25="",0,(IF(AND(AQ$4&gt;='APA Inputs'!$C$25,AQ$4&lt;EDATE('APA Inputs'!$C$25,N('APA Inputs'!$D$25))),'APA Inputs'!$J$25,0)+IF(N('APA Inputs'!$H$25)&gt;0,IF(AQ$4=EDATE('APA Inputs'!$C$25,'APA Inputs'!$H$25-1),N('APA Inputs'!$G$25),0),0))*IF('APA Inputs'!$I$25="",1,'APA Inputs'!$I$25))</f>
        <v>0</v>
      </c>
      <c r="AR10" s="409" t="n">
        <f aca="false">IF('APA Inputs'!$C$25="",0,(IF(AND(AR$4&gt;='APA Inputs'!$C$25,AR$4&lt;EDATE('APA Inputs'!$C$25,N('APA Inputs'!$D$25))),'APA Inputs'!$J$25,0)+IF(N('APA Inputs'!$H$25)&gt;0,IF(AR$4=EDATE('APA Inputs'!$C$25,'APA Inputs'!$H$25-1),N('APA Inputs'!$G$25),0),0))*IF('APA Inputs'!$I$25="",1,'APA Inputs'!$I$25))</f>
        <v>0</v>
      </c>
      <c r="AS10" s="409" t="n">
        <f aca="false">IF('APA Inputs'!$C$25="",0,(IF(AND(AS$4&gt;='APA Inputs'!$C$25,AS$4&lt;EDATE('APA Inputs'!$C$25,N('APA Inputs'!$D$25))),'APA Inputs'!$J$25,0)+IF(N('APA Inputs'!$H$25)&gt;0,IF(AS$4=EDATE('APA Inputs'!$C$25,'APA Inputs'!$H$25-1),N('APA Inputs'!$G$25),0),0))*IF('APA Inputs'!$I$25="",1,'APA Inputs'!$I$25))</f>
        <v>0</v>
      </c>
      <c r="AT10" s="409" t="n">
        <f aca="false">IF('APA Inputs'!$C$25="",0,(IF(AND(AT$4&gt;='APA Inputs'!$C$25,AT$4&lt;EDATE('APA Inputs'!$C$25,N('APA Inputs'!$D$25))),'APA Inputs'!$J$25,0)+IF(N('APA Inputs'!$H$25)&gt;0,IF(AT$4=EDATE('APA Inputs'!$C$25,'APA Inputs'!$H$25-1),N('APA Inputs'!$G$25),0),0))*IF('APA Inputs'!$I$25="",1,'APA Inputs'!$I$25))</f>
        <v>0</v>
      </c>
      <c r="AU10" s="409" t="n">
        <f aca="false">IF('APA Inputs'!$C$25="",0,(IF(AND(AU$4&gt;='APA Inputs'!$C$25,AU$4&lt;EDATE('APA Inputs'!$C$25,N('APA Inputs'!$D$25))),'APA Inputs'!$J$25,0)+IF(N('APA Inputs'!$H$25)&gt;0,IF(AU$4=EDATE('APA Inputs'!$C$25,'APA Inputs'!$H$25-1),N('APA Inputs'!$G$25),0),0))*IF('APA Inputs'!$I$25="",1,'APA Inputs'!$I$25))</f>
        <v>0</v>
      </c>
      <c r="AV10" s="409" t="n">
        <f aca="false">IF('APA Inputs'!$C$25="",0,(IF(AND(AV$4&gt;='APA Inputs'!$C$25,AV$4&lt;EDATE('APA Inputs'!$C$25,N('APA Inputs'!$D$25))),'APA Inputs'!$J$25,0)+IF(N('APA Inputs'!$H$25)&gt;0,IF(AV$4=EDATE('APA Inputs'!$C$25,'APA Inputs'!$H$25-1),N('APA Inputs'!$G$25),0),0))*IF('APA Inputs'!$I$25="",1,'APA Inputs'!$I$25))</f>
        <v>0</v>
      </c>
      <c r="AW10" s="409" t="n">
        <f aca="false">IF('APA Inputs'!$C$25="",0,(IF(AND(AW$4&gt;='APA Inputs'!$C$25,AW$4&lt;EDATE('APA Inputs'!$C$25,N('APA Inputs'!$D$25))),'APA Inputs'!$J$25,0)+IF(N('APA Inputs'!$H$25)&gt;0,IF(AW$4=EDATE('APA Inputs'!$C$25,'APA Inputs'!$H$25-1),N('APA Inputs'!$G$25),0),0))*IF('APA Inputs'!$I$25="",1,'APA Inputs'!$I$25))</f>
        <v>0</v>
      </c>
      <c r="AX10" s="409" t="n">
        <f aca="false">IF('APA Inputs'!$C$25="",0,(IF(AND(AX$4&gt;='APA Inputs'!$C$25,AX$4&lt;EDATE('APA Inputs'!$C$25,N('APA Inputs'!$D$25))),'APA Inputs'!$J$25,0)+IF(N('APA Inputs'!$H$25)&gt;0,IF(AX$4=EDATE('APA Inputs'!$C$25,'APA Inputs'!$H$25-1),N('APA Inputs'!$G$25),0),0))*IF('APA Inputs'!$I$25="",1,'APA Inputs'!$I$25))</f>
        <v>0</v>
      </c>
      <c r="AY10" s="409" t="n">
        <f aca="false">IF('APA Inputs'!$C$25="",0,(IF(AND(AY$4&gt;='APA Inputs'!$C$25,AY$4&lt;EDATE('APA Inputs'!$C$25,N('APA Inputs'!$D$25))),'APA Inputs'!$J$25,0)+IF(N('APA Inputs'!$H$25)&gt;0,IF(AY$4=EDATE('APA Inputs'!$C$25,'APA Inputs'!$H$25-1),N('APA Inputs'!$G$25),0),0))*IF('APA Inputs'!$I$25="",1,'APA Inputs'!$I$25))</f>
        <v>0</v>
      </c>
      <c r="AZ10" s="409" t="n">
        <f aca="false">IF('APA Inputs'!$C$25="",0,(IF(AND(AZ$4&gt;='APA Inputs'!$C$25,AZ$4&lt;EDATE('APA Inputs'!$C$25,N('APA Inputs'!$D$25))),'APA Inputs'!$J$25,0)+IF(N('APA Inputs'!$H$25)&gt;0,IF(AZ$4=EDATE('APA Inputs'!$C$25,'APA Inputs'!$H$25-1),N('APA Inputs'!$G$25),0),0))*IF('APA Inputs'!$I$25="",1,'APA Inputs'!$I$25))</f>
        <v>0</v>
      </c>
      <c r="BA10" s="409" t="n">
        <f aca="false">IF('APA Inputs'!$C$25="",0,(IF(AND(BA$4&gt;='APA Inputs'!$C$25,BA$4&lt;EDATE('APA Inputs'!$C$25,N('APA Inputs'!$D$25))),'APA Inputs'!$J$25,0)+IF(N('APA Inputs'!$H$25)&gt;0,IF(BA$4=EDATE('APA Inputs'!$C$25,'APA Inputs'!$H$25-1),N('APA Inputs'!$G$25),0),0))*IF('APA Inputs'!$I$25="",1,'APA Inputs'!$I$25))</f>
        <v>0</v>
      </c>
      <c r="BB10" s="409" t="n">
        <f aca="false">IF('APA Inputs'!$C$25="",0,(IF(AND(BB$4&gt;='APA Inputs'!$C$25,BB$4&lt;EDATE('APA Inputs'!$C$25,N('APA Inputs'!$D$25))),'APA Inputs'!$J$25,0)+IF(N('APA Inputs'!$H$25)&gt;0,IF(BB$4=EDATE('APA Inputs'!$C$25,'APA Inputs'!$H$25-1),N('APA Inputs'!$G$25),0),0))*IF('APA Inputs'!$I$25="",1,'APA Inputs'!$I$25))</f>
        <v>0</v>
      </c>
      <c r="BC10" s="409" t="n">
        <f aca="false">IF('APA Inputs'!$C$25="",0,(IF(AND(BC$4&gt;='APA Inputs'!$C$25,BC$4&lt;EDATE('APA Inputs'!$C$25,N('APA Inputs'!$D$25))),'APA Inputs'!$J$25,0)+IF(N('APA Inputs'!$H$25)&gt;0,IF(BC$4=EDATE('APA Inputs'!$C$25,'APA Inputs'!$H$25-1),N('APA Inputs'!$G$25),0),0))*IF('APA Inputs'!$I$25="",1,'APA Inputs'!$I$25))</f>
        <v>0</v>
      </c>
      <c r="BD10" s="409" t="n">
        <f aca="false">IF('APA Inputs'!$C$25="",0,(IF(AND(BD$4&gt;='APA Inputs'!$C$25,BD$4&lt;EDATE('APA Inputs'!$C$25,N('APA Inputs'!$D$25))),'APA Inputs'!$J$25,0)+IF(N('APA Inputs'!$H$25)&gt;0,IF(BD$4=EDATE('APA Inputs'!$C$25,'APA Inputs'!$H$25-1),N('APA Inputs'!$G$25),0),0))*IF('APA Inputs'!$I$25="",1,'APA Inputs'!$I$25))</f>
        <v>0</v>
      </c>
      <c r="BE10" s="409" t="n">
        <f aca="false">IF('APA Inputs'!$C$25="",0,(IF(AND(BE$4&gt;='APA Inputs'!$C$25,BE$4&lt;EDATE('APA Inputs'!$C$25,N('APA Inputs'!$D$25))),'APA Inputs'!$J$25,0)+IF(N('APA Inputs'!$H$25)&gt;0,IF(BE$4=EDATE('APA Inputs'!$C$25,'APA Inputs'!$H$25-1),N('APA Inputs'!$G$25),0),0))*IF('APA Inputs'!$I$25="",1,'APA Inputs'!$I$25))</f>
        <v>0</v>
      </c>
      <c r="BF10" s="409" t="n">
        <f aca="false">IF('APA Inputs'!$C$25="",0,(IF(AND(BF$4&gt;='APA Inputs'!$C$25,BF$4&lt;EDATE('APA Inputs'!$C$25,N('APA Inputs'!$D$25))),'APA Inputs'!$J$25,0)+IF(N('APA Inputs'!$H$25)&gt;0,IF(BF$4=EDATE('APA Inputs'!$C$25,'APA Inputs'!$H$25-1),N('APA Inputs'!$G$25),0),0))*IF('APA Inputs'!$I$25="",1,'APA Inputs'!$I$25))</f>
        <v>0</v>
      </c>
      <c r="BG10" s="409" t="n">
        <f aca="false">IF('APA Inputs'!$C$25="",0,(IF(AND(BG$4&gt;='APA Inputs'!$C$25,BG$4&lt;EDATE('APA Inputs'!$C$25,N('APA Inputs'!$D$25))),'APA Inputs'!$J$25,0)+IF(N('APA Inputs'!$H$25)&gt;0,IF(BG$4=EDATE('APA Inputs'!$C$25,'APA Inputs'!$H$25-1),N('APA Inputs'!$G$25),0),0))*IF('APA Inputs'!$I$25="",1,'APA Inputs'!$I$25))</f>
        <v>0</v>
      </c>
      <c r="BH10" s="409" t="n">
        <f aca="false">IF('APA Inputs'!$C$25="",0,(IF(AND(BH$4&gt;='APA Inputs'!$C$25,BH$4&lt;EDATE('APA Inputs'!$C$25,N('APA Inputs'!$D$25))),'APA Inputs'!$J$25,0)+IF(N('APA Inputs'!$H$25)&gt;0,IF(BH$4=EDATE('APA Inputs'!$C$25,'APA Inputs'!$H$25-1),N('APA Inputs'!$G$25),0),0))*IF('APA Inputs'!$I$25="",1,'APA Inputs'!$I$25))</f>
        <v>0</v>
      </c>
      <c r="BI10" s="409" t="n">
        <f aca="false">IF('APA Inputs'!$C$25="",0,(IF(AND(BI$4&gt;='APA Inputs'!$C$25,BI$4&lt;EDATE('APA Inputs'!$C$25,N('APA Inputs'!$D$25))),'APA Inputs'!$J$25,0)+IF(N('APA Inputs'!$H$25)&gt;0,IF(BI$4=EDATE('APA Inputs'!$C$25,'APA Inputs'!$H$25-1),N('APA Inputs'!$G$25),0),0))*IF('APA Inputs'!$I$25="",1,'APA Inputs'!$I$25))</f>
        <v>0</v>
      </c>
      <c r="BJ10" s="409" t="n">
        <f aca="false">IF('APA Inputs'!$C$25="",0,(IF(AND(BJ$4&gt;='APA Inputs'!$C$25,BJ$4&lt;EDATE('APA Inputs'!$C$25,N('APA Inputs'!$D$25))),'APA Inputs'!$J$25,0)+IF(N('APA Inputs'!$H$25)&gt;0,IF(BJ$4=EDATE('APA Inputs'!$C$25,'APA Inputs'!$H$25-1),N('APA Inputs'!$G$25),0),0))*IF('APA Inputs'!$I$25="",1,'APA Inputs'!$I$25))</f>
        <v>0</v>
      </c>
      <c r="BK10" s="409" t="n">
        <f aca="false">IF('APA Inputs'!$C$25="",0,(IF(AND(BK$4&gt;='APA Inputs'!$C$25,BK$4&lt;EDATE('APA Inputs'!$C$25,N('APA Inputs'!$D$25))),'APA Inputs'!$J$25,0)+IF(N('APA Inputs'!$H$25)&gt;0,IF(BK$4=EDATE('APA Inputs'!$C$25,'APA Inputs'!$H$25-1),N('APA Inputs'!$G$25),0),0))*IF('APA Inputs'!$I$25="",1,'APA Inputs'!$I$25))</f>
        <v>0</v>
      </c>
      <c r="BL10" s="409" t="n">
        <f aca="false">IF('APA Inputs'!$C$25="",0,(IF(AND(BL$4&gt;='APA Inputs'!$C$25,BL$4&lt;EDATE('APA Inputs'!$C$25,N('APA Inputs'!$D$25))),'APA Inputs'!$J$25,0)+IF(N('APA Inputs'!$H$25)&gt;0,IF(BL$4=EDATE('APA Inputs'!$C$25,'APA Inputs'!$H$25-1),N('APA Inputs'!$G$25),0),0))*IF('APA Inputs'!$I$25="",1,'APA Inputs'!$I$25))</f>
        <v>0</v>
      </c>
      <c r="BM10" s="409" t="n">
        <f aca="false">IF('APA Inputs'!$C$25="",0,(IF(AND(BM$4&gt;='APA Inputs'!$C$25,BM$4&lt;EDATE('APA Inputs'!$C$25,N('APA Inputs'!$D$25))),'APA Inputs'!$J$25,0)+IF(N('APA Inputs'!$H$25)&gt;0,IF(BM$4=EDATE('APA Inputs'!$C$25,'APA Inputs'!$H$25-1),N('APA Inputs'!$G$25),0),0))*IF('APA Inputs'!$I$25="",1,'APA Inputs'!$I$25))</f>
        <v>0</v>
      </c>
      <c r="BN10" s="409" t="n">
        <f aca="false">IF('APA Inputs'!$C$25="",0,(IF(AND(BN$4&gt;='APA Inputs'!$C$25,BN$4&lt;EDATE('APA Inputs'!$C$25,N('APA Inputs'!$D$25))),'APA Inputs'!$J$25,0)+IF(N('APA Inputs'!$H$25)&gt;0,IF(BN$4=EDATE('APA Inputs'!$C$25,'APA Inputs'!$H$25-1),N('APA Inputs'!$G$25),0),0))*IF('APA Inputs'!$I$25="",1,'APA Inputs'!$I$25))</f>
        <v>0</v>
      </c>
      <c r="BO10" s="409" t="n">
        <f aca="false">IF('APA Inputs'!$C$25="",0,(IF(AND(BO$4&gt;='APA Inputs'!$C$25,BO$4&lt;EDATE('APA Inputs'!$C$25,N('APA Inputs'!$D$25))),'APA Inputs'!$J$25,0)+IF(N('APA Inputs'!$H$25)&gt;0,IF(BO$4=EDATE('APA Inputs'!$C$25,'APA Inputs'!$H$25-1),N('APA Inputs'!$G$25),0),0))*IF('APA Inputs'!$I$25="",1,'APA Inputs'!$I$25))</f>
        <v>0</v>
      </c>
      <c r="BP10" s="409" t="n">
        <f aca="false">IF('APA Inputs'!$C$25="",0,(IF(AND(BP$4&gt;='APA Inputs'!$C$25,BP$4&lt;EDATE('APA Inputs'!$C$25,N('APA Inputs'!$D$25))),'APA Inputs'!$J$25,0)+IF(N('APA Inputs'!$H$25)&gt;0,IF(BP$4=EDATE('APA Inputs'!$C$25,'APA Inputs'!$H$25-1),N('APA Inputs'!$G$25),0),0))*IF('APA Inputs'!$I$25="",1,'APA Inputs'!$I$25))</f>
        <v>0</v>
      </c>
      <c r="BQ10" s="409" t="n">
        <f aca="false">IF('APA Inputs'!$C$25="",0,(IF(AND(BQ$4&gt;='APA Inputs'!$C$25,BQ$4&lt;EDATE('APA Inputs'!$C$25,N('APA Inputs'!$D$25))),'APA Inputs'!$J$25,0)+IF(N('APA Inputs'!$H$25)&gt;0,IF(BQ$4=EDATE('APA Inputs'!$C$25,'APA Inputs'!$H$25-1),N('APA Inputs'!$G$25),0),0))*IF('APA Inputs'!$I$25="",1,'APA Inputs'!$I$25))</f>
        <v>0</v>
      </c>
      <c r="BR10" s="409" t="n">
        <f aca="false">IF('APA Inputs'!$C$25="",0,(IF(AND(BR$4&gt;='APA Inputs'!$C$25,BR$4&lt;EDATE('APA Inputs'!$C$25,N('APA Inputs'!$D$25))),'APA Inputs'!$J$25,0)+IF(N('APA Inputs'!$H$25)&gt;0,IF(BR$4=EDATE('APA Inputs'!$C$25,'APA Inputs'!$H$25-1),N('APA Inputs'!$G$25),0),0))*IF('APA Inputs'!$I$25="",1,'APA Inputs'!$I$25))</f>
        <v>0</v>
      </c>
      <c r="BS10" s="409" t="n">
        <f aca="false">IF('APA Inputs'!$C$25="",0,(IF(AND(BS$4&gt;='APA Inputs'!$C$25,BS$4&lt;EDATE('APA Inputs'!$C$25,N('APA Inputs'!$D$25))),'APA Inputs'!$J$25,0)+IF(N('APA Inputs'!$H$25)&gt;0,IF(BS$4=EDATE('APA Inputs'!$C$25,'APA Inputs'!$H$25-1),N('APA Inputs'!$G$25),0),0))*IF('APA Inputs'!$I$25="",1,'APA Inputs'!$I$25))</f>
        <v>0</v>
      </c>
      <c r="BT10" s="409" t="n">
        <f aca="false">IF('APA Inputs'!$C$25="",0,(IF(AND(BT$4&gt;='APA Inputs'!$C$25,BT$4&lt;EDATE('APA Inputs'!$C$25,N('APA Inputs'!$D$25))),'APA Inputs'!$J$25,0)+IF(N('APA Inputs'!$H$25)&gt;0,IF(BT$4=EDATE('APA Inputs'!$C$25,'APA Inputs'!$H$25-1),N('APA Inputs'!$G$25),0),0))*IF('APA Inputs'!$I$25="",1,'APA Inputs'!$I$25))</f>
        <v>0</v>
      </c>
      <c r="BU10" s="409" t="n">
        <f aca="false">IF('APA Inputs'!$C$25="",0,(IF(AND(BU$4&gt;='APA Inputs'!$C$25,BU$4&lt;EDATE('APA Inputs'!$C$25,N('APA Inputs'!$D$25))),'APA Inputs'!$J$25,0)+IF(N('APA Inputs'!$H$25)&gt;0,IF(BU$4=EDATE('APA Inputs'!$C$25,'APA Inputs'!$H$25-1),N('APA Inputs'!$G$25),0),0))*IF('APA Inputs'!$I$25="",1,'APA Inputs'!$I$25))</f>
        <v>0</v>
      </c>
      <c r="BV10" s="409" t="n">
        <f aca="false">IF('APA Inputs'!$C$25="",0,(IF(AND(BV$4&gt;='APA Inputs'!$C$25,BV$4&lt;EDATE('APA Inputs'!$C$25,N('APA Inputs'!$D$25))),'APA Inputs'!$J$25,0)+IF(N('APA Inputs'!$H$25)&gt;0,IF(BV$4=EDATE('APA Inputs'!$C$25,'APA Inputs'!$H$25-1),N('APA Inputs'!$G$25),0),0))*IF('APA Inputs'!$I$25="",1,'APA Inputs'!$I$25))</f>
        <v>0</v>
      </c>
      <c r="BW10" s="409" t="n">
        <f aca="false">IF('APA Inputs'!$C$25="",0,(IF(AND(BW$4&gt;='APA Inputs'!$C$25,BW$4&lt;EDATE('APA Inputs'!$C$25,N('APA Inputs'!$D$25))),'APA Inputs'!$J$25,0)+IF(N('APA Inputs'!$H$25)&gt;0,IF(BW$4=EDATE('APA Inputs'!$C$25,'APA Inputs'!$H$25-1),N('APA Inputs'!$G$25),0),0))*IF('APA Inputs'!$I$25="",1,'APA Inputs'!$I$25))</f>
        <v>0</v>
      </c>
      <c r="BX10" s="409" t="n">
        <f aca="false">IF('APA Inputs'!$C$25="",0,(IF(AND(BX$4&gt;='APA Inputs'!$C$25,BX$4&lt;EDATE('APA Inputs'!$C$25,N('APA Inputs'!$D$25))),'APA Inputs'!$J$25,0)+IF(N('APA Inputs'!$H$25)&gt;0,IF(BX$4=EDATE('APA Inputs'!$C$25,'APA Inputs'!$H$25-1),N('APA Inputs'!$G$25),0),0))*IF('APA Inputs'!$I$25="",1,'APA Inputs'!$I$25))</f>
        <v>0</v>
      </c>
      <c r="BY10" s="409" t="n">
        <f aca="false">IF('APA Inputs'!$C$25="",0,(IF(AND(BY$4&gt;='APA Inputs'!$C$25,BY$4&lt;EDATE('APA Inputs'!$C$25,N('APA Inputs'!$D$25))),'APA Inputs'!$J$25,0)+IF(N('APA Inputs'!$H$25)&gt;0,IF(BY$4=EDATE('APA Inputs'!$C$25,'APA Inputs'!$H$25-1),N('APA Inputs'!$G$25),0),0))*IF('APA Inputs'!$I$25="",1,'APA Inputs'!$I$25))</f>
        <v>0</v>
      </c>
      <c r="BZ10" s="409" t="n">
        <f aca="false">IF('APA Inputs'!$C$25="",0,(IF(AND(BZ$4&gt;='APA Inputs'!$C$25,BZ$4&lt;EDATE('APA Inputs'!$C$25,N('APA Inputs'!$D$25))),'APA Inputs'!$J$25,0)+IF(N('APA Inputs'!$H$25)&gt;0,IF(BZ$4=EDATE('APA Inputs'!$C$25,'APA Inputs'!$H$25-1),N('APA Inputs'!$G$25),0),0))*IF('APA Inputs'!$I$25="",1,'APA Inputs'!$I$25))</f>
        <v>0</v>
      </c>
      <c r="CA10" s="409" t="n">
        <f aca="false">IF('APA Inputs'!$C$25="",0,(IF(AND(CA$4&gt;='APA Inputs'!$C$25,CA$4&lt;EDATE('APA Inputs'!$C$25,N('APA Inputs'!$D$25))),'APA Inputs'!$J$25,0)+IF(N('APA Inputs'!$H$25)&gt;0,IF(CA$4=EDATE('APA Inputs'!$C$25,'APA Inputs'!$H$25-1),N('APA Inputs'!$G$25),0),0))*IF('APA Inputs'!$I$25="",1,'APA Inputs'!$I$25))</f>
        <v>0</v>
      </c>
      <c r="CB10" s="409" t="n">
        <f aca="false">IF('APA Inputs'!$C$25="",0,(IF(AND(CB$4&gt;='APA Inputs'!$C$25,CB$4&lt;EDATE('APA Inputs'!$C$25,N('APA Inputs'!$D$25))),'APA Inputs'!$J$25,0)+IF(N('APA Inputs'!$H$25)&gt;0,IF(CB$4=EDATE('APA Inputs'!$C$25,'APA Inputs'!$H$25-1),N('APA Inputs'!$G$25),0),0))*IF('APA Inputs'!$I$25="",1,'APA Inputs'!$I$25))</f>
        <v>0</v>
      </c>
      <c r="CC10" s="409" t="n">
        <f aca="false">IF('APA Inputs'!$C$25="",0,(IF(AND(CC$4&gt;='APA Inputs'!$C$25,CC$4&lt;EDATE('APA Inputs'!$C$25,N('APA Inputs'!$D$25))),'APA Inputs'!$J$25,0)+IF(N('APA Inputs'!$H$25)&gt;0,IF(CC$4=EDATE('APA Inputs'!$C$25,'APA Inputs'!$H$25-1),N('APA Inputs'!$G$25),0),0))*IF('APA Inputs'!$I$25="",1,'APA Inputs'!$I$25))</f>
        <v>0</v>
      </c>
      <c r="CD10" s="409" t="n">
        <f aca="false">IF('APA Inputs'!$C$25="",0,(IF(AND(CD$4&gt;='APA Inputs'!$C$25,CD$4&lt;EDATE('APA Inputs'!$C$25,N('APA Inputs'!$D$25))),'APA Inputs'!$J$25,0)+IF(N('APA Inputs'!$H$25)&gt;0,IF(CD$4=EDATE('APA Inputs'!$C$25,'APA Inputs'!$H$25-1),N('APA Inputs'!$G$25),0),0))*IF('APA Inputs'!$I$25="",1,'APA Inputs'!$I$25))</f>
        <v>0</v>
      </c>
      <c r="CE10" s="409" t="n">
        <f aca="false">IF('APA Inputs'!$C$25="",0,(IF(AND(CE$4&gt;='APA Inputs'!$C$25,CE$4&lt;EDATE('APA Inputs'!$C$25,N('APA Inputs'!$D$25))),'APA Inputs'!$J$25,0)+IF(N('APA Inputs'!$H$25)&gt;0,IF(CE$4=EDATE('APA Inputs'!$C$25,'APA Inputs'!$H$25-1),N('APA Inputs'!$G$25),0),0))*IF('APA Inputs'!$I$25="",1,'APA Inputs'!$I$25))</f>
        <v>0</v>
      </c>
      <c r="CF10" s="409" t="n">
        <f aca="false">IF('APA Inputs'!$C$25="",0,(IF(AND(CF$4&gt;='APA Inputs'!$C$25,CF$4&lt;EDATE('APA Inputs'!$C$25,N('APA Inputs'!$D$25))),'APA Inputs'!$J$25,0)+IF(N('APA Inputs'!$H$25)&gt;0,IF(CF$4=EDATE('APA Inputs'!$C$25,'APA Inputs'!$H$25-1),N('APA Inputs'!$G$25),0),0))*IF('APA Inputs'!$I$25="",1,'APA Inputs'!$I$25))</f>
        <v>0</v>
      </c>
      <c r="CG10" s="409" t="n">
        <f aca="false">IF('APA Inputs'!$C$25="",0,(IF(AND(CG$4&gt;='APA Inputs'!$C$25,CG$4&lt;EDATE('APA Inputs'!$C$25,N('APA Inputs'!$D$25))),'APA Inputs'!$J$25,0)+IF(N('APA Inputs'!$H$25)&gt;0,IF(CG$4=EDATE('APA Inputs'!$C$25,'APA Inputs'!$H$25-1),N('APA Inputs'!$G$25),0),0))*IF('APA Inputs'!$I$25="",1,'APA Inputs'!$I$25))</f>
        <v>0</v>
      </c>
      <c r="CH10" s="409" t="n">
        <f aca="false">IF('APA Inputs'!$C$25="",0,(IF(AND(CH$4&gt;='APA Inputs'!$C$25,CH$4&lt;EDATE('APA Inputs'!$C$25,N('APA Inputs'!$D$25))),'APA Inputs'!$J$25,0)+IF(N('APA Inputs'!$H$25)&gt;0,IF(CH$4=EDATE('APA Inputs'!$C$25,'APA Inputs'!$H$25-1),N('APA Inputs'!$G$25),0),0))*IF('APA Inputs'!$I$25="",1,'APA Inputs'!$I$25))</f>
        <v>0</v>
      </c>
      <c r="CI10" s="409" t="n">
        <f aca="false">IF('APA Inputs'!$C$25="",0,(IF(AND(CI$4&gt;='APA Inputs'!$C$25,CI$4&lt;EDATE('APA Inputs'!$C$25,N('APA Inputs'!$D$25))),'APA Inputs'!$J$25,0)+IF(N('APA Inputs'!$H$25)&gt;0,IF(CI$4=EDATE('APA Inputs'!$C$25,'APA Inputs'!$H$25-1),N('APA Inputs'!$G$25),0),0))*IF('APA Inputs'!$I$25="",1,'APA Inputs'!$I$25))</f>
        <v>0</v>
      </c>
      <c r="CJ10" s="409" t="n">
        <f aca="false">IF('APA Inputs'!$C$25="",0,(IF(AND(CJ$4&gt;='APA Inputs'!$C$25,CJ$4&lt;EDATE('APA Inputs'!$C$25,N('APA Inputs'!$D$25))),'APA Inputs'!$J$25,0)+IF(N('APA Inputs'!$H$25)&gt;0,IF(CJ$4=EDATE('APA Inputs'!$C$25,'APA Inputs'!$H$25-1),N('APA Inputs'!$G$25),0),0))*IF('APA Inputs'!$I$25="",1,'APA Inputs'!$I$25))</f>
        <v>0</v>
      </c>
      <c r="CK10" s="409" t="n">
        <f aca="false">IF('APA Inputs'!$C$25="",0,(IF(AND(CK$4&gt;='APA Inputs'!$C$25,CK$4&lt;EDATE('APA Inputs'!$C$25,N('APA Inputs'!$D$25))),'APA Inputs'!$J$25,0)+IF(N('APA Inputs'!$H$25)&gt;0,IF(CK$4=EDATE('APA Inputs'!$C$25,'APA Inputs'!$H$25-1),N('APA Inputs'!$G$25),0),0))*IF('APA Inputs'!$I$25="",1,'APA Inputs'!$I$25))</f>
        <v>0</v>
      </c>
      <c r="CL10" s="409" t="n">
        <f aca="false">IF('APA Inputs'!$C$25="",0,(IF(AND(CL$4&gt;='APA Inputs'!$C$25,CL$4&lt;EDATE('APA Inputs'!$C$25,N('APA Inputs'!$D$25))),'APA Inputs'!$J$25,0)+IF(N('APA Inputs'!$H$25)&gt;0,IF(CL$4=EDATE('APA Inputs'!$C$25,'APA Inputs'!$H$25-1),N('APA Inputs'!$G$25),0),0))*IF('APA Inputs'!$I$25="",1,'APA Inputs'!$I$25))</f>
        <v>0</v>
      </c>
      <c r="CM10" s="409" t="n">
        <f aca="false">IF('APA Inputs'!$C$25="",0,(IF(AND(CM$4&gt;='APA Inputs'!$C$25,CM$4&lt;EDATE('APA Inputs'!$C$25,N('APA Inputs'!$D$25))),'APA Inputs'!$J$25,0)+IF(N('APA Inputs'!$H$25)&gt;0,IF(CM$4=EDATE('APA Inputs'!$C$25,'APA Inputs'!$H$25-1),N('APA Inputs'!$G$25),0),0))*IF('APA Inputs'!$I$25="",1,'APA Inputs'!$I$25))</f>
        <v>0</v>
      </c>
      <c r="CN10" s="409" t="n">
        <f aca="false">IF('APA Inputs'!$C$25="",0,(IF(AND(CN$4&gt;='APA Inputs'!$C$25,CN$4&lt;EDATE('APA Inputs'!$C$25,N('APA Inputs'!$D$25))),'APA Inputs'!$J$25,0)+IF(N('APA Inputs'!$H$25)&gt;0,IF(CN$4=EDATE('APA Inputs'!$C$25,'APA Inputs'!$H$25-1),N('APA Inputs'!$G$25),0),0))*IF('APA Inputs'!$I$25="",1,'APA Inputs'!$I$25))</f>
        <v>0</v>
      </c>
      <c r="CO10" s="409" t="n">
        <f aca="false">IF('APA Inputs'!$C$25="",0,(IF(AND(CO$4&gt;='APA Inputs'!$C$25,CO$4&lt;EDATE('APA Inputs'!$C$25,N('APA Inputs'!$D$25))),'APA Inputs'!$J$25,0)+IF(N('APA Inputs'!$H$25)&gt;0,IF(CO$4=EDATE('APA Inputs'!$C$25,'APA Inputs'!$H$25-1),N('APA Inputs'!$G$25),0),0))*IF('APA Inputs'!$I$25="",1,'APA Inputs'!$I$25))</f>
        <v>0</v>
      </c>
      <c r="CP10" s="409" t="n">
        <f aca="false">IF('APA Inputs'!$C$25="",0,(IF(AND(CP$4&gt;='APA Inputs'!$C$25,CP$4&lt;EDATE('APA Inputs'!$C$25,N('APA Inputs'!$D$25))),'APA Inputs'!$J$25,0)+IF(N('APA Inputs'!$H$25)&gt;0,IF(CP$4=EDATE('APA Inputs'!$C$25,'APA Inputs'!$H$25-1),N('APA Inputs'!$G$25),0),0))*IF('APA Inputs'!$I$25="",1,'APA Inputs'!$I$25))</f>
        <v>0</v>
      </c>
      <c r="CQ10" s="409" t="n">
        <f aca="false">IF('APA Inputs'!$C$25="",0,(IF(AND(CQ$4&gt;='APA Inputs'!$C$25,CQ$4&lt;EDATE('APA Inputs'!$C$25,N('APA Inputs'!$D$25))),'APA Inputs'!$J$25,0)+IF(N('APA Inputs'!$H$25)&gt;0,IF(CQ$4=EDATE('APA Inputs'!$C$25,'APA Inputs'!$H$25-1),N('APA Inputs'!$G$25),0),0))*IF('APA Inputs'!$I$25="",1,'APA Inputs'!$I$25))</f>
        <v>0</v>
      </c>
      <c r="CR10" s="409" t="n">
        <f aca="false">IF('APA Inputs'!$C$25="",0,(IF(AND(CR$4&gt;='APA Inputs'!$C$25,CR$4&lt;EDATE('APA Inputs'!$C$25,N('APA Inputs'!$D$25))),'APA Inputs'!$J$25,0)+IF(N('APA Inputs'!$H$25)&gt;0,IF(CR$4=EDATE('APA Inputs'!$C$25,'APA Inputs'!$H$25-1),N('APA Inputs'!$G$25),0),0))*IF('APA Inputs'!$I$25="",1,'APA Inputs'!$I$25))</f>
        <v>0</v>
      </c>
      <c r="CS10" s="409" t="n">
        <f aca="false">IF('APA Inputs'!$C$25="",0,(IF(AND(CS$4&gt;='APA Inputs'!$C$25,CS$4&lt;EDATE('APA Inputs'!$C$25,N('APA Inputs'!$D$25))),'APA Inputs'!$J$25,0)+IF(N('APA Inputs'!$H$25)&gt;0,IF(CS$4=EDATE('APA Inputs'!$C$25,'APA Inputs'!$H$25-1),N('APA Inputs'!$G$25),0),0))*IF('APA Inputs'!$I$25="",1,'APA Inputs'!$I$25))</f>
        <v>0</v>
      </c>
      <c r="CT10" s="409" t="n">
        <f aca="false">IF('APA Inputs'!$C$25="",0,(IF(AND(CT$4&gt;='APA Inputs'!$C$25,CT$4&lt;EDATE('APA Inputs'!$C$25,N('APA Inputs'!$D$25))),'APA Inputs'!$J$25,0)+IF(N('APA Inputs'!$H$25)&gt;0,IF(CT$4=EDATE('APA Inputs'!$C$25,'APA Inputs'!$H$25-1),N('APA Inputs'!$G$25),0),0))*IF('APA Inputs'!$I$25="",1,'APA Inputs'!$I$25))</f>
        <v>0</v>
      </c>
      <c r="CU10" s="409" t="n">
        <f aca="false">IF('APA Inputs'!$C$25="",0,(IF(AND(CU$4&gt;='APA Inputs'!$C$25,CU$4&lt;EDATE('APA Inputs'!$C$25,N('APA Inputs'!$D$25))),'APA Inputs'!$J$25,0)+IF(N('APA Inputs'!$H$25)&gt;0,IF(CU$4=EDATE('APA Inputs'!$C$25,'APA Inputs'!$H$25-1),N('APA Inputs'!$G$25),0),0))*IF('APA Inputs'!$I$25="",1,'APA Inputs'!$I$25))</f>
        <v>0</v>
      </c>
      <c r="CV10" s="409" t="n">
        <f aca="false">IF('APA Inputs'!$C$25="",0,(IF(AND(CV$4&gt;='APA Inputs'!$C$25,CV$4&lt;EDATE('APA Inputs'!$C$25,N('APA Inputs'!$D$25))),'APA Inputs'!$J$25,0)+IF(N('APA Inputs'!$H$25)&gt;0,IF(CV$4=EDATE('APA Inputs'!$C$25,'APA Inputs'!$H$25-1),N('APA Inputs'!$G$25),0),0))*IF('APA Inputs'!$I$25="",1,'APA Inputs'!$I$25))</f>
        <v>0</v>
      </c>
      <c r="CW10" s="409" t="n">
        <f aca="false">IF('APA Inputs'!$C$25="",0,(IF(AND(CW$4&gt;='APA Inputs'!$C$25,CW$4&lt;EDATE('APA Inputs'!$C$25,N('APA Inputs'!$D$25))),'APA Inputs'!$J$25,0)+IF(N('APA Inputs'!$H$25)&gt;0,IF(CW$4=EDATE('APA Inputs'!$C$25,'APA Inputs'!$H$25-1),N('APA Inputs'!$G$25),0),0))*IF('APA Inputs'!$I$25="",1,'APA Inputs'!$I$25))</f>
        <v>0</v>
      </c>
      <c r="CX10" s="409" t="n">
        <f aca="false">IF('APA Inputs'!$C$25="",0,(IF(AND(CX$4&gt;='APA Inputs'!$C$25,CX$4&lt;EDATE('APA Inputs'!$C$25,N('APA Inputs'!$D$25))),'APA Inputs'!$J$25,0)+IF(N('APA Inputs'!$H$25)&gt;0,IF(CX$4=EDATE('APA Inputs'!$C$25,'APA Inputs'!$H$25-1),N('APA Inputs'!$G$25),0),0))*IF('APA Inputs'!$I$25="",1,'APA Inputs'!$I$25))</f>
        <v>0</v>
      </c>
      <c r="CY10" s="409" t="n">
        <f aca="false">IF('APA Inputs'!$C$25="",0,(IF(AND(CY$4&gt;='APA Inputs'!$C$25,CY$4&lt;EDATE('APA Inputs'!$C$25,N('APA Inputs'!$D$25))),'APA Inputs'!$J$25,0)+IF(N('APA Inputs'!$H$25)&gt;0,IF(CY$4=EDATE('APA Inputs'!$C$25,'APA Inputs'!$H$25-1),N('APA Inputs'!$G$25),0),0))*IF('APA Inputs'!$I$25="",1,'APA Inputs'!$I$25))</f>
        <v>0</v>
      </c>
      <c r="CZ10" s="409" t="n">
        <f aca="false">IF('APA Inputs'!$C$25="",0,(IF(AND(CZ$4&gt;='APA Inputs'!$C$25,CZ$4&lt;EDATE('APA Inputs'!$C$25,N('APA Inputs'!$D$25))),'APA Inputs'!$J$25,0)+IF(N('APA Inputs'!$H$25)&gt;0,IF(CZ$4=EDATE('APA Inputs'!$C$25,'APA Inputs'!$H$25-1),N('APA Inputs'!$G$25),0),0))*IF('APA Inputs'!$I$25="",1,'APA Inputs'!$I$25))</f>
        <v>0</v>
      </c>
      <c r="DA10" s="409" t="n">
        <f aca="false">IF('APA Inputs'!$C$25="",0,(IF(AND(DA$4&gt;='APA Inputs'!$C$25,DA$4&lt;EDATE('APA Inputs'!$C$25,N('APA Inputs'!$D$25))),'APA Inputs'!$J$25,0)+IF(N('APA Inputs'!$H$25)&gt;0,IF(DA$4=EDATE('APA Inputs'!$C$25,'APA Inputs'!$H$25-1),N('APA Inputs'!$G$25),0),0))*IF('APA Inputs'!$I$25="",1,'APA Inputs'!$I$25))</f>
        <v>0</v>
      </c>
      <c r="DB10" s="409" t="n">
        <f aca="false">IF('APA Inputs'!$C$25="",0,(IF(AND(DB$4&gt;='APA Inputs'!$C$25,DB$4&lt;EDATE('APA Inputs'!$C$25,N('APA Inputs'!$D$25))),'APA Inputs'!$J$25,0)+IF(N('APA Inputs'!$H$25)&gt;0,IF(DB$4=EDATE('APA Inputs'!$C$25,'APA Inputs'!$H$25-1),N('APA Inputs'!$G$25),0),0))*IF('APA Inputs'!$I$25="",1,'APA Inputs'!$I$25))</f>
        <v>0</v>
      </c>
      <c r="DC10" s="409" t="n">
        <f aca="false">IF('APA Inputs'!$C$25="",0,(IF(AND(DC$4&gt;='APA Inputs'!$C$25,DC$4&lt;EDATE('APA Inputs'!$C$25,N('APA Inputs'!$D$25))),'APA Inputs'!$J$25,0)+IF(N('APA Inputs'!$H$25)&gt;0,IF(DC$4=EDATE('APA Inputs'!$C$25,'APA Inputs'!$H$25-1),N('APA Inputs'!$G$25),0),0))*IF('APA Inputs'!$I$25="",1,'APA Inputs'!$I$25))</f>
        <v>0</v>
      </c>
      <c r="DD10" s="409" t="n">
        <f aca="false">IF('APA Inputs'!$C$25="",0,(IF(AND(DD$4&gt;='APA Inputs'!$C$25,DD$4&lt;EDATE('APA Inputs'!$C$25,N('APA Inputs'!$D$25))),'APA Inputs'!$J$25,0)+IF(N('APA Inputs'!$H$25)&gt;0,IF(DD$4=EDATE('APA Inputs'!$C$25,'APA Inputs'!$H$25-1),N('APA Inputs'!$G$25),0),0))*IF('APA Inputs'!$I$25="",1,'APA Inputs'!$I$25))</f>
        <v>0</v>
      </c>
      <c r="DE10" s="409"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Pipeline 1</v>
      </c>
      <c r="B11" s="409" t="n">
        <f aca="false">IF('APA Inputs'!$C$26="",0,(IF(AND(B$4&gt;='APA Inputs'!$C$26,B$4&lt;EDATE('APA Inputs'!$C$26,N('APA Inputs'!$D$26))),'APA Inputs'!$J$26,0)+IF(N('APA Inputs'!$H$26)&gt;0,IF(B$4=EDATE('APA Inputs'!$C$26,'APA Inputs'!$H$26-1),N('APA Inputs'!$G$26),0),0))*IF('APA Inputs'!$I$26="",1,'APA Inputs'!$I$26))</f>
        <v>0</v>
      </c>
      <c r="C11" s="409" t="n">
        <f aca="false">IF('APA Inputs'!$C$26="",0,(IF(AND(C$4&gt;='APA Inputs'!$C$26,C$4&lt;EDATE('APA Inputs'!$C$26,N('APA Inputs'!$D$26))),'APA Inputs'!$J$26,0)+IF(N('APA Inputs'!$H$26)&gt;0,IF(C$4=EDATE('APA Inputs'!$C$26,'APA Inputs'!$H$26-1),N('APA Inputs'!$G$26),0),0))*IF('APA Inputs'!$I$26="",1,'APA Inputs'!$I$26))</f>
        <v>0</v>
      </c>
      <c r="D11" s="409" t="n">
        <f aca="false">IF('APA Inputs'!$C$26="",0,(IF(AND(D$4&gt;='APA Inputs'!$C$26,D$4&lt;EDATE('APA Inputs'!$C$26,N('APA Inputs'!$D$26))),'APA Inputs'!$J$26,0)+IF(N('APA Inputs'!$H$26)&gt;0,IF(D$4=EDATE('APA Inputs'!$C$26,'APA Inputs'!$H$26-1),N('APA Inputs'!$G$26),0),0))*IF('APA Inputs'!$I$26="",1,'APA Inputs'!$I$26))</f>
        <v>0</v>
      </c>
      <c r="E11" s="409" t="n">
        <f aca="false">IF('APA Inputs'!$C$26="",0,(IF(AND(E$4&gt;='APA Inputs'!$C$26,E$4&lt;EDATE('APA Inputs'!$C$26,N('APA Inputs'!$D$26))),'APA Inputs'!$J$26,0)+IF(N('APA Inputs'!$H$26)&gt;0,IF(E$4=EDATE('APA Inputs'!$C$26,'APA Inputs'!$H$26-1),N('APA Inputs'!$G$26),0),0))*IF('APA Inputs'!$I$26="",1,'APA Inputs'!$I$26))</f>
        <v>0</v>
      </c>
      <c r="F11" s="409" t="n">
        <f aca="false">IF('APA Inputs'!$C$26="",0,(IF(AND(F$4&gt;='APA Inputs'!$C$26,F$4&lt;EDATE('APA Inputs'!$C$26,N('APA Inputs'!$D$26))),'APA Inputs'!$J$26,0)+IF(N('APA Inputs'!$H$26)&gt;0,IF(F$4=EDATE('APA Inputs'!$C$26,'APA Inputs'!$H$26-1),N('APA Inputs'!$G$26),0),0))*IF('APA Inputs'!$I$26="",1,'APA Inputs'!$I$26))</f>
        <v>0</v>
      </c>
      <c r="G11" s="409" t="n">
        <f aca="false">IF('APA Inputs'!$C$26="",0,(IF(AND(G$4&gt;='APA Inputs'!$C$26,G$4&lt;EDATE('APA Inputs'!$C$26,N('APA Inputs'!$D$26))),'APA Inputs'!$J$26,0)+IF(N('APA Inputs'!$H$26)&gt;0,IF(G$4=EDATE('APA Inputs'!$C$26,'APA Inputs'!$H$26-1),N('APA Inputs'!$G$26),0),0))*IF('APA Inputs'!$I$26="",1,'APA Inputs'!$I$26))</f>
        <v>0</v>
      </c>
      <c r="H11" s="409" t="n">
        <f aca="false">IF('APA Inputs'!$C$26="",0,(IF(AND(H$4&gt;='APA Inputs'!$C$26,H$4&lt;EDATE('APA Inputs'!$C$26,N('APA Inputs'!$D$26))),'APA Inputs'!$J$26,0)+IF(N('APA Inputs'!$H$26)&gt;0,IF(H$4=EDATE('APA Inputs'!$C$26,'APA Inputs'!$H$26-1),N('APA Inputs'!$G$26),0),0))*IF('APA Inputs'!$I$26="",1,'APA Inputs'!$I$26))</f>
        <v>0</v>
      </c>
      <c r="I11" s="409" t="n">
        <f aca="false">IF('APA Inputs'!$C$26="",0,(IF(AND(I$4&gt;='APA Inputs'!$C$26,I$4&lt;EDATE('APA Inputs'!$C$26,N('APA Inputs'!$D$26))),'APA Inputs'!$J$26,0)+IF(N('APA Inputs'!$H$26)&gt;0,IF(I$4=EDATE('APA Inputs'!$C$26,'APA Inputs'!$H$26-1),N('APA Inputs'!$G$26),0),0))*IF('APA Inputs'!$I$26="",1,'APA Inputs'!$I$26))</f>
        <v>0</v>
      </c>
      <c r="J11" s="409" t="n">
        <f aca="false">IF('APA Inputs'!$C$26="",0,(IF(AND(J$4&gt;='APA Inputs'!$C$26,J$4&lt;EDATE('APA Inputs'!$C$26,N('APA Inputs'!$D$26))),'APA Inputs'!$J$26,0)+IF(N('APA Inputs'!$H$26)&gt;0,IF(J$4=EDATE('APA Inputs'!$C$26,'APA Inputs'!$H$26-1),N('APA Inputs'!$G$26),0),0))*IF('APA Inputs'!$I$26="",1,'APA Inputs'!$I$26))</f>
        <v>0</v>
      </c>
      <c r="K11" s="409" t="n">
        <f aca="false">IF('APA Inputs'!$C$26="",0,(IF(AND(K$4&gt;='APA Inputs'!$C$26,K$4&lt;EDATE('APA Inputs'!$C$26,N('APA Inputs'!$D$26))),'APA Inputs'!$J$26,0)+IF(N('APA Inputs'!$H$26)&gt;0,IF(K$4=EDATE('APA Inputs'!$C$26,'APA Inputs'!$H$26-1),N('APA Inputs'!$G$26),0),0))*IF('APA Inputs'!$I$26="",1,'APA Inputs'!$I$26))</f>
        <v>0</v>
      </c>
      <c r="L11" s="409" t="n">
        <f aca="false">IF('APA Inputs'!$C$26="",0,(IF(AND(L$4&gt;='APA Inputs'!$C$26,L$4&lt;EDATE('APA Inputs'!$C$26,N('APA Inputs'!$D$26))),'APA Inputs'!$J$26,0)+IF(N('APA Inputs'!$H$26)&gt;0,IF(L$4=EDATE('APA Inputs'!$C$26,'APA Inputs'!$H$26-1),N('APA Inputs'!$G$26),0),0))*IF('APA Inputs'!$I$26="",1,'APA Inputs'!$I$26))</f>
        <v>0</v>
      </c>
      <c r="M11" s="409" t="n">
        <f aca="false">IF('APA Inputs'!$C$26="",0,(IF(AND(M$4&gt;='APA Inputs'!$C$26,M$4&lt;EDATE('APA Inputs'!$C$26,N('APA Inputs'!$D$26))),'APA Inputs'!$J$26,0)+IF(N('APA Inputs'!$H$26)&gt;0,IF(M$4=EDATE('APA Inputs'!$C$26,'APA Inputs'!$H$26-1),N('APA Inputs'!$G$26),0),0))*IF('APA Inputs'!$I$26="",1,'APA Inputs'!$I$26))</f>
        <v>0</v>
      </c>
      <c r="N11" s="409" t="n">
        <f aca="false">IF('APA Inputs'!$C$26="",0,(IF(AND(N$4&gt;='APA Inputs'!$C$26,N$4&lt;EDATE('APA Inputs'!$C$26,N('APA Inputs'!$D$26))),'APA Inputs'!$J$26,0)+IF(N('APA Inputs'!$H$26)&gt;0,IF(N$4=EDATE('APA Inputs'!$C$26,'APA Inputs'!$H$26-1),N('APA Inputs'!$G$26),0),0))*IF('APA Inputs'!$I$26="",1,'APA Inputs'!$I$26))</f>
        <v>0</v>
      </c>
      <c r="O11" s="409" t="n">
        <f aca="false">IF('APA Inputs'!$C$26="",0,(IF(AND(O$4&gt;='APA Inputs'!$C$26,O$4&lt;EDATE('APA Inputs'!$C$26,N('APA Inputs'!$D$26))),'APA Inputs'!$J$26,0)+IF(N('APA Inputs'!$H$26)&gt;0,IF(O$4=EDATE('APA Inputs'!$C$26,'APA Inputs'!$H$26-1),N('APA Inputs'!$G$26),0),0))*IF('APA Inputs'!$I$26="",1,'APA Inputs'!$I$26))</f>
        <v>0</v>
      </c>
      <c r="P11" s="409" t="n">
        <f aca="false">IF('APA Inputs'!$C$26="",0,(IF(AND(P$4&gt;='APA Inputs'!$C$26,P$4&lt;EDATE('APA Inputs'!$C$26,N('APA Inputs'!$D$26))),'APA Inputs'!$J$26,0)+IF(N('APA Inputs'!$H$26)&gt;0,IF(P$4=EDATE('APA Inputs'!$C$26,'APA Inputs'!$H$26-1),N('APA Inputs'!$G$26),0),0))*IF('APA Inputs'!$I$26="",1,'APA Inputs'!$I$26))</f>
        <v>0</v>
      </c>
      <c r="Q11" s="409" t="n">
        <f aca="false">IF('APA Inputs'!$C$26="",0,(IF(AND(Q$4&gt;='APA Inputs'!$C$26,Q$4&lt;EDATE('APA Inputs'!$C$26,N('APA Inputs'!$D$26))),'APA Inputs'!$J$26,0)+IF(N('APA Inputs'!$H$26)&gt;0,IF(Q$4=EDATE('APA Inputs'!$C$26,'APA Inputs'!$H$26-1),N('APA Inputs'!$G$26),0),0))*IF('APA Inputs'!$I$26="",1,'APA Inputs'!$I$26))</f>
        <v>0</v>
      </c>
      <c r="R11" s="409" t="n">
        <f aca="false">IF('APA Inputs'!$C$26="",0,(IF(AND(R$4&gt;='APA Inputs'!$C$26,R$4&lt;EDATE('APA Inputs'!$C$26,N('APA Inputs'!$D$26))),'APA Inputs'!$J$26,0)+IF(N('APA Inputs'!$H$26)&gt;0,IF(R$4=EDATE('APA Inputs'!$C$26,'APA Inputs'!$H$26-1),N('APA Inputs'!$G$26),0),0))*IF('APA Inputs'!$I$26="",1,'APA Inputs'!$I$26))</f>
        <v>0</v>
      </c>
      <c r="S11" s="409" t="n">
        <f aca="false">IF('APA Inputs'!$C$26="",0,(IF(AND(S$4&gt;='APA Inputs'!$C$26,S$4&lt;EDATE('APA Inputs'!$C$26,N('APA Inputs'!$D$26))),'APA Inputs'!$J$26,0)+IF(N('APA Inputs'!$H$26)&gt;0,IF(S$4=EDATE('APA Inputs'!$C$26,'APA Inputs'!$H$26-1),N('APA Inputs'!$G$26),0),0))*IF('APA Inputs'!$I$26="",1,'APA Inputs'!$I$26))</f>
        <v>0</v>
      </c>
      <c r="T11" s="409" t="n">
        <f aca="false">IF('APA Inputs'!$C$26="",0,(IF(AND(T$4&gt;='APA Inputs'!$C$26,T$4&lt;EDATE('APA Inputs'!$C$26,N('APA Inputs'!$D$26))),'APA Inputs'!$J$26,0)+IF(N('APA Inputs'!$H$26)&gt;0,IF(T$4=EDATE('APA Inputs'!$C$26,'APA Inputs'!$H$26-1),N('APA Inputs'!$G$26),0),0))*IF('APA Inputs'!$I$26="",1,'APA Inputs'!$I$26))</f>
        <v>0</v>
      </c>
      <c r="U11" s="409" t="n">
        <f aca="false">IF('APA Inputs'!$C$26="",0,(IF(AND(U$4&gt;='APA Inputs'!$C$26,U$4&lt;EDATE('APA Inputs'!$C$26,N('APA Inputs'!$D$26))),'APA Inputs'!$J$26,0)+IF(N('APA Inputs'!$H$26)&gt;0,IF(U$4=EDATE('APA Inputs'!$C$26,'APA Inputs'!$H$26-1),N('APA Inputs'!$G$26),0),0))*IF('APA Inputs'!$I$26="",1,'APA Inputs'!$I$26))</f>
        <v>0</v>
      </c>
      <c r="V11" s="409" t="n">
        <f aca="false">IF('APA Inputs'!$C$26="",0,(IF(AND(V$4&gt;='APA Inputs'!$C$26,V$4&lt;EDATE('APA Inputs'!$C$26,N('APA Inputs'!$D$26))),'APA Inputs'!$J$26,0)+IF(N('APA Inputs'!$H$26)&gt;0,IF(V$4=EDATE('APA Inputs'!$C$26,'APA Inputs'!$H$26-1),N('APA Inputs'!$G$26),0),0))*IF('APA Inputs'!$I$26="",1,'APA Inputs'!$I$26))</f>
        <v>0</v>
      </c>
      <c r="W11" s="409" t="n">
        <f aca="false">IF('APA Inputs'!$C$26="",0,(IF(AND(W$4&gt;='APA Inputs'!$C$26,W$4&lt;EDATE('APA Inputs'!$C$26,N('APA Inputs'!$D$26))),'APA Inputs'!$J$26,0)+IF(N('APA Inputs'!$H$26)&gt;0,IF(W$4=EDATE('APA Inputs'!$C$26,'APA Inputs'!$H$26-1),N('APA Inputs'!$G$26),0),0))*IF('APA Inputs'!$I$26="",1,'APA Inputs'!$I$26))</f>
        <v>0</v>
      </c>
      <c r="X11" s="409" t="n">
        <f aca="false">IF('APA Inputs'!$C$26="",0,(IF(AND(X$4&gt;='APA Inputs'!$C$26,X$4&lt;EDATE('APA Inputs'!$C$26,N('APA Inputs'!$D$26))),'APA Inputs'!$J$26,0)+IF(N('APA Inputs'!$H$26)&gt;0,IF(X$4=EDATE('APA Inputs'!$C$26,'APA Inputs'!$H$26-1),N('APA Inputs'!$G$26),0),0))*IF('APA Inputs'!$I$26="",1,'APA Inputs'!$I$26))</f>
        <v>0</v>
      </c>
      <c r="Y11" s="409" t="n">
        <f aca="false">IF('APA Inputs'!$C$26="",0,(IF(AND(Y$4&gt;='APA Inputs'!$C$26,Y$4&lt;EDATE('APA Inputs'!$C$26,N('APA Inputs'!$D$26))),'APA Inputs'!$J$26,0)+IF(N('APA Inputs'!$H$26)&gt;0,IF(Y$4=EDATE('APA Inputs'!$C$26,'APA Inputs'!$H$26-1),N('APA Inputs'!$G$26),0),0))*IF('APA Inputs'!$I$26="",1,'APA Inputs'!$I$26))</f>
        <v>0</v>
      </c>
      <c r="Z11" s="409" t="n">
        <f aca="false">IF('APA Inputs'!$C$26="",0,(IF(AND(Z$4&gt;='APA Inputs'!$C$26,Z$4&lt;EDATE('APA Inputs'!$C$26,N('APA Inputs'!$D$26))),'APA Inputs'!$J$26,0)+IF(N('APA Inputs'!$H$26)&gt;0,IF(Z$4=EDATE('APA Inputs'!$C$26,'APA Inputs'!$H$26-1),N('APA Inputs'!$G$26),0),0))*IF('APA Inputs'!$I$26="",1,'APA Inputs'!$I$26))</f>
        <v>0</v>
      </c>
      <c r="AA11" s="409" t="n">
        <f aca="false">IF('APA Inputs'!$C$26="",0,(IF(AND(AA$4&gt;='APA Inputs'!$C$26,AA$4&lt;EDATE('APA Inputs'!$C$26,N('APA Inputs'!$D$26))),'APA Inputs'!$J$26,0)+IF(N('APA Inputs'!$H$26)&gt;0,IF(AA$4=EDATE('APA Inputs'!$C$26,'APA Inputs'!$H$26-1),N('APA Inputs'!$G$26),0),0))*IF('APA Inputs'!$I$26="",1,'APA Inputs'!$I$26))</f>
        <v>0</v>
      </c>
      <c r="AB11" s="409" t="n">
        <f aca="false">IF('APA Inputs'!$C$26="",0,(IF(AND(AB$4&gt;='APA Inputs'!$C$26,AB$4&lt;EDATE('APA Inputs'!$C$26,N('APA Inputs'!$D$26))),'APA Inputs'!$J$26,0)+IF(N('APA Inputs'!$H$26)&gt;0,IF(AB$4=EDATE('APA Inputs'!$C$26,'APA Inputs'!$H$26-1),N('APA Inputs'!$G$26),0),0))*IF('APA Inputs'!$I$26="",1,'APA Inputs'!$I$26))</f>
        <v>0</v>
      </c>
      <c r="AC11" s="409" t="n">
        <f aca="false">IF('APA Inputs'!$C$26="",0,(IF(AND(AC$4&gt;='APA Inputs'!$C$26,AC$4&lt;EDATE('APA Inputs'!$C$26,N('APA Inputs'!$D$26))),'APA Inputs'!$J$26,0)+IF(N('APA Inputs'!$H$26)&gt;0,IF(AC$4=EDATE('APA Inputs'!$C$26,'APA Inputs'!$H$26-1),N('APA Inputs'!$G$26),0),0))*IF('APA Inputs'!$I$26="",1,'APA Inputs'!$I$26))</f>
        <v>0</v>
      </c>
      <c r="AD11" s="409" t="n">
        <f aca="false">IF('APA Inputs'!$C$26="",0,(IF(AND(AD$4&gt;='APA Inputs'!$C$26,AD$4&lt;EDATE('APA Inputs'!$C$26,N('APA Inputs'!$D$26))),'APA Inputs'!$J$26,0)+IF(N('APA Inputs'!$H$26)&gt;0,IF(AD$4=EDATE('APA Inputs'!$C$26,'APA Inputs'!$H$26-1),N('APA Inputs'!$G$26),0),0))*IF('APA Inputs'!$I$26="",1,'APA Inputs'!$I$26))</f>
        <v>0</v>
      </c>
      <c r="AE11" s="409" t="n">
        <f aca="false">IF('APA Inputs'!$C$26="",0,(IF(AND(AE$4&gt;='APA Inputs'!$C$26,AE$4&lt;EDATE('APA Inputs'!$C$26,N('APA Inputs'!$D$26))),'APA Inputs'!$J$26,0)+IF(N('APA Inputs'!$H$26)&gt;0,IF(AE$4=EDATE('APA Inputs'!$C$26,'APA Inputs'!$H$26-1),N('APA Inputs'!$G$26),0),0))*IF('APA Inputs'!$I$26="",1,'APA Inputs'!$I$26))</f>
        <v>0</v>
      </c>
      <c r="AF11" s="409" t="n">
        <f aca="false">IF('APA Inputs'!$C$26="",0,(IF(AND(AF$4&gt;='APA Inputs'!$C$26,AF$4&lt;EDATE('APA Inputs'!$C$26,N('APA Inputs'!$D$26))),'APA Inputs'!$J$26,0)+IF(N('APA Inputs'!$H$26)&gt;0,IF(AF$4=EDATE('APA Inputs'!$C$26,'APA Inputs'!$H$26-1),N('APA Inputs'!$G$26),0),0))*IF('APA Inputs'!$I$26="",1,'APA Inputs'!$I$26))</f>
        <v>0</v>
      </c>
      <c r="AG11" s="409" t="n">
        <f aca="false">IF('APA Inputs'!$C$26="",0,(IF(AND(AG$4&gt;='APA Inputs'!$C$26,AG$4&lt;EDATE('APA Inputs'!$C$26,N('APA Inputs'!$D$26))),'APA Inputs'!$J$26,0)+IF(N('APA Inputs'!$H$26)&gt;0,IF(AG$4=EDATE('APA Inputs'!$C$26,'APA Inputs'!$H$26-1),N('APA Inputs'!$G$26),0),0))*IF('APA Inputs'!$I$26="",1,'APA Inputs'!$I$26))</f>
        <v>0</v>
      </c>
      <c r="AH11" s="409" t="n">
        <f aca="false">IF('APA Inputs'!$C$26="",0,(IF(AND(AH$4&gt;='APA Inputs'!$C$26,AH$4&lt;EDATE('APA Inputs'!$C$26,N('APA Inputs'!$D$26))),'APA Inputs'!$J$26,0)+IF(N('APA Inputs'!$H$26)&gt;0,IF(AH$4=EDATE('APA Inputs'!$C$26,'APA Inputs'!$H$26-1),N('APA Inputs'!$G$26),0),0))*IF('APA Inputs'!$I$26="",1,'APA Inputs'!$I$26))</f>
        <v>0</v>
      </c>
      <c r="AI11" s="409" t="n">
        <f aca="false">IF('APA Inputs'!$C$26="",0,(IF(AND(AI$4&gt;='APA Inputs'!$C$26,AI$4&lt;EDATE('APA Inputs'!$C$26,N('APA Inputs'!$D$26))),'APA Inputs'!$J$26,0)+IF(N('APA Inputs'!$H$26)&gt;0,IF(AI$4=EDATE('APA Inputs'!$C$26,'APA Inputs'!$H$26-1),N('APA Inputs'!$G$26),0),0))*IF('APA Inputs'!$I$26="",1,'APA Inputs'!$I$26))</f>
        <v>0</v>
      </c>
      <c r="AJ11" s="409" t="n">
        <f aca="false">IF('APA Inputs'!$C$26="",0,(IF(AND(AJ$4&gt;='APA Inputs'!$C$26,AJ$4&lt;EDATE('APA Inputs'!$C$26,N('APA Inputs'!$D$26))),'APA Inputs'!$J$26,0)+IF(N('APA Inputs'!$H$26)&gt;0,IF(AJ$4=EDATE('APA Inputs'!$C$26,'APA Inputs'!$H$26-1),N('APA Inputs'!$G$26),0),0))*IF('APA Inputs'!$I$26="",1,'APA Inputs'!$I$26))</f>
        <v>0</v>
      </c>
      <c r="AK11" s="409" t="n">
        <f aca="false">IF('APA Inputs'!$C$26="",0,(IF(AND(AK$4&gt;='APA Inputs'!$C$26,AK$4&lt;EDATE('APA Inputs'!$C$26,N('APA Inputs'!$D$26))),'APA Inputs'!$J$26,0)+IF(N('APA Inputs'!$H$26)&gt;0,IF(AK$4=EDATE('APA Inputs'!$C$26,'APA Inputs'!$H$26-1),N('APA Inputs'!$G$26),0),0))*IF('APA Inputs'!$I$26="",1,'APA Inputs'!$I$26))</f>
        <v>0</v>
      </c>
      <c r="AL11" s="409" t="n">
        <f aca="false">IF('APA Inputs'!$C$26="",0,(IF(AND(AL$4&gt;='APA Inputs'!$C$26,AL$4&lt;EDATE('APA Inputs'!$C$26,N('APA Inputs'!$D$26))),'APA Inputs'!$J$26,0)+IF(N('APA Inputs'!$H$26)&gt;0,IF(AL$4=EDATE('APA Inputs'!$C$26,'APA Inputs'!$H$26-1),N('APA Inputs'!$G$26),0),0))*IF('APA Inputs'!$I$26="",1,'APA Inputs'!$I$26))</f>
        <v>0</v>
      </c>
      <c r="AM11" s="409" t="n">
        <f aca="false">IF('APA Inputs'!$C$26="",0,(IF(AND(AM$4&gt;='APA Inputs'!$C$26,AM$4&lt;EDATE('APA Inputs'!$C$26,N('APA Inputs'!$D$26))),'APA Inputs'!$J$26,0)+IF(N('APA Inputs'!$H$26)&gt;0,IF(AM$4=EDATE('APA Inputs'!$C$26,'APA Inputs'!$H$26-1),N('APA Inputs'!$G$26),0),0))*IF('APA Inputs'!$I$26="",1,'APA Inputs'!$I$26))</f>
        <v>0</v>
      </c>
      <c r="AN11" s="409" t="n">
        <f aca="false">IF('APA Inputs'!$C$26="",0,(IF(AND(AN$4&gt;='APA Inputs'!$C$26,AN$4&lt;EDATE('APA Inputs'!$C$26,N('APA Inputs'!$D$26))),'APA Inputs'!$J$26,0)+IF(N('APA Inputs'!$H$26)&gt;0,IF(AN$4=EDATE('APA Inputs'!$C$26,'APA Inputs'!$H$26-1),N('APA Inputs'!$G$26),0),0))*IF('APA Inputs'!$I$26="",1,'APA Inputs'!$I$26))</f>
        <v>0</v>
      </c>
      <c r="AO11" s="409" t="n">
        <f aca="false">IF('APA Inputs'!$C$26="",0,(IF(AND(AO$4&gt;='APA Inputs'!$C$26,AO$4&lt;EDATE('APA Inputs'!$C$26,N('APA Inputs'!$D$26))),'APA Inputs'!$J$26,0)+IF(N('APA Inputs'!$H$26)&gt;0,IF(AO$4=EDATE('APA Inputs'!$C$26,'APA Inputs'!$H$26-1),N('APA Inputs'!$G$26),0),0))*IF('APA Inputs'!$I$26="",1,'APA Inputs'!$I$26))</f>
        <v>0</v>
      </c>
      <c r="AP11" s="409" t="n">
        <f aca="false">IF('APA Inputs'!$C$26="",0,(IF(AND(AP$4&gt;='APA Inputs'!$C$26,AP$4&lt;EDATE('APA Inputs'!$C$26,N('APA Inputs'!$D$26))),'APA Inputs'!$J$26,0)+IF(N('APA Inputs'!$H$26)&gt;0,IF(AP$4=EDATE('APA Inputs'!$C$26,'APA Inputs'!$H$26-1),N('APA Inputs'!$G$26),0),0))*IF('APA Inputs'!$I$26="",1,'APA Inputs'!$I$26))</f>
        <v>0</v>
      </c>
      <c r="AQ11" s="409" t="n">
        <f aca="false">IF('APA Inputs'!$C$26="",0,(IF(AND(AQ$4&gt;='APA Inputs'!$C$26,AQ$4&lt;EDATE('APA Inputs'!$C$26,N('APA Inputs'!$D$26))),'APA Inputs'!$J$26,0)+IF(N('APA Inputs'!$H$26)&gt;0,IF(AQ$4=EDATE('APA Inputs'!$C$26,'APA Inputs'!$H$26-1),N('APA Inputs'!$G$26),0),0))*IF('APA Inputs'!$I$26="",1,'APA Inputs'!$I$26))</f>
        <v>0</v>
      </c>
      <c r="AR11" s="409" t="n">
        <f aca="false">IF('APA Inputs'!$C$26="",0,(IF(AND(AR$4&gt;='APA Inputs'!$C$26,AR$4&lt;EDATE('APA Inputs'!$C$26,N('APA Inputs'!$D$26))),'APA Inputs'!$J$26,0)+IF(N('APA Inputs'!$H$26)&gt;0,IF(AR$4=EDATE('APA Inputs'!$C$26,'APA Inputs'!$H$26-1),N('APA Inputs'!$G$26),0),0))*IF('APA Inputs'!$I$26="",1,'APA Inputs'!$I$26))</f>
        <v>0</v>
      </c>
      <c r="AS11" s="409" t="n">
        <f aca="false">IF('APA Inputs'!$C$26="",0,(IF(AND(AS$4&gt;='APA Inputs'!$C$26,AS$4&lt;EDATE('APA Inputs'!$C$26,N('APA Inputs'!$D$26))),'APA Inputs'!$J$26,0)+IF(N('APA Inputs'!$H$26)&gt;0,IF(AS$4=EDATE('APA Inputs'!$C$26,'APA Inputs'!$H$26-1),N('APA Inputs'!$G$26),0),0))*IF('APA Inputs'!$I$26="",1,'APA Inputs'!$I$26))</f>
        <v>0</v>
      </c>
      <c r="AT11" s="409" t="n">
        <f aca="false">IF('APA Inputs'!$C$26="",0,(IF(AND(AT$4&gt;='APA Inputs'!$C$26,AT$4&lt;EDATE('APA Inputs'!$C$26,N('APA Inputs'!$D$26))),'APA Inputs'!$J$26,0)+IF(N('APA Inputs'!$H$26)&gt;0,IF(AT$4=EDATE('APA Inputs'!$C$26,'APA Inputs'!$H$26-1),N('APA Inputs'!$G$26),0),0))*IF('APA Inputs'!$I$26="",1,'APA Inputs'!$I$26))</f>
        <v>0</v>
      </c>
      <c r="AU11" s="409" t="n">
        <f aca="false">IF('APA Inputs'!$C$26="",0,(IF(AND(AU$4&gt;='APA Inputs'!$C$26,AU$4&lt;EDATE('APA Inputs'!$C$26,N('APA Inputs'!$D$26))),'APA Inputs'!$J$26,0)+IF(N('APA Inputs'!$H$26)&gt;0,IF(AU$4=EDATE('APA Inputs'!$C$26,'APA Inputs'!$H$26-1),N('APA Inputs'!$G$26),0),0))*IF('APA Inputs'!$I$26="",1,'APA Inputs'!$I$26))</f>
        <v>0</v>
      </c>
      <c r="AV11" s="409" t="n">
        <f aca="false">IF('APA Inputs'!$C$26="",0,(IF(AND(AV$4&gt;='APA Inputs'!$C$26,AV$4&lt;EDATE('APA Inputs'!$C$26,N('APA Inputs'!$D$26))),'APA Inputs'!$J$26,0)+IF(N('APA Inputs'!$H$26)&gt;0,IF(AV$4=EDATE('APA Inputs'!$C$26,'APA Inputs'!$H$26-1),N('APA Inputs'!$G$26),0),0))*IF('APA Inputs'!$I$26="",1,'APA Inputs'!$I$26))</f>
        <v>0</v>
      </c>
      <c r="AW11" s="409" t="n">
        <f aca="false">IF('APA Inputs'!$C$26="",0,(IF(AND(AW$4&gt;='APA Inputs'!$C$26,AW$4&lt;EDATE('APA Inputs'!$C$26,N('APA Inputs'!$D$26))),'APA Inputs'!$J$26,0)+IF(N('APA Inputs'!$H$26)&gt;0,IF(AW$4=EDATE('APA Inputs'!$C$26,'APA Inputs'!$H$26-1),N('APA Inputs'!$G$26),0),0))*IF('APA Inputs'!$I$26="",1,'APA Inputs'!$I$26))</f>
        <v>0</v>
      </c>
      <c r="AX11" s="409" t="n">
        <f aca="false">IF('APA Inputs'!$C$26="",0,(IF(AND(AX$4&gt;='APA Inputs'!$C$26,AX$4&lt;EDATE('APA Inputs'!$C$26,N('APA Inputs'!$D$26))),'APA Inputs'!$J$26,0)+IF(N('APA Inputs'!$H$26)&gt;0,IF(AX$4=EDATE('APA Inputs'!$C$26,'APA Inputs'!$H$26-1),N('APA Inputs'!$G$26),0),0))*IF('APA Inputs'!$I$26="",1,'APA Inputs'!$I$26))</f>
        <v>0</v>
      </c>
      <c r="AY11" s="409" t="n">
        <f aca="false">IF('APA Inputs'!$C$26="",0,(IF(AND(AY$4&gt;='APA Inputs'!$C$26,AY$4&lt;EDATE('APA Inputs'!$C$26,N('APA Inputs'!$D$26))),'APA Inputs'!$J$26,0)+IF(N('APA Inputs'!$H$26)&gt;0,IF(AY$4=EDATE('APA Inputs'!$C$26,'APA Inputs'!$H$26-1),N('APA Inputs'!$G$26),0),0))*IF('APA Inputs'!$I$26="",1,'APA Inputs'!$I$26))</f>
        <v>0</v>
      </c>
      <c r="AZ11" s="409" t="n">
        <f aca="false">IF('APA Inputs'!$C$26="",0,(IF(AND(AZ$4&gt;='APA Inputs'!$C$26,AZ$4&lt;EDATE('APA Inputs'!$C$26,N('APA Inputs'!$D$26))),'APA Inputs'!$J$26,0)+IF(N('APA Inputs'!$H$26)&gt;0,IF(AZ$4=EDATE('APA Inputs'!$C$26,'APA Inputs'!$H$26-1),N('APA Inputs'!$G$26),0),0))*IF('APA Inputs'!$I$26="",1,'APA Inputs'!$I$26))</f>
        <v>0</v>
      </c>
      <c r="BA11" s="409" t="n">
        <f aca="false">IF('APA Inputs'!$C$26="",0,(IF(AND(BA$4&gt;='APA Inputs'!$C$26,BA$4&lt;EDATE('APA Inputs'!$C$26,N('APA Inputs'!$D$26))),'APA Inputs'!$J$26,0)+IF(N('APA Inputs'!$H$26)&gt;0,IF(BA$4=EDATE('APA Inputs'!$C$26,'APA Inputs'!$H$26-1),N('APA Inputs'!$G$26),0),0))*IF('APA Inputs'!$I$26="",1,'APA Inputs'!$I$26))</f>
        <v>0</v>
      </c>
      <c r="BB11" s="409" t="n">
        <f aca="false">IF('APA Inputs'!$C$26="",0,(IF(AND(BB$4&gt;='APA Inputs'!$C$26,BB$4&lt;EDATE('APA Inputs'!$C$26,N('APA Inputs'!$D$26))),'APA Inputs'!$J$26,0)+IF(N('APA Inputs'!$H$26)&gt;0,IF(BB$4=EDATE('APA Inputs'!$C$26,'APA Inputs'!$H$26-1),N('APA Inputs'!$G$26),0),0))*IF('APA Inputs'!$I$26="",1,'APA Inputs'!$I$26))</f>
        <v>0</v>
      </c>
      <c r="BC11" s="409" t="n">
        <f aca="false">IF('APA Inputs'!$C$26="",0,(IF(AND(BC$4&gt;='APA Inputs'!$C$26,BC$4&lt;EDATE('APA Inputs'!$C$26,N('APA Inputs'!$D$26))),'APA Inputs'!$J$26,0)+IF(N('APA Inputs'!$H$26)&gt;0,IF(BC$4=EDATE('APA Inputs'!$C$26,'APA Inputs'!$H$26-1),N('APA Inputs'!$G$26),0),0))*IF('APA Inputs'!$I$26="",1,'APA Inputs'!$I$26))</f>
        <v>0</v>
      </c>
      <c r="BD11" s="409" t="n">
        <f aca="false">IF('APA Inputs'!$C$26="",0,(IF(AND(BD$4&gt;='APA Inputs'!$C$26,BD$4&lt;EDATE('APA Inputs'!$C$26,N('APA Inputs'!$D$26))),'APA Inputs'!$J$26,0)+IF(N('APA Inputs'!$H$26)&gt;0,IF(BD$4=EDATE('APA Inputs'!$C$26,'APA Inputs'!$H$26-1),N('APA Inputs'!$G$26),0),0))*IF('APA Inputs'!$I$26="",1,'APA Inputs'!$I$26))</f>
        <v>0</v>
      </c>
      <c r="BE11" s="409" t="n">
        <f aca="false">IF('APA Inputs'!$C$26="",0,(IF(AND(BE$4&gt;='APA Inputs'!$C$26,BE$4&lt;EDATE('APA Inputs'!$C$26,N('APA Inputs'!$D$26))),'APA Inputs'!$J$26,0)+IF(N('APA Inputs'!$H$26)&gt;0,IF(BE$4=EDATE('APA Inputs'!$C$26,'APA Inputs'!$H$26-1),N('APA Inputs'!$G$26),0),0))*IF('APA Inputs'!$I$26="",1,'APA Inputs'!$I$26))</f>
        <v>0</v>
      </c>
      <c r="BF11" s="409" t="n">
        <f aca="false">IF('APA Inputs'!$C$26="",0,(IF(AND(BF$4&gt;='APA Inputs'!$C$26,BF$4&lt;EDATE('APA Inputs'!$C$26,N('APA Inputs'!$D$26))),'APA Inputs'!$J$26,0)+IF(N('APA Inputs'!$H$26)&gt;0,IF(BF$4=EDATE('APA Inputs'!$C$26,'APA Inputs'!$H$26-1),N('APA Inputs'!$G$26),0),0))*IF('APA Inputs'!$I$26="",1,'APA Inputs'!$I$26))</f>
        <v>0</v>
      </c>
      <c r="BG11" s="409" t="n">
        <f aca="false">IF('APA Inputs'!$C$26="",0,(IF(AND(BG$4&gt;='APA Inputs'!$C$26,BG$4&lt;EDATE('APA Inputs'!$C$26,N('APA Inputs'!$D$26))),'APA Inputs'!$J$26,0)+IF(N('APA Inputs'!$H$26)&gt;0,IF(BG$4=EDATE('APA Inputs'!$C$26,'APA Inputs'!$H$26-1),N('APA Inputs'!$G$26),0),0))*IF('APA Inputs'!$I$26="",1,'APA Inputs'!$I$26))</f>
        <v>0</v>
      </c>
      <c r="BH11" s="409" t="n">
        <f aca="false">IF('APA Inputs'!$C$26="",0,(IF(AND(BH$4&gt;='APA Inputs'!$C$26,BH$4&lt;EDATE('APA Inputs'!$C$26,N('APA Inputs'!$D$26))),'APA Inputs'!$J$26,0)+IF(N('APA Inputs'!$H$26)&gt;0,IF(BH$4=EDATE('APA Inputs'!$C$26,'APA Inputs'!$H$26-1),N('APA Inputs'!$G$26),0),0))*IF('APA Inputs'!$I$26="",1,'APA Inputs'!$I$26))</f>
        <v>0</v>
      </c>
      <c r="BI11" s="409" t="n">
        <f aca="false">IF('APA Inputs'!$C$26="",0,(IF(AND(BI$4&gt;='APA Inputs'!$C$26,BI$4&lt;EDATE('APA Inputs'!$C$26,N('APA Inputs'!$D$26))),'APA Inputs'!$J$26,0)+IF(N('APA Inputs'!$H$26)&gt;0,IF(BI$4=EDATE('APA Inputs'!$C$26,'APA Inputs'!$H$26-1),N('APA Inputs'!$G$26),0),0))*IF('APA Inputs'!$I$26="",1,'APA Inputs'!$I$26))</f>
        <v>0</v>
      </c>
      <c r="BJ11" s="409" t="n">
        <f aca="false">IF('APA Inputs'!$C$26="",0,(IF(AND(BJ$4&gt;='APA Inputs'!$C$26,BJ$4&lt;EDATE('APA Inputs'!$C$26,N('APA Inputs'!$D$26))),'APA Inputs'!$J$26,0)+IF(N('APA Inputs'!$H$26)&gt;0,IF(BJ$4=EDATE('APA Inputs'!$C$26,'APA Inputs'!$H$26-1),N('APA Inputs'!$G$26),0),0))*IF('APA Inputs'!$I$26="",1,'APA Inputs'!$I$26))</f>
        <v>0</v>
      </c>
      <c r="BK11" s="409" t="n">
        <f aca="false">IF('APA Inputs'!$C$26="",0,(IF(AND(BK$4&gt;='APA Inputs'!$C$26,BK$4&lt;EDATE('APA Inputs'!$C$26,N('APA Inputs'!$D$26))),'APA Inputs'!$J$26,0)+IF(N('APA Inputs'!$H$26)&gt;0,IF(BK$4=EDATE('APA Inputs'!$C$26,'APA Inputs'!$H$26-1),N('APA Inputs'!$G$26),0),0))*IF('APA Inputs'!$I$26="",1,'APA Inputs'!$I$26))</f>
        <v>0</v>
      </c>
      <c r="BL11" s="409" t="n">
        <f aca="false">IF('APA Inputs'!$C$26="",0,(IF(AND(BL$4&gt;='APA Inputs'!$C$26,BL$4&lt;EDATE('APA Inputs'!$C$26,N('APA Inputs'!$D$26))),'APA Inputs'!$J$26,0)+IF(N('APA Inputs'!$H$26)&gt;0,IF(BL$4=EDATE('APA Inputs'!$C$26,'APA Inputs'!$H$26-1),N('APA Inputs'!$G$26),0),0))*IF('APA Inputs'!$I$26="",1,'APA Inputs'!$I$26))</f>
        <v>0</v>
      </c>
      <c r="BM11" s="409" t="n">
        <f aca="false">IF('APA Inputs'!$C$26="",0,(IF(AND(BM$4&gt;='APA Inputs'!$C$26,BM$4&lt;EDATE('APA Inputs'!$C$26,N('APA Inputs'!$D$26))),'APA Inputs'!$J$26,0)+IF(N('APA Inputs'!$H$26)&gt;0,IF(BM$4=EDATE('APA Inputs'!$C$26,'APA Inputs'!$H$26-1),N('APA Inputs'!$G$26),0),0))*IF('APA Inputs'!$I$26="",1,'APA Inputs'!$I$26))</f>
        <v>0</v>
      </c>
      <c r="BN11" s="409" t="n">
        <f aca="false">IF('APA Inputs'!$C$26="",0,(IF(AND(BN$4&gt;='APA Inputs'!$C$26,BN$4&lt;EDATE('APA Inputs'!$C$26,N('APA Inputs'!$D$26))),'APA Inputs'!$J$26,0)+IF(N('APA Inputs'!$H$26)&gt;0,IF(BN$4=EDATE('APA Inputs'!$C$26,'APA Inputs'!$H$26-1),N('APA Inputs'!$G$26),0),0))*IF('APA Inputs'!$I$26="",1,'APA Inputs'!$I$26))</f>
        <v>0</v>
      </c>
      <c r="BO11" s="409" t="n">
        <f aca="false">IF('APA Inputs'!$C$26="",0,(IF(AND(BO$4&gt;='APA Inputs'!$C$26,BO$4&lt;EDATE('APA Inputs'!$C$26,N('APA Inputs'!$D$26))),'APA Inputs'!$J$26,0)+IF(N('APA Inputs'!$H$26)&gt;0,IF(BO$4=EDATE('APA Inputs'!$C$26,'APA Inputs'!$H$26-1),N('APA Inputs'!$G$26),0),0))*IF('APA Inputs'!$I$26="",1,'APA Inputs'!$I$26))</f>
        <v>0</v>
      </c>
      <c r="BP11" s="409" t="n">
        <f aca="false">IF('APA Inputs'!$C$26="",0,(IF(AND(BP$4&gt;='APA Inputs'!$C$26,BP$4&lt;EDATE('APA Inputs'!$C$26,N('APA Inputs'!$D$26))),'APA Inputs'!$J$26,0)+IF(N('APA Inputs'!$H$26)&gt;0,IF(BP$4=EDATE('APA Inputs'!$C$26,'APA Inputs'!$H$26-1),N('APA Inputs'!$G$26),0),0))*IF('APA Inputs'!$I$26="",1,'APA Inputs'!$I$26))</f>
        <v>0</v>
      </c>
      <c r="BQ11" s="409" t="n">
        <f aca="false">IF('APA Inputs'!$C$26="",0,(IF(AND(BQ$4&gt;='APA Inputs'!$C$26,BQ$4&lt;EDATE('APA Inputs'!$C$26,N('APA Inputs'!$D$26))),'APA Inputs'!$J$26,0)+IF(N('APA Inputs'!$H$26)&gt;0,IF(BQ$4=EDATE('APA Inputs'!$C$26,'APA Inputs'!$H$26-1),N('APA Inputs'!$G$26),0),0))*IF('APA Inputs'!$I$26="",1,'APA Inputs'!$I$26))</f>
        <v>0</v>
      </c>
      <c r="BR11" s="409" t="n">
        <f aca="false">IF('APA Inputs'!$C$26="",0,(IF(AND(BR$4&gt;='APA Inputs'!$C$26,BR$4&lt;EDATE('APA Inputs'!$C$26,N('APA Inputs'!$D$26))),'APA Inputs'!$J$26,0)+IF(N('APA Inputs'!$H$26)&gt;0,IF(BR$4=EDATE('APA Inputs'!$C$26,'APA Inputs'!$H$26-1),N('APA Inputs'!$G$26),0),0))*IF('APA Inputs'!$I$26="",1,'APA Inputs'!$I$26))</f>
        <v>0</v>
      </c>
      <c r="BS11" s="409" t="n">
        <f aca="false">IF('APA Inputs'!$C$26="",0,(IF(AND(BS$4&gt;='APA Inputs'!$C$26,BS$4&lt;EDATE('APA Inputs'!$C$26,N('APA Inputs'!$D$26))),'APA Inputs'!$J$26,0)+IF(N('APA Inputs'!$H$26)&gt;0,IF(BS$4=EDATE('APA Inputs'!$C$26,'APA Inputs'!$H$26-1),N('APA Inputs'!$G$26),0),0))*IF('APA Inputs'!$I$26="",1,'APA Inputs'!$I$26))</f>
        <v>0</v>
      </c>
      <c r="BT11" s="409" t="n">
        <f aca="false">IF('APA Inputs'!$C$26="",0,(IF(AND(BT$4&gt;='APA Inputs'!$C$26,BT$4&lt;EDATE('APA Inputs'!$C$26,N('APA Inputs'!$D$26))),'APA Inputs'!$J$26,0)+IF(N('APA Inputs'!$H$26)&gt;0,IF(BT$4=EDATE('APA Inputs'!$C$26,'APA Inputs'!$H$26-1),N('APA Inputs'!$G$26),0),0))*IF('APA Inputs'!$I$26="",1,'APA Inputs'!$I$26))</f>
        <v>0</v>
      </c>
      <c r="BU11" s="409" t="n">
        <f aca="false">IF('APA Inputs'!$C$26="",0,(IF(AND(BU$4&gt;='APA Inputs'!$C$26,BU$4&lt;EDATE('APA Inputs'!$C$26,N('APA Inputs'!$D$26))),'APA Inputs'!$J$26,0)+IF(N('APA Inputs'!$H$26)&gt;0,IF(BU$4=EDATE('APA Inputs'!$C$26,'APA Inputs'!$H$26-1),N('APA Inputs'!$G$26),0),0))*IF('APA Inputs'!$I$26="",1,'APA Inputs'!$I$26))</f>
        <v>0</v>
      </c>
      <c r="BV11" s="409" t="n">
        <f aca="false">IF('APA Inputs'!$C$26="",0,(IF(AND(BV$4&gt;='APA Inputs'!$C$26,BV$4&lt;EDATE('APA Inputs'!$C$26,N('APA Inputs'!$D$26))),'APA Inputs'!$J$26,0)+IF(N('APA Inputs'!$H$26)&gt;0,IF(BV$4=EDATE('APA Inputs'!$C$26,'APA Inputs'!$H$26-1),N('APA Inputs'!$G$26),0),0))*IF('APA Inputs'!$I$26="",1,'APA Inputs'!$I$26))</f>
        <v>0</v>
      </c>
      <c r="BW11" s="409" t="n">
        <f aca="false">IF('APA Inputs'!$C$26="",0,(IF(AND(BW$4&gt;='APA Inputs'!$C$26,BW$4&lt;EDATE('APA Inputs'!$C$26,N('APA Inputs'!$D$26))),'APA Inputs'!$J$26,0)+IF(N('APA Inputs'!$H$26)&gt;0,IF(BW$4=EDATE('APA Inputs'!$C$26,'APA Inputs'!$H$26-1),N('APA Inputs'!$G$26),0),0))*IF('APA Inputs'!$I$26="",1,'APA Inputs'!$I$26))</f>
        <v>0</v>
      </c>
      <c r="BX11" s="409" t="n">
        <f aca="false">IF('APA Inputs'!$C$26="",0,(IF(AND(BX$4&gt;='APA Inputs'!$C$26,BX$4&lt;EDATE('APA Inputs'!$C$26,N('APA Inputs'!$D$26))),'APA Inputs'!$J$26,0)+IF(N('APA Inputs'!$H$26)&gt;0,IF(BX$4=EDATE('APA Inputs'!$C$26,'APA Inputs'!$H$26-1),N('APA Inputs'!$G$26),0),0))*IF('APA Inputs'!$I$26="",1,'APA Inputs'!$I$26))</f>
        <v>0</v>
      </c>
      <c r="BY11" s="409" t="n">
        <f aca="false">IF('APA Inputs'!$C$26="",0,(IF(AND(BY$4&gt;='APA Inputs'!$C$26,BY$4&lt;EDATE('APA Inputs'!$C$26,N('APA Inputs'!$D$26))),'APA Inputs'!$J$26,0)+IF(N('APA Inputs'!$H$26)&gt;0,IF(BY$4=EDATE('APA Inputs'!$C$26,'APA Inputs'!$H$26-1),N('APA Inputs'!$G$26),0),0))*IF('APA Inputs'!$I$26="",1,'APA Inputs'!$I$26))</f>
        <v>0</v>
      </c>
      <c r="BZ11" s="409" t="n">
        <f aca="false">IF('APA Inputs'!$C$26="",0,(IF(AND(BZ$4&gt;='APA Inputs'!$C$26,BZ$4&lt;EDATE('APA Inputs'!$C$26,N('APA Inputs'!$D$26))),'APA Inputs'!$J$26,0)+IF(N('APA Inputs'!$H$26)&gt;0,IF(BZ$4=EDATE('APA Inputs'!$C$26,'APA Inputs'!$H$26-1),N('APA Inputs'!$G$26),0),0))*IF('APA Inputs'!$I$26="",1,'APA Inputs'!$I$26))</f>
        <v>0</v>
      </c>
      <c r="CA11" s="409" t="n">
        <f aca="false">IF('APA Inputs'!$C$26="",0,(IF(AND(CA$4&gt;='APA Inputs'!$C$26,CA$4&lt;EDATE('APA Inputs'!$C$26,N('APA Inputs'!$D$26))),'APA Inputs'!$J$26,0)+IF(N('APA Inputs'!$H$26)&gt;0,IF(CA$4=EDATE('APA Inputs'!$C$26,'APA Inputs'!$H$26-1),N('APA Inputs'!$G$26),0),0))*IF('APA Inputs'!$I$26="",1,'APA Inputs'!$I$26))</f>
        <v>0</v>
      </c>
      <c r="CB11" s="409" t="n">
        <f aca="false">IF('APA Inputs'!$C$26="",0,(IF(AND(CB$4&gt;='APA Inputs'!$C$26,CB$4&lt;EDATE('APA Inputs'!$C$26,N('APA Inputs'!$D$26))),'APA Inputs'!$J$26,0)+IF(N('APA Inputs'!$H$26)&gt;0,IF(CB$4=EDATE('APA Inputs'!$C$26,'APA Inputs'!$H$26-1),N('APA Inputs'!$G$26),0),0))*IF('APA Inputs'!$I$26="",1,'APA Inputs'!$I$26))</f>
        <v>0</v>
      </c>
      <c r="CC11" s="409" t="n">
        <f aca="false">IF('APA Inputs'!$C$26="",0,(IF(AND(CC$4&gt;='APA Inputs'!$C$26,CC$4&lt;EDATE('APA Inputs'!$C$26,N('APA Inputs'!$D$26))),'APA Inputs'!$J$26,0)+IF(N('APA Inputs'!$H$26)&gt;0,IF(CC$4=EDATE('APA Inputs'!$C$26,'APA Inputs'!$H$26-1),N('APA Inputs'!$G$26),0),0))*IF('APA Inputs'!$I$26="",1,'APA Inputs'!$I$26))</f>
        <v>0</v>
      </c>
      <c r="CD11" s="409" t="n">
        <f aca="false">IF('APA Inputs'!$C$26="",0,(IF(AND(CD$4&gt;='APA Inputs'!$C$26,CD$4&lt;EDATE('APA Inputs'!$C$26,N('APA Inputs'!$D$26))),'APA Inputs'!$J$26,0)+IF(N('APA Inputs'!$H$26)&gt;0,IF(CD$4=EDATE('APA Inputs'!$C$26,'APA Inputs'!$H$26-1),N('APA Inputs'!$G$26),0),0))*IF('APA Inputs'!$I$26="",1,'APA Inputs'!$I$26))</f>
        <v>0</v>
      </c>
      <c r="CE11" s="409" t="n">
        <f aca="false">IF('APA Inputs'!$C$26="",0,(IF(AND(CE$4&gt;='APA Inputs'!$C$26,CE$4&lt;EDATE('APA Inputs'!$C$26,N('APA Inputs'!$D$26))),'APA Inputs'!$J$26,0)+IF(N('APA Inputs'!$H$26)&gt;0,IF(CE$4=EDATE('APA Inputs'!$C$26,'APA Inputs'!$H$26-1),N('APA Inputs'!$G$26),0),0))*IF('APA Inputs'!$I$26="",1,'APA Inputs'!$I$26))</f>
        <v>0</v>
      </c>
      <c r="CF11" s="409" t="n">
        <f aca="false">IF('APA Inputs'!$C$26="",0,(IF(AND(CF$4&gt;='APA Inputs'!$C$26,CF$4&lt;EDATE('APA Inputs'!$C$26,N('APA Inputs'!$D$26))),'APA Inputs'!$J$26,0)+IF(N('APA Inputs'!$H$26)&gt;0,IF(CF$4=EDATE('APA Inputs'!$C$26,'APA Inputs'!$H$26-1),N('APA Inputs'!$G$26),0),0))*IF('APA Inputs'!$I$26="",1,'APA Inputs'!$I$26))</f>
        <v>0</v>
      </c>
      <c r="CG11" s="409" t="n">
        <f aca="false">IF('APA Inputs'!$C$26="",0,(IF(AND(CG$4&gt;='APA Inputs'!$C$26,CG$4&lt;EDATE('APA Inputs'!$C$26,N('APA Inputs'!$D$26))),'APA Inputs'!$J$26,0)+IF(N('APA Inputs'!$H$26)&gt;0,IF(CG$4=EDATE('APA Inputs'!$C$26,'APA Inputs'!$H$26-1),N('APA Inputs'!$G$26),0),0))*IF('APA Inputs'!$I$26="",1,'APA Inputs'!$I$26))</f>
        <v>0</v>
      </c>
      <c r="CH11" s="409" t="n">
        <f aca="false">IF('APA Inputs'!$C$26="",0,(IF(AND(CH$4&gt;='APA Inputs'!$C$26,CH$4&lt;EDATE('APA Inputs'!$C$26,N('APA Inputs'!$D$26))),'APA Inputs'!$J$26,0)+IF(N('APA Inputs'!$H$26)&gt;0,IF(CH$4=EDATE('APA Inputs'!$C$26,'APA Inputs'!$H$26-1),N('APA Inputs'!$G$26),0),0))*IF('APA Inputs'!$I$26="",1,'APA Inputs'!$I$26))</f>
        <v>0</v>
      </c>
      <c r="CI11" s="409" t="n">
        <f aca="false">IF('APA Inputs'!$C$26="",0,(IF(AND(CI$4&gt;='APA Inputs'!$C$26,CI$4&lt;EDATE('APA Inputs'!$C$26,N('APA Inputs'!$D$26))),'APA Inputs'!$J$26,0)+IF(N('APA Inputs'!$H$26)&gt;0,IF(CI$4=EDATE('APA Inputs'!$C$26,'APA Inputs'!$H$26-1),N('APA Inputs'!$G$26),0),0))*IF('APA Inputs'!$I$26="",1,'APA Inputs'!$I$26))</f>
        <v>0</v>
      </c>
      <c r="CJ11" s="409" t="n">
        <f aca="false">IF('APA Inputs'!$C$26="",0,(IF(AND(CJ$4&gt;='APA Inputs'!$C$26,CJ$4&lt;EDATE('APA Inputs'!$C$26,N('APA Inputs'!$D$26))),'APA Inputs'!$J$26,0)+IF(N('APA Inputs'!$H$26)&gt;0,IF(CJ$4=EDATE('APA Inputs'!$C$26,'APA Inputs'!$H$26-1),N('APA Inputs'!$G$26),0),0))*IF('APA Inputs'!$I$26="",1,'APA Inputs'!$I$26))</f>
        <v>0</v>
      </c>
      <c r="CK11" s="409" t="n">
        <f aca="false">IF('APA Inputs'!$C$26="",0,(IF(AND(CK$4&gt;='APA Inputs'!$C$26,CK$4&lt;EDATE('APA Inputs'!$C$26,N('APA Inputs'!$D$26))),'APA Inputs'!$J$26,0)+IF(N('APA Inputs'!$H$26)&gt;0,IF(CK$4=EDATE('APA Inputs'!$C$26,'APA Inputs'!$H$26-1),N('APA Inputs'!$G$26),0),0))*IF('APA Inputs'!$I$26="",1,'APA Inputs'!$I$26))</f>
        <v>0</v>
      </c>
      <c r="CL11" s="409" t="n">
        <f aca="false">IF('APA Inputs'!$C$26="",0,(IF(AND(CL$4&gt;='APA Inputs'!$C$26,CL$4&lt;EDATE('APA Inputs'!$C$26,N('APA Inputs'!$D$26))),'APA Inputs'!$J$26,0)+IF(N('APA Inputs'!$H$26)&gt;0,IF(CL$4=EDATE('APA Inputs'!$C$26,'APA Inputs'!$H$26-1),N('APA Inputs'!$G$26),0),0))*IF('APA Inputs'!$I$26="",1,'APA Inputs'!$I$26))</f>
        <v>0</v>
      </c>
      <c r="CM11" s="409" t="n">
        <f aca="false">IF('APA Inputs'!$C$26="",0,(IF(AND(CM$4&gt;='APA Inputs'!$C$26,CM$4&lt;EDATE('APA Inputs'!$C$26,N('APA Inputs'!$D$26))),'APA Inputs'!$J$26,0)+IF(N('APA Inputs'!$H$26)&gt;0,IF(CM$4=EDATE('APA Inputs'!$C$26,'APA Inputs'!$H$26-1),N('APA Inputs'!$G$26),0),0))*IF('APA Inputs'!$I$26="",1,'APA Inputs'!$I$26))</f>
        <v>0</v>
      </c>
      <c r="CN11" s="409" t="n">
        <f aca="false">IF('APA Inputs'!$C$26="",0,(IF(AND(CN$4&gt;='APA Inputs'!$C$26,CN$4&lt;EDATE('APA Inputs'!$C$26,N('APA Inputs'!$D$26))),'APA Inputs'!$J$26,0)+IF(N('APA Inputs'!$H$26)&gt;0,IF(CN$4=EDATE('APA Inputs'!$C$26,'APA Inputs'!$H$26-1),N('APA Inputs'!$G$26),0),0))*IF('APA Inputs'!$I$26="",1,'APA Inputs'!$I$26))</f>
        <v>0</v>
      </c>
      <c r="CO11" s="409" t="n">
        <f aca="false">IF('APA Inputs'!$C$26="",0,(IF(AND(CO$4&gt;='APA Inputs'!$C$26,CO$4&lt;EDATE('APA Inputs'!$C$26,N('APA Inputs'!$D$26))),'APA Inputs'!$J$26,0)+IF(N('APA Inputs'!$H$26)&gt;0,IF(CO$4=EDATE('APA Inputs'!$C$26,'APA Inputs'!$H$26-1),N('APA Inputs'!$G$26),0),0))*IF('APA Inputs'!$I$26="",1,'APA Inputs'!$I$26))</f>
        <v>0</v>
      </c>
      <c r="CP11" s="409" t="n">
        <f aca="false">IF('APA Inputs'!$C$26="",0,(IF(AND(CP$4&gt;='APA Inputs'!$C$26,CP$4&lt;EDATE('APA Inputs'!$C$26,N('APA Inputs'!$D$26))),'APA Inputs'!$J$26,0)+IF(N('APA Inputs'!$H$26)&gt;0,IF(CP$4=EDATE('APA Inputs'!$C$26,'APA Inputs'!$H$26-1),N('APA Inputs'!$G$26),0),0))*IF('APA Inputs'!$I$26="",1,'APA Inputs'!$I$26))</f>
        <v>0</v>
      </c>
      <c r="CQ11" s="409" t="n">
        <f aca="false">IF('APA Inputs'!$C$26="",0,(IF(AND(CQ$4&gt;='APA Inputs'!$C$26,CQ$4&lt;EDATE('APA Inputs'!$C$26,N('APA Inputs'!$D$26))),'APA Inputs'!$J$26,0)+IF(N('APA Inputs'!$H$26)&gt;0,IF(CQ$4=EDATE('APA Inputs'!$C$26,'APA Inputs'!$H$26-1),N('APA Inputs'!$G$26),0),0))*IF('APA Inputs'!$I$26="",1,'APA Inputs'!$I$26))</f>
        <v>0</v>
      </c>
      <c r="CR11" s="409" t="n">
        <f aca="false">IF('APA Inputs'!$C$26="",0,(IF(AND(CR$4&gt;='APA Inputs'!$C$26,CR$4&lt;EDATE('APA Inputs'!$C$26,N('APA Inputs'!$D$26))),'APA Inputs'!$J$26,0)+IF(N('APA Inputs'!$H$26)&gt;0,IF(CR$4=EDATE('APA Inputs'!$C$26,'APA Inputs'!$H$26-1),N('APA Inputs'!$G$26),0),0))*IF('APA Inputs'!$I$26="",1,'APA Inputs'!$I$26))</f>
        <v>0</v>
      </c>
      <c r="CS11" s="409" t="n">
        <f aca="false">IF('APA Inputs'!$C$26="",0,(IF(AND(CS$4&gt;='APA Inputs'!$C$26,CS$4&lt;EDATE('APA Inputs'!$C$26,N('APA Inputs'!$D$26))),'APA Inputs'!$J$26,0)+IF(N('APA Inputs'!$H$26)&gt;0,IF(CS$4=EDATE('APA Inputs'!$C$26,'APA Inputs'!$H$26-1),N('APA Inputs'!$G$26),0),0))*IF('APA Inputs'!$I$26="",1,'APA Inputs'!$I$26))</f>
        <v>0</v>
      </c>
      <c r="CT11" s="409" t="n">
        <f aca="false">IF('APA Inputs'!$C$26="",0,(IF(AND(CT$4&gt;='APA Inputs'!$C$26,CT$4&lt;EDATE('APA Inputs'!$C$26,N('APA Inputs'!$D$26))),'APA Inputs'!$J$26,0)+IF(N('APA Inputs'!$H$26)&gt;0,IF(CT$4=EDATE('APA Inputs'!$C$26,'APA Inputs'!$H$26-1),N('APA Inputs'!$G$26),0),0))*IF('APA Inputs'!$I$26="",1,'APA Inputs'!$I$26))</f>
        <v>0</v>
      </c>
      <c r="CU11" s="409" t="n">
        <f aca="false">IF('APA Inputs'!$C$26="",0,(IF(AND(CU$4&gt;='APA Inputs'!$C$26,CU$4&lt;EDATE('APA Inputs'!$C$26,N('APA Inputs'!$D$26))),'APA Inputs'!$J$26,0)+IF(N('APA Inputs'!$H$26)&gt;0,IF(CU$4=EDATE('APA Inputs'!$C$26,'APA Inputs'!$H$26-1),N('APA Inputs'!$G$26),0),0))*IF('APA Inputs'!$I$26="",1,'APA Inputs'!$I$26))</f>
        <v>0</v>
      </c>
      <c r="CV11" s="409" t="n">
        <f aca="false">IF('APA Inputs'!$C$26="",0,(IF(AND(CV$4&gt;='APA Inputs'!$C$26,CV$4&lt;EDATE('APA Inputs'!$C$26,N('APA Inputs'!$D$26))),'APA Inputs'!$J$26,0)+IF(N('APA Inputs'!$H$26)&gt;0,IF(CV$4=EDATE('APA Inputs'!$C$26,'APA Inputs'!$H$26-1),N('APA Inputs'!$G$26),0),0))*IF('APA Inputs'!$I$26="",1,'APA Inputs'!$I$26))</f>
        <v>0</v>
      </c>
      <c r="CW11" s="409" t="n">
        <f aca="false">IF('APA Inputs'!$C$26="",0,(IF(AND(CW$4&gt;='APA Inputs'!$C$26,CW$4&lt;EDATE('APA Inputs'!$C$26,N('APA Inputs'!$D$26))),'APA Inputs'!$J$26,0)+IF(N('APA Inputs'!$H$26)&gt;0,IF(CW$4=EDATE('APA Inputs'!$C$26,'APA Inputs'!$H$26-1),N('APA Inputs'!$G$26),0),0))*IF('APA Inputs'!$I$26="",1,'APA Inputs'!$I$26))</f>
        <v>0</v>
      </c>
      <c r="CX11" s="409" t="n">
        <f aca="false">IF('APA Inputs'!$C$26="",0,(IF(AND(CX$4&gt;='APA Inputs'!$C$26,CX$4&lt;EDATE('APA Inputs'!$C$26,N('APA Inputs'!$D$26))),'APA Inputs'!$J$26,0)+IF(N('APA Inputs'!$H$26)&gt;0,IF(CX$4=EDATE('APA Inputs'!$C$26,'APA Inputs'!$H$26-1),N('APA Inputs'!$G$26),0),0))*IF('APA Inputs'!$I$26="",1,'APA Inputs'!$I$26))</f>
        <v>0</v>
      </c>
      <c r="CY11" s="409" t="n">
        <f aca="false">IF('APA Inputs'!$C$26="",0,(IF(AND(CY$4&gt;='APA Inputs'!$C$26,CY$4&lt;EDATE('APA Inputs'!$C$26,N('APA Inputs'!$D$26))),'APA Inputs'!$J$26,0)+IF(N('APA Inputs'!$H$26)&gt;0,IF(CY$4=EDATE('APA Inputs'!$C$26,'APA Inputs'!$H$26-1),N('APA Inputs'!$G$26),0),0))*IF('APA Inputs'!$I$26="",1,'APA Inputs'!$I$26))</f>
        <v>0</v>
      </c>
      <c r="CZ11" s="409" t="n">
        <f aca="false">IF('APA Inputs'!$C$26="",0,(IF(AND(CZ$4&gt;='APA Inputs'!$C$26,CZ$4&lt;EDATE('APA Inputs'!$C$26,N('APA Inputs'!$D$26))),'APA Inputs'!$J$26,0)+IF(N('APA Inputs'!$H$26)&gt;0,IF(CZ$4=EDATE('APA Inputs'!$C$26,'APA Inputs'!$H$26-1),N('APA Inputs'!$G$26),0),0))*IF('APA Inputs'!$I$26="",1,'APA Inputs'!$I$26))</f>
        <v>0</v>
      </c>
      <c r="DA11" s="409" t="n">
        <f aca="false">IF('APA Inputs'!$C$26="",0,(IF(AND(DA$4&gt;='APA Inputs'!$C$26,DA$4&lt;EDATE('APA Inputs'!$C$26,N('APA Inputs'!$D$26))),'APA Inputs'!$J$26,0)+IF(N('APA Inputs'!$H$26)&gt;0,IF(DA$4=EDATE('APA Inputs'!$C$26,'APA Inputs'!$H$26-1),N('APA Inputs'!$G$26),0),0))*IF('APA Inputs'!$I$26="",1,'APA Inputs'!$I$26))</f>
        <v>0</v>
      </c>
      <c r="DB11" s="409" t="n">
        <f aca="false">IF('APA Inputs'!$C$26="",0,(IF(AND(DB$4&gt;='APA Inputs'!$C$26,DB$4&lt;EDATE('APA Inputs'!$C$26,N('APA Inputs'!$D$26))),'APA Inputs'!$J$26,0)+IF(N('APA Inputs'!$H$26)&gt;0,IF(DB$4=EDATE('APA Inputs'!$C$26,'APA Inputs'!$H$26-1),N('APA Inputs'!$G$26),0),0))*IF('APA Inputs'!$I$26="",1,'APA Inputs'!$I$26))</f>
        <v>0</v>
      </c>
      <c r="DC11" s="409" t="n">
        <f aca="false">IF('APA Inputs'!$C$26="",0,(IF(AND(DC$4&gt;='APA Inputs'!$C$26,DC$4&lt;EDATE('APA Inputs'!$C$26,N('APA Inputs'!$D$26))),'APA Inputs'!$J$26,0)+IF(N('APA Inputs'!$H$26)&gt;0,IF(DC$4=EDATE('APA Inputs'!$C$26,'APA Inputs'!$H$26-1),N('APA Inputs'!$G$26),0),0))*IF('APA Inputs'!$I$26="",1,'APA Inputs'!$I$26))</f>
        <v>0</v>
      </c>
      <c r="DD11" s="409" t="n">
        <f aca="false">IF('APA Inputs'!$C$26="",0,(IF(AND(DD$4&gt;='APA Inputs'!$C$26,DD$4&lt;EDATE('APA Inputs'!$C$26,N('APA Inputs'!$D$26))),'APA Inputs'!$J$26,0)+IF(N('APA Inputs'!$H$26)&gt;0,IF(DD$4=EDATE('APA Inputs'!$C$26,'APA Inputs'!$H$26-1),N('APA Inputs'!$G$26),0),0))*IF('APA Inputs'!$I$26="",1,'APA Inputs'!$I$26))</f>
        <v>0</v>
      </c>
      <c r="DE11" s="409"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09" t="n">
        <f aca="false">IF('APA Inputs'!$C$27="",0,(IF(AND(B$4&gt;='APA Inputs'!$C$27,B$4&lt;EDATE('APA Inputs'!$C$27,N('APA Inputs'!$D$27))),'APA Inputs'!$J$27,0)+IF(N('APA Inputs'!$H$27)&gt;0,IF(B$4=EDATE('APA Inputs'!$C$27,'APA Inputs'!$H$27-1),N('APA Inputs'!$G$27),0),0))*IF('APA Inputs'!$I$27="",1,'APA Inputs'!$I$27))</f>
        <v>0</v>
      </c>
      <c r="C12" s="409" t="n">
        <f aca="false">IF('APA Inputs'!$C$27="",0,(IF(AND(C$4&gt;='APA Inputs'!$C$27,C$4&lt;EDATE('APA Inputs'!$C$27,N('APA Inputs'!$D$27))),'APA Inputs'!$J$27,0)+IF(N('APA Inputs'!$H$27)&gt;0,IF(C$4=EDATE('APA Inputs'!$C$27,'APA Inputs'!$H$27-1),N('APA Inputs'!$G$27),0),0))*IF('APA Inputs'!$I$27="",1,'APA Inputs'!$I$27))</f>
        <v>0</v>
      </c>
      <c r="D12" s="409" t="n">
        <f aca="false">IF('APA Inputs'!$C$27="",0,(IF(AND(D$4&gt;='APA Inputs'!$C$27,D$4&lt;EDATE('APA Inputs'!$C$27,N('APA Inputs'!$D$27))),'APA Inputs'!$J$27,0)+IF(N('APA Inputs'!$H$27)&gt;0,IF(D$4=EDATE('APA Inputs'!$C$27,'APA Inputs'!$H$27-1),N('APA Inputs'!$G$27),0),0))*IF('APA Inputs'!$I$27="",1,'APA Inputs'!$I$27))</f>
        <v>0</v>
      </c>
      <c r="E12" s="409" t="n">
        <f aca="false">IF('APA Inputs'!$C$27="",0,(IF(AND(E$4&gt;='APA Inputs'!$C$27,E$4&lt;EDATE('APA Inputs'!$C$27,N('APA Inputs'!$D$27))),'APA Inputs'!$J$27,0)+IF(N('APA Inputs'!$H$27)&gt;0,IF(E$4=EDATE('APA Inputs'!$C$27,'APA Inputs'!$H$27-1),N('APA Inputs'!$G$27),0),0))*IF('APA Inputs'!$I$27="",1,'APA Inputs'!$I$27))</f>
        <v>0</v>
      </c>
      <c r="F12" s="409" t="n">
        <f aca="false">IF('APA Inputs'!$C$27="",0,(IF(AND(F$4&gt;='APA Inputs'!$C$27,F$4&lt;EDATE('APA Inputs'!$C$27,N('APA Inputs'!$D$27))),'APA Inputs'!$J$27,0)+IF(N('APA Inputs'!$H$27)&gt;0,IF(F$4=EDATE('APA Inputs'!$C$27,'APA Inputs'!$H$27-1),N('APA Inputs'!$G$27),0),0))*IF('APA Inputs'!$I$27="",1,'APA Inputs'!$I$27))</f>
        <v>0</v>
      </c>
      <c r="G12" s="409" t="n">
        <f aca="false">IF('APA Inputs'!$C$27="",0,(IF(AND(G$4&gt;='APA Inputs'!$C$27,G$4&lt;EDATE('APA Inputs'!$C$27,N('APA Inputs'!$D$27))),'APA Inputs'!$J$27,0)+IF(N('APA Inputs'!$H$27)&gt;0,IF(G$4=EDATE('APA Inputs'!$C$27,'APA Inputs'!$H$27-1),N('APA Inputs'!$G$27),0),0))*IF('APA Inputs'!$I$27="",1,'APA Inputs'!$I$27))</f>
        <v>0</v>
      </c>
      <c r="H12" s="409" t="n">
        <f aca="false">IF('APA Inputs'!$C$27="",0,(IF(AND(H$4&gt;='APA Inputs'!$C$27,H$4&lt;EDATE('APA Inputs'!$C$27,N('APA Inputs'!$D$27))),'APA Inputs'!$J$27,0)+IF(N('APA Inputs'!$H$27)&gt;0,IF(H$4=EDATE('APA Inputs'!$C$27,'APA Inputs'!$H$27-1),N('APA Inputs'!$G$27),0),0))*IF('APA Inputs'!$I$27="",1,'APA Inputs'!$I$27))</f>
        <v>0</v>
      </c>
      <c r="I12" s="409" t="n">
        <f aca="false">IF('APA Inputs'!$C$27="",0,(IF(AND(I$4&gt;='APA Inputs'!$C$27,I$4&lt;EDATE('APA Inputs'!$C$27,N('APA Inputs'!$D$27))),'APA Inputs'!$J$27,0)+IF(N('APA Inputs'!$H$27)&gt;0,IF(I$4=EDATE('APA Inputs'!$C$27,'APA Inputs'!$H$27-1),N('APA Inputs'!$G$27),0),0))*IF('APA Inputs'!$I$27="",1,'APA Inputs'!$I$27))</f>
        <v>0</v>
      </c>
      <c r="J12" s="409" t="n">
        <f aca="false">IF('APA Inputs'!$C$27="",0,(IF(AND(J$4&gt;='APA Inputs'!$C$27,J$4&lt;EDATE('APA Inputs'!$C$27,N('APA Inputs'!$D$27))),'APA Inputs'!$J$27,0)+IF(N('APA Inputs'!$H$27)&gt;0,IF(J$4=EDATE('APA Inputs'!$C$27,'APA Inputs'!$H$27-1),N('APA Inputs'!$G$27),0),0))*IF('APA Inputs'!$I$27="",1,'APA Inputs'!$I$27))</f>
        <v>0</v>
      </c>
      <c r="K12" s="409" t="n">
        <f aca="false">IF('APA Inputs'!$C$27="",0,(IF(AND(K$4&gt;='APA Inputs'!$C$27,K$4&lt;EDATE('APA Inputs'!$C$27,N('APA Inputs'!$D$27))),'APA Inputs'!$J$27,0)+IF(N('APA Inputs'!$H$27)&gt;0,IF(K$4=EDATE('APA Inputs'!$C$27,'APA Inputs'!$H$27-1),N('APA Inputs'!$G$27),0),0))*IF('APA Inputs'!$I$27="",1,'APA Inputs'!$I$27))</f>
        <v>0</v>
      </c>
      <c r="L12" s="409" t="n">
        <f aca="false">IF('APA Inputs'!$C$27="",0,(IF(AND(L$4&gt;='APA Inputs'!$C$27,L$4&lt;EDATE('APA Inputs'!$C$27,N('APA Inputs'!$D$27))),'APA Inputs'!$J$27,0)+IF(N('APA Inputs'!$H$27)&gt;0,IF(L$4=EDATE('APA Inputs'!$C$27,'APA Inputs'!$H$27-1),N('APA Inputs'!$G$27),0),0))*IF('APA Inputs'!$I$27="",1,'APA Inputs'!$I$27))</f>
        <v>0</v>
      </c>
      <c r="M12" s="409" t="n">
        <f aca="false">IF('APA Inputs'!$C$27="",0,(IF(AND(M$4&gt;='APA Inputs'!$C$27,M$4&lt;EDATE('APA Inputs'!$C$27,N('APA Inputs'!$D$27))),'APA Inputs'!$J$27,0)+IF(N('APA Inputs'!$H$27)&gt;0,IF(M$4=EDATE('APA Inputs'!$C$27,'APA Inputs'!$H$27-1),N('APA Inputs'!$G$27),0),0))*IF('APA Inputs'!$I$27="",1,'APA Inputs'!$I$27))</f>
        <v>0</v>
      </c>
      <c r="N12" s="409" t="n">
        <f aca="false">IF('APA Inputs'!$C$27="",0,(IF(AND(N$4&gt;='APA Inputs'!$C$27,N$4&lt;EDATE('APA Inputs'!$C$27,N('APA Inputs'!$D$27))),'APA Inputs'!$J$27,0)+IF(N('APA Inputs'!$H$27)&gt;0,IF(N$4=EDATE('APA Inputs'!$C$27,'APA Inputs'!$H$27-1),N('APA Inputs'!$G$27),0),0))*IF('APA Inputs'!$I$27="",1,'APA Inputs'!$I$27))</f>
        <v>0</v>
      </c>
      <c r="O12" s="409" t="n">
        <f aca="false">IF('APA Inputs'!$C$27="",0,(IF(AND(O$4&gt;='APA Inputs'!$C$27,O$4&lt;EDATE('APA Inputs'!$C$27,N('APA Inputs'!$D$27))),'APA Inputs'!$J$27,0)+IF(N('APA Inputs'!$H$27)&gt;0,IF(O$4=EDATE('APA Inputs'!$C$27,'APA Inputs'!$H$27-1),N('APA Inputs'!$G$27),0),0))*IF('APA Inputs'!$I$27="",1,'APA Inputs'!$I$27))</f>
        <v>0</v>
      </c>
      <c r="P12" s="409" t="n">
        <f aca="false">IF('APA Inputs'!$C$27="",0,(IF(AND(P$4&gt;='APA Inputs'!$C$27,P$4&lt;EDATE('APA Inputs'!$C$27,N('APA Inputs'!$D$27))),'APA Inputs'!$J$27,0)+IF(N('APA Inputs'!$H$27)&gt;0,IF(P$4=EDATE('APA Inputs'!$C$27,'APA Inputs'!$H$27-1),N('APA Inputs'!$G$27),0),0))*IF('APA Inputs'!$I$27="",1,'APA Inputs'!$I$27))</f>
        <v>0</v>
      </c>
      <c r="Q12" s="409" t="n">
        <f aca="false">IF('APA Inputs'!$C$27="",0,(IF(AND(Q$4&gt;='APA Inputs'!$C$27,Q$4&lt;EDATE('APA Inputs'!$C$27,N('APA Inputs'!$D$27))),'APA Inputs'!$J$27,0)+IF(N('APA Inputs'!$H$27)&gt;0,IF(Q$4=EDATE('APA Inputs'!$C$27,'APA Inputs'!$H$27-1),N('APA Inputs'!$G$27),0),0))*IF('APA Inputs'!$I$27="",1,'APA Inputs'!$I$27))</f>
        <v>0</v>
      </c>
      <c r="R12" s="409" t="n">
        <f aca="false">IF('APA Inputs'!$C$27="",0,(IF(AND(R$4&gt;='APA Inputs'!$C$27,R$4&lt;EDATE('APA Inputs'!$C$27,N('APA Inputs'!$D$27))),'APA Inputs'!$J$27,0)+IF(N('APA Inputs'!$H$27)&gt;0,IF(R$4=EDATE('APA Inputs'!$C$27,'APA Inputs'!$H$27-1),N('APA Inputs'!$G$27),0),0))*IF('APA Inputs'!$I$27="",1,'APA Inputs'!$I$27))</f>
        <v>0</v>
      </c>
      <c r="S12" s="409" t="n">
        <f aca="false">IF('APA Inputs'!$C$27="",0,(IF(AND(S$4&gt;='APA Inputs'!$C$27,S$4&lt;EDATE('APA Inputs'!$C$27,N('APA Inputs'!$D$27))),'APA Inputs'!$J$27,0)+IF(N('APA Inputs'!$H$27)&gt;0,IF(S$4=EDATE('APA Inputs'!$C$27,'APA Inputs'!$H$27-1),N('APA Inputs'!$G$27),0),0))*IF('APA Inputs'!$I$27="",1,'APA Inputs'!$I$27))</f>
        <v>0</v>
      </c>
      <c r="T12" s="409" t="n">
        <f aca="false">IF('APA Inputs'!$C$27="",0,(IF(AND(T$4&gt;='APA Inputs'!$C$27,T$4&lt;EDATE('APA Inputs'!$C$27,N('APA Inputs'!$D$27))),'APA Inputs'!$J$27,0)+IF(N('APA Inputs'!$H$27)&gt;0,IF(T$4=EDATE('APA Inputs'!$C$27,'APA Inputs'!$H$27-1),N('APA Inputs'!$G$27),0),0))*IF('APA Inputs'!$I$27="",1,'APA Inputs'!$I$27))</f>
        <v>0</v>
      </c>
      <c r="U12" s="409" t="n">
        <f aca="false">IF('APA Inputs'!$C$27="",0,(IF(AND(U$4&gt;='APA Inputs'!$C$27,U$4&lt;EDATE('APA Inputs'!$C$27,N('APA Inputs'!$D$27))),'APA Inputs'!$J$27,0)+IF(N('APA Inputs'!$H$27)&gt;0,IF(U$4=EDATE('APA Inputs'!$C$27,'APA Inputs'!$H$27-1),N('APA Inputs'!$G$27),0),0))*IF('APA Inputs'!$I$27="",1,'APA Inputs'!$I$27))</f>
        <v>0</v>
      </c>
      <c r="V12" s="409" t="n">
        <f aca="false">IF('APA Inputs'!$C$27="",0,(IF(AND(V$4&gt;='APA Inputs'!$C$27,V$4&lt;EDATE('APA Inputs'!$C$27,N('APA Inputs'!$D$27))),'APA Inputs'!$J$27,0)+IF(N('APA Inputs'!$H$27)&gt;0,IF(V$4=EDATE('APA Inputs'!$C$27,'APA Inputs'!$H$27-1),N('APA Inputs'!$G$27),0),0))*IF('APA Inputs'!$I$27="",1,'APA Inputs'!$I$27))</f>
        <v>0</v>
      </c>
      <c r="W12" s="409" t="n">
        <f aca="false">IF('APA Inputs'!$C$27="",0,(IF(AND(W$4&gt;='APA Inputs'!$C$27,W$4&lt;EDATE('APA Inputs'!$C$27,N('APA Inputs'!$D$27))),'APA Inputs'!$J$27,0)+IF(N('APA Inputs'!$H$27)&gt;0,IF(W$4=EDATE('APA Inputs'!$C$27,'APA Inputs'!$H$27-1),N('APA Inputs'!$G$27),0),0))*IF('APA Inputs'!$I$27="",1,'APA Inputs'!$I$27))</f>
        <v>0</v>
      </c>
      <c r="X12" s="409" t="n">
        <f aca="false">IF('APA Inputs'!$C$27="",0,(IF(AND(X$4&gt;='APA Inputs'!$C$27,X$4&lt;EDATE('APA Inputs'!$C$27,N('APA Inputs'!$D$27))),'APA Inputs'!$J$27,0)+IF(N('APA Inputs'!$H$27)&gt;0,IF(X$4=EDATE('APA Inputs'!$C$27,'APA Inputs'!$H$27-1),N('APA Inputs'!$G$27),0),0))*IF('APA Inputs'!$I$27="",1,'APA Inputs'!$I$27))</f>
        <v>0</v>
      </c>
      <c r="Y12" s="409" t="n">
        <f aca="false">IF('APA Inputs'!$C$27="",0,(IF(AND(Y$4&gt;='APA Inputs'!$C$27,Y$4&lt;EDATE('APA Inputs'!$C$27,N('APA Inputs'!$D$27))),'APA Inputs'!$J$27,0)+IF(N('APA Inputs'!$H$27)&gt;0,IF(Y$4=EDATE('APA Inputs'!$C$27,'APA Inputs'!$H$27-1),N('APA Inputs'!$G$27),0),0))*IF('APA Inputs'!$I$27="",1,'APA Inputs'!$I$27))</f>
        <v>0</v>
      </c>
      <c r="Z12" s="409" t="n">
        <f aca="false">IF('APA Inputs'!$C$27="",0,(IF(AND(Z$4&gt;='APA Inputs'!$C$27,Z$4&lt;EDATE('APA Inputs'!$C$27,N('APA Inputs'!$D$27))),'APA Inputs'!$J$27,0)+IF(N('APA Inputs'!$H$27)&gt;0,IF(Z$4=EDATE('APA Inputs'!$C$27,'APA Inputs'!$H$27-1),N('APA Inputs'!$G$27),0),0))*IF('APA Inputs'!$I$27="",1,'APA Inputs'!$I$27))</f>
        <v>0</v>
      </c>
      <c r="AA12" s="409" t="n">
        <f aca="false">IF('APA Inputs'!$C$27="",0,(IF(AND(AA$4&gt;='APA Inputs'!$C$27,AA$4&lt;EDATE('APA Inputs'!$C$27,N('APA Inputs'!$D$27))),'APA Inputs'!$J$27,0)+IF(N('APA Inputs'!$H$27)&gt;0,IF(AA$4=EDATE('APA Inputs'!$C$27,'APA Inputs'!$H$27-1),N('APA Inputs'!$G$27),0),0))*IF('APA Inputs'!$I$27="",1,'APA Inputs'!$I$27))</f>
        <v>0</v>
      </c>
      <c r="AB12" s="409" t="n">
        <f aca="false">IF('APA Inputs'!$C$27="",0,(IF(AND(AB$4&gt;='APA Inputs'!$C$27,AB$4&lt;EDATE('APA Inputs'!$C$27,N('APA Inputs'!$D$27))),'APA Inputs'!$J$27,0)+IF(N('APA Inputs'!$H$27)&gt;0,IF(AB$4=EDATE('APA Inputs'!$C$27,'APA Inputs'!$H$27-1),N('APA Inputs'!$G$27),0),0))*IF('APA Inputs'!$I$27="",1,'APA Inputs'!$I$27))</f>
        <v>0</v>
      </c>
      <c r="AC12" s="409" t="n">
        <f aca="false">IF('APA Inputs'!$C$27="",0,(IF(AND(AC$4&gt;='APA Inputs'!$C$27,AC$4&lt;EDATE('APA Inputs'!$C$27,N('APA Inputs'!$D$27))),'APA Inputs'!$J$27,0)+IF(N('APA Inputs'!$H$27)&gt;0,IF(AC$4=EDATE('APA Inputs'!$C$27,'APA Inputs'!$H$27-1),N('APA Inputs'!$G$27),0),0))*IF('APA Inputs'!$I$27="",1,'APA Inputs'!$I$27))</f>
        <v>0</v>
      </c>
      <c r="AD12" s="409" t="n">
        <f aca="false">IF('APA Inputs'!$C$27="",0,(IF(AND(AD$4&gt;='APA Inputs'!$C$27,AD$4&lt;EDATE('APA Inputs'!$C$27,N('APA Inputs'!$D$27))),'APA Inputs'!$J$27,0)+IF(N('APA Inputs'!$H$27)&gt;0,IF(AD$4=EDATE('APA Inputs'!$C$27,'APA Inputs'!$H$27-1),N('APA Inputs'!$G$27),0),0))*IF('APA Inputs'!$I$27="",1,'APA Inputs'!$I$27))</f>
        <v>0</v>
      </c>
      <c r="AE12" s="409" t="n">
        <f aca="false">IF('APA Inputs'!$C$27="",0,(IF(AND(AE$4&gt;='APA Inputs'!$C$27,AE$4&lt;EDATE('APA Inputs'!$C$27,N('APA Inputs'!$D$27))),'APA Inputs'!$J$27,0)+IF(N('APA Inputs'!$H$27)&gt;0,IF(AE$4=EDATE('APA Inputs'!$C$27,'APA Inputs'!$H$27-1),N('APA Inputs'!$G$27),0),0))*IF('APA Inputs'!$I$27="",1,'APA Inputs'!$I$27))</f>
        <v>0</v>
      </c>
      <c r="AF12" s="409" t="n">
        <f aca="false">IF('APA Inputs'!$C$27="",0,(IF(AND(AF$4&gt;='APA Inputs'!$C$27,AF$4&lt;EDATE('APA Inputs'!$C$27,N('APA Inputs'!$D$27))),'APA Inputs'!$J$27,0)+IF(N('APA Inputs'!$H$27)&gt;0,IF(AF$4=EDATE('APA Inputs'!$C$27,'APA Inputs'!$H$27-1),N('APA Inputs'!$G$27),0),0))*IF('APA Inputs'!$I$27="",1,'APA Inputs'!$I$27))</f>
        <v>0</v>
      </c>
      <c r="AG12" s="409" t="n">
        <f aca="false">IF('APA Inputs'!$C$27="",0,(IF(AND(AG$4&gt;='APA Inputs'!$C$27,AG$4&lt;EDATE('APA Inputs'!$C$27,N('APA Inputs'!$D$27))),'APA Inputs'!$J$27,0)+IF(N('APA Inputs'!$H$27)&gt;0,IF(AG$4=EDATE('APA Inputs'!$C$27,'APA Inputs'!$H$27-1),N('APA Inputs'!$G$27),0),0))*IF('APA Inputs'!$I$27="",1,'APA Inputs'!$I$27))</f>
        <v>0</v>
      </c>
      <c r="AH12" s="409" t="n">
        <f aca="false">IF('APA Inputs'!$C$27="",0,(IF(AND(AH$4&gt;='APA Inputs'!$C$27,AH$4&lt;EDATE('APA Inputs'!$C$27,N('APA Inputs'!$D$27))),'APA Inputs'!$J$27,0)+IF(N('APA Inputs'!$H$27)&gt;0,IF(AH$4=EDATE('APA Inputs'!$C$27,'APA Inputs'!$H$27-1),N('APA Inputs'!$G$27),0),0))*IF('APA Inputs'!$I$27="",1,'APA Inputs'!$I$27))</f>
        <v>0</v>
      </c>
      <c r="AI12" s="409" t="n">
        <f aca="false">IF('APA Inputs'!$C$27="",0,(IF(AND(AI$4&gt;='APA Inputs'!$C$27,AI$4&lt;EDATE('APA Inputs'!$C$27,N('APA Inputs'!$D$27))),'APA Inputs'!$J$27,0)+IF(N('APA Inputs'!$H$27)&gt;0,IF(AI$4=EDATE('APA Inputs'!$C$27,'APA Inputs'!$H$27-1),N('APA Inputs'!$G$27),0),0))*IF('APA Inputs'!$I$27="",1,'APA Inputs'!$I$27))</f>
        <v>0</v>
      </c>
      <c r="AJ12" s="409" t="n">
        <f aca="false">IF('APA Inputs'!$C$27="",0,(IF(AND(AJ$4&gt;='APA Inputs'!$C$27,AJ$4&lt;EDATE('APA Inputs'!$C$27,N('APA Inputs'!$D$27))),'APA Inputs'!$J$27,0)+IF(N('APA Inputs'!$H$27)&gt;0,IF(AJ$4=EDATE('APA Inputs'!$C$27,'APA Inputs'!$H$27-1),N('APA Inputs'!$G$27),0),0))*IF('APA Inputs'!$I$27="",1,'APA Inputs'!$I$27))</f>
        <v>0</v>
      </c>
      <c r="AK12" s="409" t="n">
        <f aca="false">IF('APA Inputs'!$C$27="",0,(IF(AND(AK$4&gt;='APA Inputs'!$C$27,AK$4&lt;EDATE('APA Inputs'!$C$27,N('APA Inputs'!$D$27))),'APA Inputs'!$J$27,0)+IF(N('APA Inputs'!$H$27)&gt;0,IF(AK$4=EDATE('APA Inputs'!$C$27,'APA Inputs'!$H$27-1),N('APA Inputs'!$G$27),0),0))*IF('APA Inputs'!$I$27="",1,'APA Inputs'!$I$27))</f>
        <v>0</v>
      </c>
      <c r="AL12" s="409" t="n">
        <f aca="false">IF('APA Inputs'!$C$27="",0,(IF(AND(AL$4&gt;='APA Inputs'!$C$27,AL$4&lt;EDATE('APA Inputs'!$C$27,N('APA Inputs'!$D$27))),'APA Inputs'!$J$27,0)+IF(N('APA Inputs'!$H$27)&gt;0,IF(AL$4=EDATE('APA Inputs'!$C$27,'APA Inputs'!$H$27-1),N('APA Inputs'!$G$27),0),0))*IF('APA Inputs'!$I$27="",1,'APA Inputs'!$I$27))</f>
        <v>0</v>
      </c>
      <c r="AM12" s="409" t="n">
        <f aca="false">IF('APA Inputs'!$C$27="",0,(IF(AND(AM$4&gt;='APA Inputs'!$C$27,AM$4&lt;EDATE('APA Inputs'!$C$27,N('APA Inputs'!$D$27))),'APA Inputs'!$J$27,0)+IF(N('APA Inputs'!$H$27)&gt;0,IF(AM$4=EDATE('APA Inputs'!$C$27,'APA Inputs'!$H$27-1),N('APA Inputs'!$G$27),0),0))*IF('APA Inputs'!$I$27="",1,'APA Inputs'!$I$27))</f>
        <v>0</v>
      </c>
      <c r="AN12" s="409" t="n">
        <f aca="false">IF('APA Inputs'!$C$27="",0,(IF(AND(AN$4&gt;='APA Inputs'!$C$27,AN$4&lt;EDATE('APA Inputs'!$C$27,N('APA Inputs'!$D$27))),'APA Inputs'!$J$27,0)+IF(N('APA Inputs'!$H$27)&gt;0,IF(AN$4=EDATE('APA Inputs'!$C$27,'APA Inputs'!$H$27-1),N('APA Inputs'!$G$27),0),0))*IF('APA Inputs'!$I$27="",1,'APA Inputs'!$I$27))</f>
        <v>0</v>
      </c>
      <c r="AO12" s="409" t="n">
        <f aca="false">IF('APA Inputs'!$C$27="",0,(IF(AND(AO$4&gt;='APA Inputs'!$C$27,AO$4&lt;EDATE('APA Inputs'!$C$27,N('APA Inputs'!$D$27))),'APA Inputs'!$J$27,0)+IF(N('APA Inputs'!$H$27)&gt;0,IF(AO$4=EDATE('APA Inputs'!$C$27,'APA Inputs'!$H$27-1),N('APA Inputs'!$G$27),0),0))*IF('APA Inputs'!$I$27="",1,'APA Inputs'!$I$27))</f>
        <v>0</v>
      </c>
      <c r="AP12" s="409" t="n">
        <f aca="false">IF('APA Inputs'!$C$27="",0,(IF(AND(AP$4&gt;='APA Inputs'!$C$27,AP$4&lt;EDATE('APA Inputs'!$C$27,N('APA Inputs'!$D$27))),'APA Inputs'!$J$27,0)+IF(N('APA Inputs'!$H$27)&gt;0,IF(AP$4=EDATE('APA Inputs'!$C$27,'APA Inputs'!$H$27-1),N('APA Inputs'!$G$27),0),0))*IF('APA Inputs'!$I$27="",1,'APA Inputs'!$I$27))</f>
        <v>0</v>
      </c>
      <c r="AQ12" s="409" t="n">
        <f aca="false">IF('APA Inputs'!$C$27="",0,(IF(AND(AQ$4&gt;='APA Inputs'!$C$27,AQ$4&lt;EDATE('APA Inputs'!$C$27,N('APA Inputs'!$D$27))),'APA Inputs'!$J$27,0)+IF(N('APA Inputs'!$H$27)&gt;0,IF(AQ$4=EDATE('APA Inputs'!$C$27,'APA Inputs'!$H$27-1),N('APA Inputs'!$G$27),0),0))*IF('APA Inputs'!$I$27="",1,'APA Inputs'!$I$27))</f>
        <v>0</v>
      </c>
      <c r="AR12" s="409" t="n">
        <f aca="false">IF('APA Inputs'!$C$27="",0,(IF(AND(AR$4&gt;='APA Inputs'!$C$27,AR$4&lt;EDATE('APA Inputs'!$C$27,N('APA Inputs'!$D$27))),'APA Inputs'!$J$27,0)+IF(N('APA Inputs'!$H$27)&gt;0,IF(AR$4=EDATE('APA Inputs'!$C$27,'APA Inputs'!$H$27-1),N('APA Inputs'!$G$27),0),0))*IF('APA Inputs'!$I$27="",1,'APA Inputs'!$I$27))</f>
        <v>0</v>
      </c>
      <c r="AS12" s="409" t="n">
        <f aca="false">IF('APA Inputs'!$C$27="",0,(IF(AND(AS$4&gt;='APA Inputs'!$C$27,AS$4&lt;EDATE('APA Inputs'!$C$27,N('APA Inputs'!$D$27))),'APA Inputs'!$J$27,0)+IF(N('APA Inputs'!$H$27)&gt;0,IF(AS$4=EDATE('APA Inputs'!$C$27,'APA Inputs'!$H$27-1),N('APA Inputs'!$G$27),0),0))*IF('APA Inputs'!$I$27="",1,'APA Inputs'!$I$27))</f>
        <v>0</v>
      </c>
      <c r="AT12" s="409" t="n">
        <f aca="false">IF('APA Inputs'!$C$27="",0,(IF(AND(AT$4&gt;='APA Inputs'!$C$27,AT$4&lt;EDATE('APA Inputs'!$C$27,N('APA Inputs'!$D$27))),'APA Inputs'!$J$27,0)+IF(N('APA Inputs'!$H$27)&gt;0,IF(AT$4=EDATE('APA Inputs'!$C$27,'APA Inputs'!$H$27-1),N('APA Inputs'!$G$27),0),0))*IF('APA Inputs'!$I$27="",1,'APA Inputs'!$I$27))</f>
        <v>0</v>
      </c>
      <c r="AU12" s="409" t="n">
        <f aca="false">IF('APA Inputs'!$C$27="",0,(IF(AND(AU$4&gt;='APA Inputs'!$C$27,AU$4&lt;EDATE('APA Inputs'!$C$27,N('APA Inputs'!$D$27))),'APA Inputs'!$J$27,0)+IF(N('APA Inputs'!$H$27)&gt;0,IF(AU$4=EDATE('APA Inputs'!$C$27,'APA Inputs'!$H$27-1),N('APA Inputs'!$G$27),0),0))*IF('APA Inputs'!$I$27="",1,'APA Inputs'!$I$27))</f>
        <v>0</v>
      </c>
      <c r="AV12" s="409" t="n">
        <f aca="false">IF('APA Inputs'!$C$27="",0,(IF(AND(AV$4&gt;='APA Inputs'!$C$27,AV$4&lt;EDATE('APA Inputs'!$C$27,N('APA Inputs'!$D$27))),'APA Inputs'!$J$27,0)+IF(N('APA Inputs'!$H$27)&gt;0,IF(AV$4=EDATE('APA Inputs'!$C$27,'APA Inputs'!$H$27-1),N('APA Inputs'!$G$27),0),0))*IF('APA Inputs'!$I$27="",1,'APA Inputs'!$I$27))</f>
        <v>0</v>
      </c>
      <c r="AW12" s="409" t="n">
        <f aca="false">IF('APA Inputs'!$C$27="",0,(IF(AND(AW$4&gt;='APA Inputs'!$C$27,AW$4&lt;EDATE('APA Inputs'!$C$27,N('APA Inputs'!$D$27))),'APA Inputs'!$J$27,0)+IF(N('APA Inputs'!$H$27)&gt;0,IF(AW$4=EDATE('APA Inputs'!$C$27,'APA Inputs'!$H$27-1),N('APA Inputs'!$G$27),0),0))*IF('APA Inputs'!$I$27="",1,'APA Inputs'!$I$27))</f>
        <v>0</v>
      </c>
      <c r="AX12" s="409" t="n">
        <f aca="false">IF('APA Inputs'!$C$27="",0,(IF(AND(AX$4&gt;='APA Inputs'!$C$27,AX$4&lt;EDATE('APA Inputs'!$C$27,N('APA Inputs'!$D$27))),'APA Inputs'!$J$27,0)+IF(N('APA Inputs'!$H$27)&gt;0,IF(AX$4=EDATE('APA Inputs'!$C$27,'APA Inputs'!$H$27-1),N('APA Inputs'!$G$27),0),0))*IF('APA Inputs'!$I$27="",1,'APA Inputs'!$I$27))</f>
        <v>0</v>
      </c>
      <c r="AY12" s="409" t="n">
        <f aca="false">IF('APA Inputs'!$C$27="",0,(IF(AND(AY$4&gt;='APA Inputs'!$C$27,AY$4&lt;EDATE('APA Inputs'!$C$27,N('APA Inputs'!$D$27))),'APA Inputs'!$J$27,0)+IF(N('APA Inputs'!$H$27)&gt;0,IF(AY$4=EDATE('APA Inputs'!$C$27,'APA Inputs'!$H$27-1),N('APA Inputs'!$G$27),0),0))*IF('APA Inputs'!$I$27="",1,'APA Inputs'!$I$27))</f>
        <v>0</v>
      </c>
      <c r="AZ12" s="409" t="n">
        <f aca="false">IF('APA Inputs'!$C$27="",0,(IF(AND(AZ$4&gt;='APA Inputs'!$C$27,AZ$4&lt;EDATE('APA Inputs'!$C$27,N('APA Inputs'!$D$27))),'APA Inputs'!$J$27,0)+IF(N('APA Inputs'!$H$27)&gt;0,IF(AZ$4=EDATE('APA Inputs'!$C$27,'APA Inputs'!$H$27-1),N('APA Inputs'!$G$27),0),0))*IF('APA Inputs'!$I$27="",1,'APA Inputs'!$I$27))</f>
        <v>0</v>
      </c>
      <c r="BA12" s="409" t="n">
        <f aca="false">IF('APA Inputs'!$C$27="",0,(IF(AND(BA$4&gt;='APA Inputs'!$C$27,BA$4&lt;EDATE('APA Inputs'!$C$27,N('APA Inputs'!$D$27))),'APA Inputs'!$J$27,0)+IF(N('APA Inputs'!$H$27)&gt;0,IF(BA$4=EDATE('APA Inputs'!$C$27,'APA Inputs'!$H$27-1),N('APA Inputs'!$G$27),0),0))*IF('APA Inputs'!$I$27="",1,'APA Inputs'!$I$27))</f>
        <v>0</v>
      </c>
      <c r="BB12" s="409" t="n">
        <f aca="false">IF('APA Inputs'!$C$27="",0,(IF(AND(BB$4&gt;='APA Inputs'!$C$27,BB$4&lt;EDATE('APA Inputs'!$C$27,N('APA Inputs'!$D$27))),'APA Inputs'!$J$27,0)+IF(N('APA Inputs'!$H$27)&gt;0,IF(BB$4=EDATE('APA Inputs'!$C$27,'APA Inputs'!$H$27-1),N('APA Inputs'!$G$27),0),0))*IF('APA Inputs'!$I$27="",1,'APA Inputs'!$I$27))</f>
        <v>0</v>
      </c>
      <c r="BC12" s="409" t="n">
        <f aca="false">IF('APA Inputs'!$C$27="",0,(IF(AND(BC$4&gt;='APA Inputs'!$C$27,BC$4&lt;EDATE('APA Inputs'!$C$27,N('APA Inputs'!$D$27))),'APA Inputs'!$J$27,0)+IF(N('APA Inputs'!$H$27)&gt;0,IF(BC$4=EDATE('APA Inputs'!$C$27,'APA Inputs'!$H$27-1),N('APA Inputs'!$G$27),0),0))*IF('APA Inputs'!$I$27="",1,'APA Inputs'!$I$27))</f>
        <v>0</v>
      </c>
      <c r="BD12" s="409" t="n">
        <f aca="false">IF('APA Inputs'!$C$27="",0,(IF(AND(BD$4&gt;='APA Inputs'!$C$27,BD$4&lt;EDATE('APA Inputs'!$C$27,N('APA Inputs'!$D$27))),'APA Inputs'!$J$27,0)+IF(N('APA Inputs'!$H$27)&gt;0,IF(BD$4=EDATE('APA Inputs'!$C$27,'APA Inputs'!$H$27-1),N('APA Inputs'!$G$27),0),0))*IF('APA Inputs'!$I$27="",1,'APA Inputs'!$I$27))</f>
        <v>0</v>
      </c>
      <c r="BE12" s="409" t="n">
        <f aca="false">IF('APA Inputs'!$C$27="",0,(IF(AND(BE$4&gt;='APA Inputs'!$C$27,BE$4&lt;EDATE('APA Inputs'!$C$27,N('APA Inputs'!$D$27))),'APA Inputs'!$J$27,0)+IF(N('APA Inputs'!$H$27)&gt;0,IF(BE$4=EDATE('APA Inputs'!$C$27,'APA Inputs'!$H$27-1),N('APA Inputs'!$G$27),0),0))*IF('APA Inputs'!$I$27="",1,'APA Inputs'!$I$27))</f>
        <v>0</v>
      </c>
      <c r="BF12" s="409" t="n">
        <f aca="false">IF('APA Inputs'!$C$27="",0,(IF(AND(BF$4&gt;='APA Inputs'!$C$27,BF$4&lt;EDATE('APA Inputs'!$C$27,N('APA Inputs'!$D$27))),'APA Inputs'!$J$27,0)+IF(N('APA Inputs'!$H$27)&gt;0,IF(BF$4=EDATE('APA Inputs'!$C$27,'APA Inputs'!$H$27-1),N('APA Inputs'!$G$27),0),0))*IF('APA Inputs'!$I$27="",1,'APA Inputs'!$I$27))</f>
        <v>0</v>
      </c>
      <c r="BG12" s="409" t="n">
        <f aca="false">IF('APA Inputs'!$C$27="",0,(IF(AND(BG$4&gt;='APA Inputs'!$C$27,BG$4&lt;EDATE('APA Inputs'!$C$27,N('APA Inputs'!$D$27))),'APA Inputs'!$J$27,0)+IF(N('APA Inputs'!$H$27)&gt;0,IF(BG$4=EDATE('APA Inputs'!$C$27,'APA Inputs'!$H$27-1),N('APA Inputs'!$G$27),0),0))*IF('APA Inputs'!$I$27="",1,'APA Inputs'!$I$27))</f>
        <v>0</v>
      </c>
      <c r="BH12" s="409" t="n">
        <f aca="false">IF('APA Inputs'!$C$27="",0,(IF(AND(BH$4&gt;='APA Inputs'!$C$27,BH$4&lt;EDATE('APA Inputs'!$C$27,N('APA Inputs'!$D$27))),'APA Inputs'!$J$27,0)+IF(N('APA Inputs'!$H$27)&gt;0,IF(BH$4=EDATE('APA Inputs'!$C$27,'APA Inputs'!$H$27-1),N('APA Inputs'!$G$27),0),0))*IF('APA Inputs'!$I$27="",1,'APA Inputs'!$I$27))</f>
        <v>0</v>
      </c>
      <c r="BI12" s="409" t="n">
        <f aca="false">IF('APA Inputs'!$C$27="",0,(IF(AND(BI$4&gt;='APA Inputs'!$C$27,BI$4&lt;EDATE('APA Inputs'!$C$27,N('APA Inputs'!$D$27))),'APA Inputs'!$J$27,0)+IF(N('APA Inputs'!$H$27)&gt;0,IF(BI$4=EDATE('APA Inputs'!$C$27,'APA Inputs'!$H$27-1),N('APA Inputs'!$G$27),0),0))*IF('APA Inputs'!$I$27="",1,'APA Inputs'!$I$27))</f>
        <v>0</v>
      </c>
      <c r="BJ12" s="409" t="n">
        <f aca="false">IF('APA Inputs'!$C$27="",0,(IF(AND(BJ$4&gt;='APA Inputs'!$C$27,BJ$4&lt;EDATE('APA Inputs'!$C$27,N('APA Inputs'!$D$27))),'APA Inputs'!$J$27,0)+IF(N('APA Inputs'!$H$27)&gt;0,IF(BJ$4=EDATE('APA Inputs'!$C$27,'APA Inputs'!$H$27-1),N('APA Inputs'!$G$27),0),0))*IF('APA Inputs'!$I$27="",1,'APA Inputs'!$I$27))</f>
        <v>0</v>
      </c>
      <c r="BK12" s="409" t="n">
        <f aca="false">IF('APA Inputs'!$C$27="",0,(IF(AND(BK$4&gt;='APA Inputs'!$C$27,BK$4&lt;EDATE('APA Inputs'!$C$27,N('APA Inputs'!$D$27))),'APA Inputs'!$J$27,0)+IF(N('APA Inputs'!$H$27)&gt;0,IF(BK$4=EDATE('APA Inputs'!$C$27,'APA Inputs'!$H$27-1),N('APA Inputs'!$G$27),0),0))*IF('APA Inputs'!$I$27="",1,'APA Inputs'!$I$27))</f>
        <v>0</v>
      </c>
      <c r="BL12" s="409" t="n">
        <f aca="false">IF('APA Inputs'!$C$27="",0,(IF(AND(BL$4&gt;='APA Inputs'!$C$27,BL$4&lt;EDATE('APA Inputs'!$C$27,N('APA Inputs'!$D$27))),'APA Inputs'!$J$27,0)+IF(N('APA Inputs'!$H$27)&gt;0,IF(BL$4=EDATE('APA Inputs'!$C$27,'APA Inputs'!$H$27-1),N('APA Inputs'!$G$27),0),0))*IF('APA Inputs'!$I$27="",1,'APA Inputs'!$I$27))</f>
        <v>0</v>
      </c>
      <c r="BM12" s="409" t="n">
        <f aca="false">IF('APA Inputs'!$C$27="",0,(IF(AND(BM$4&gt;='APA Inputs'!$C$27,BM$4&lt;EDATE('APA Inputs'!$C$27,N('APA Inputs'!$D$27))),'APA Inputs'!$J$27,0)+IF(N('APA Inputs'!$H$27)&gt;0,IF(BM$4=EDATE('APA Inputs'!$C$27,'APA Inputs'!$H$27-1),N('APA Inputs'!$G$27),0),0))*IF('APA Inputs'!$I$27="",1,'APA Inputs'!$I$27))</f>
        <v>0</v>
      </c>
      <c r="BN12" s="409" t="n">
        <f aca="false">IF('APA Inputs'!$C$27="",0,(IF(AND(BN$4&gt;='APA Inputs'!$C$27,BN$4&lt;EDATE('APA Inputs'!$C$27,N('APA Inputs'!$D$27))),'APA Inputs'!$J$27,0)+IF(N('APA Inputs'!$H$27)&gt;0,IF(BN$4=EDATE('APA Inputs'!$C$27,'APA Inputs'!$H$27-1),N('APA Inputs'!$G$27),0),0))*IF('APA Inputs'!$I$27="",1,'APA Inputs'!$I$27))</f>
        <v>0</v>
      </c>
      <c r="BO12" s="409" t="n">
        <f aca="false">IF('APA Inputs'!$C$27="",0,(IF(AND(BO$4&gt;='APA Inputs'!$C$27,BO$4&lt;EDATE('APA Inputs'!$C$27,N('APA Inputs'!$D$27))),'APA Inputs'!$J$27,0)+IF(N('APA Inputs'!$H$27)&gt;0,IF(BO$4=EDATE('APA Inputs'!$C$27,'APA Inputs'!$H$27-1),N('APA Inputs'!$G$27),0),0))*IF('APA Inputs'!$I$27="",1,'APA Inputs'!$I$27))</f>
        <v>0</v>
      </c>
      <c r="BP12" s="409" t="n">
        <f aca="false">IF('APA Inputs'!$C$27="",0,(IF(AND(BP$4&gt;='APA Inputs'!$C$27,BP$4&lt;EDATE('APA Inputs'!$C$27,N('APA Inputs'!$D$27))),'APA Inputs'!$J$27,0)+IF(N('APA Inputs'!$H$27)&gt;0,IF(BP$4=EDATE('APA Inputs'!$C$27,'APA Inputs'!$H$27-1),N('APA Inputs'!$G$27),0),0))*IF('APA Inputs'!$I$27="",1,'APA Inputs'!$I$27))</f>
        <v>0</v>
      </c>
      <c r="BQ12" s="409" t="n">
        <f aca="false">IF('APA Inputs'!$C$27="",0,(IF(AND(BQ$4&gt;='APA Inputs'!$C$27,BQ$4&lt;EDATE('APA Inputs'!$C$27,N('APA Inputs'!$D$27))),'APA Inputs'!$J$27,0)+IF(N('APA Inputs'!$H$27)&gt;0,IF(BQ$4=EDATE('APA Inputs'!$C$27,'APA Inputs'!$H$27-1),N('APA Inputs'!$G$27),0),0))*IF('APA Inputs'!$I$27="",1,'APA Inputs'!$I$27))</f>
        <v>0</v>
      </c>
      <c r="BR12" s="409" t="n">
        <f aca="false">IF('APA Inputs'!$C$27="",0,(IF(AND(BR$4&gt;='APA Inputs'!$C$27,BR$4&lt;EDATE('APA Inputs'!$C$27,N('APA Inputs'!$D$27))),'APA Inputs'!$J$27,0)+IF(N('APA Inputs'!$H$27)&gt;0,IF(BR$4=EDATE('APA Inputs'!$C$27,'APA Inputs'!$H$27-1),N('APA Inputs'!$G$27),0),0))*IF('APA Inputs'!$I$27="",1,'APA Inputs'!$I$27))</f>
        <v>0</v>
      </c>
      <c r="BS12" s="409" t="n">
        <f aca="false">IF('APA Inputs'!$C$27="",0,(IF(AND(BS$4&gt;='APA Inputs'!$C$27,BS$4&lt;EDATE('APA Inputs'!$C$27,N('APA Inputs'!$D$27))),'APA Inputs'!$J$27,0)+IF(N('APA Inputs'!$H$27)&gt;0,IF(BS$4=EDATE('APA Inputs'!$C$27,'APA Inputs'!$H$27-1),N('APA Inputs'!$G$27),0),0))*IF('APA Inputs'!$I$27="",1,'APA Inputs'!$I$27))</f>
        <v>0</v>
      </c>
      <c r="BT12" s="409" t="n">
        <f aca="false">IF('APA Inputs'!$C$27="",0,(IF(AND(BT$4&gt;='APA Inputs'!$C$27,BT$4&lt;EDATE('APA Inputs'!$C$27,N('APA Inputs'!$D$27))),'APA Inputs'!$J$27,0)+IF(N('APA Inputs'!$H$27)&gt;0,IF(BT$4=EDATE('APA Inputs'!$C$27,'APA Inputs'!$H$27-1),N('APA Inputs'!$G$27),0),0))*IF('APA Inputs'!$I$27="",1,'APA Inputs'!$I$27))</f>
        <v>0</v>
      </c>
      <c r="BU12" s="409" t="n">
        <f aca="false">IF('APA Inputs'!$C$27="",0,(IF(AND(BU$4&gt;='APA Inputs'!$C$27,BU$4&lt;EDATE('APA Inputs'!$C$27,N('APA Inputs'!$D$27))),'APA Inputs'!$J$27,0)+IF(N('APA Inputs'!$H$27)&gt;0,IF(BU$4=EDATE('APA Inputs'!$C$27,'APA Inputs'!$H$27-1),N('APA Inputs'!$G$27),0),0))*IF('APA Inputs'!$I$27="",1,'APA Inputs'!$I$27))</f>
        <v>0</v>
      </c>
      <c r="BV12" s="409" t="n">
        <f aca="false">IF('APA Inputs'!$C$27="",0,(IF(AND(BV$4&gt;='APA Inputs'!$C$27,BV$4&lt;EDATE('APA Inputs'!$C$27,N('APA Inputs'!$D$27))),'APA Inputs'!$J$27,0)+IF(N('APA Inputs'!$H$27)&gt;0,IF(BV$4=EDATE('APA Inputs'!$C$27,'APA Inputs'!$H$27-1),N('APA Inputs'!$G$27),0),0))*IF('APA Inputs'!$I$27="",1,'APA Inputs'!$I$27))</f>
        <v>0</v>
      </c>
      <c r="BW12" s="409" t="n">
        <f aca="false">IF('APA Inputs'!$C$27="",0,(IF(AND(BW$4&gt;='APA Inputs'!$C$27,BW$4&lt;EDATE('APA Inputs'!$C$27,N('APA Inputs'!$D$27))),'APA Inputs'!$J$27,0)+IF(N('APA Inputs'!$H$27)&gt;0,IF(BW$4=EDATE('APA Inputs'!$C$27,'APA Inputs'!$H$27-1),N('APA Inputs'!$G$27),0),0))*IF('APA Inputs'!$I$27="",1,'APA Inputs'!$I$27))</f>
        <v>0</v>
      </c>
      <c r="BX12" s="409" t="n">
        <f aca="false">IF('APA Inputs'!$C$27="",0,(IF(AND(BX$4&gt;='APA Inputs'!$C$27,BX$4&lt;EDATE('APA Inputs'!$C$27,N('APA Inputs'!$D$27))),'APA Inputs'!$J$27,0)+IF(N('APA Inputs'!$H$27)&gt;0,IF(BX$4=EDATE('APA Inputs'!$C$27,'APA Inputs'!$H$27-1),N('APA Inputs'!$G$27),0),0))*IF('APA Inputs'!$I$27="",1,'APA Inputs'!$I$27))</f>
        <v>0</v>
      </c>
      <c r="BY12" s="409" t="n">
        <f aca="false">IF('APA Inputs'!$C$27="",0,(IF(AND(BY$4&gt;='APA Inputs'!$C$27,BY$4&lt;EDATE('APA Inputs'!$C$27,N('APA Inputs'!$D$27))),'APA Inputs'!$J$27,0)+IF(N('APA Inputs'!$H$27)&gt;0,IF(BY$4=EDATE('APA Inputs'!$C$27,'APA Inputs'!$H$27-1),N('APA Inputs'!$G$27),0),0))*IF('APA Inputs'!$I$27="",1,'APA Inputs'!$I$27))</f>
        <v>0</v>
      </c>
      <c r="BZ12" s="409" t="n">
        <f aca="false">IF('APA Inputs'!$C$27="",0,(IF(AND(BZ$4&gt;='APA Inputs'!$C$27,BZ$4&lt;EDATE('APA Inputs'!$C$27,N('APA Inputs'!$D$27))),'APA Inputs'!$J$27,0)+IF(N('APA Inputs'!$H$27)&gt;0,IF(BZ$4=EDATE('APA Inputs'!$C$27,'APA Inputs'!$H$27-1),N('APA Inputs'!$G$27),0),0))*IF('APA Inputs'!$I$27="",1,'APA Inputs'!$I$27))</f>
        <v>0</v>
      </c>
      <c r="CA12" s="409" t="n">
        <f aca="false">IF('APA Inputs'!$C$27="",0,(IF(AND(CA$4&gt;='APA Inputs'!$C$27,CA$4&lt;EDATE('APA Inputs'!$C$27,N('APA Inputs'!$D$27))),'APA Inputs'!$J$27,0)+IF(N('APA Inputs'!$H$27)&gt;0,IF(CA$4=EDATE('APA Inputs'!$C$27,'APA Inputs'!$H$27-1),N('APA Inputs'!$G$27),0),0))*IF('APA Inputs'!$I$27="",1,'APA Inputs'!$I$27))</f>
        <v>0</v>
      </c>
      <c r="CB12" s="409" t="n">
        <f aca="false">IF('APA Inputs'!$C$27="",0,(IF(AND(CB$4&gt;='APA Inputs'!$C$27,CB$4&lt;EDATE('APA Inputs'!$C$27,N('APA Inputs'!$D$27))),'APA Inputs'!$J$27,0)+IF(N('APA Inputs'!$H$27)&gt;0,IF(CB$4=EDATE('APA Inputs'!$C$27,'APA Inputs'!$H$27-1),N('APA Inputs'!$G$27),0),0))*IF('APA Inputs'!$I$27="",1,'APA Inputs'!$I$27))</f>
        <v>0</v>
      </c>
      <c r="CC12" s="409" t="n">
        <f aca="false">IF('APA Inputs'!$C$27="",0,(IF(AND(CC$4&gt;='APA Inputs'!$C$27,CC$4&lt;EDATE('APA Inputs'!$C$27,N('APA Inputs'!$D$27))),'APA Inputs'!$J$27,0)+IF(N('APA Inputs'!$H$27)&gt;0,IF(CC$4=EDATE('APA Inputs'!$C$27,'APA Inputs'!$H$27-1),N('APA Inputs'!$G$27),0),0))*IF('APA Inputs'!$I$27="",1,'APA Inputs'!$I$27))</f>
        <v>0</v>
      </c>
      <c r="CD12" s="409" t="n">
        <f aca="false">IF('APA Inputs'!$C$27="",0,(IF(AND(CD$4&gt;='APA Inputs'!$C$27,CD$4&lt;EDATE('APA Inputs'!$C$27,N('APA Inputs'!$D$27))),'APA Inputs'!$J$27,0)+IF(N('APA Inputs'!$H$27)&gt;0,IF(CD$4=EDATE('APA Inputs'!$C$27,'APA Inputs'!$H$27-1),N('APA Inputs'!$G$27),0),0))*IF('APA Inputs'!$I$27="",1,'APA Inputs'!$I$27))</f>
        <v>0</v>
      </c>
      <c r="CE12" s="409" t="n">
        <f aca="false">IF('APA Inputs'!$C$27="",0,(IF(AND(CE$4&gt;='APA Inputs'!$C$27,CE$4&lt;EDATE('APA Inputs'!$C$27,N('APA Inputs'!$D$27))),'APA Inputs'!$J$27,0)+IF(N('APA Inputs'!$H$27)&gt;0,IF(CE$4=EDATE('APA Inputs'!$C$27,'APA Inputs'!$H$27-1),N('APA Inputs'!$G$27),0),0))*IF('APA Inputs'!$I$27="",1,'APA Inputs'!$I$27))</f>
        <v>0</v>
      </c>
      <c r="CF12" s="409" t="n">
        <f aca="false">IF('APA Inputs'!$C$27="",0,(IF(AND(CF$4&gt;='APA Inputs'!$C$27,CF$4&lt;EDATE('APA Inputs'!$C$27,N('APA Inputs'!$D$27))),'APA Inputs'!$J$27,0)+IF(N('APA Inputs'!$H$27)&gt;0,IF(CF$4=EDATE('APA Inputs'!$C$27,'APA Inputs'!$H$27-1),N('APA Inputs'!$G$27),0),0))*IF('APA Inputs'!$I$27="",1,'APA Inputs'!$I$27))</f>
        <v>0</v>
      </c>
      <c r="CG12" s="409" t="n">
        <f aca="false">IF('APA Inputs'!$C$27="",0,(IF(AND(CG$4&gt;='APA Inputs'!$C$27,CG$4&lt;EDATE('APA Inputs'!$C$27,N('APA Inputs'!$D$27))),'APA Inputs'!$J$27,0)+IF(N('APA Inputs'!$H$27)&gt;0,IF(CG$4=EDATE('APA Inputs'!$C$27,'APA Inputs'!$H$27-1),N('APA Inputs'!$G$27),0),0))*IF('APA Inputs'!$I$27="",1,'APA Inputs'!$I$27))</f>
        <v>0</v>
      </c>
      <c r="CH12" s="409" t="n">
        <f aca="false">IF('APA Inputs'!$C$27="",0,(IF(AND(CH$4&gt;='APA Inputs'!$C$27,CH$4&lt;EDATE('APA Inputs'!$C$27,N('APA Inputs'!$D$27))),'APA Inputs'!$J$27,0)+IF(N('APA Inputs'!$H$27)&gt;0,IF(CH$4=EDATE('APA Inputs'!$C$27,'APA Inputs'!$H$27-1),N('APA Inputs'!$G$27),0),0))*IF('APA Inputs'!$I$27="",1,'APA Inputs'!$I$27))</f>
        <v>0</v>
      </c>
      <c r="CI12" s="409" t="n">
        <f aca="false">IF('APA Inputs'!$C$27="",0,(IF(AND(CI$4&gt;='APA Inputs'!$C$27,CI$4&lt;EDATE('APA Inputs'!$C$27,N('APA Inputs'!$D$27))),'APA Inputs'!$J$27,0)+IF(N('APA Inputs'!$H$27)&gt;0,IF(CI$4=EDATE('APA Inputs'!$C$27,'APA Inputs'!$H$27-1),N('APA Inputs'!$G$27),0),0))*IF('APA Inputs'!$I$27="",1,'APA Inputs'!$I$27))</f>
        <v>0</v>
      </c>
      <c r="CJ12" s="409" t="n">
        <f aca="false">IF('APA Inputs'!$C$27="",0,(IF(AND(CJ$4&gt;='APA Inputs'!$C$27,CJ$4&lt;EDATE('APA Inputs'!$C$27,N('APA Inputs'!$D$27))),'APA Inputs'!$J$27,0)+IF(N('APA Inputs'!$H$27)&gt;0,IF(CJ$4=EDATE('APA Inputs'!$C$27,'APA Inputs'!$H$27-1),N('APA Inputs'!$G$27),0),0))*IF('APA Inputs'!$I$27="",1,'APA Inputs'!$I$27))</f>
        <v>0</v>
      </c>
      <c r="CK12" s="409" t="n">
        <f aca="false">IF('APA Inputs'!$C$27="",0,(IF(AND(CK$4&gt;='APA Inputs'!$C$27,CK$4&lt;EDATE('APA Inputs'!$C$27,N('APA Inputs'!$D$27))),'APA Inputs'!$J$27,0)+IF(N('APA Inputs'!$H$27)&gt;0,IF(CK$4=EDATE('APA Inputs'!$C$27,'APA Inputs'!$H$27-1),N('APA Inputs'!$G$27),0),0))*IF('APA Inputs'!$I$27="",1,'APA Inputs'!$I$27))</f>
        <v>0</v>
      </c>
      <c r="CL12" s="409" t="n">
        <f aca="false">IF('APA Inputs'!$C$27="",0,(IF(AND(CL$4&gt;='APA Inputs'!$C$27,CL$4&lt;EDATE('APA Inputs'!$C$27,N('APA Inputs'!$D$27))),'APA Inputs'!$J$27,0)+IF(N('APA Inputs'!$H$27)&gt;0,IF(CL$4=EDATE('APA Inputs'!$C$27,'APA Inputs'!$H$27-1),N('APA Inputs'!$G$27),0),0))*IF('APA Inputs'!$I$27="",1,'APA Inputs'!$I$27))</f>
        <v>0</v>
      </c>
      <c r="CM12" s="409" t="n">
        <f aca="false">IF('APA Inputs'!$C$27="",0,(IF(AND(CM$4&gt;='APA Inputs'!$C$27,CM$4&lt;EDATE('APA Inputs'!$C$27,N('APA Inputs'!$D$27))),'APA Inputs'!$J$27,0)+IF(N('APA Inputs'!$H$27)&gt;0,IF(CM$4=EDATE('APA Inputs'!$C$27,'APA Inputs'!$H$27-1),N('APA Inputs'!$G$27),0),0))*IF('APA Inputs'!$I$27="",1,'APA Inputs'!$I$27))</f>
        <v>0</v>
      </c>
      <c r="CN12" s="409" t="n">
        <f aca="false">IF('APA Inputs'!$C$27="",0,(IF(AND(CN$4&gt;='APA Inputs'!$C$27,CN$4&lt;EDATE('APA Inputs'!$C$27,N('APA Inputs'!$D$27))),'APA Inputs'!$J$27,0)+IF(N('APA Inputs'!$H$27)&gt;0,IF(CN$4=EDATE('APA Inputs'!$C$27,'APA Inputs'!$H$27-1),N('APA Inputs'!$G$27),0),0))*IF('APA Inputs'!$I$27="",1,'APA Inputs'!$I$27))</f>
        <v>0</v>
      </c>
      <c r="CO12" s="409" t="n">
        <f aca="false">IF('APA Inputs'!$C$27="",0,(IF(AND(CO$4&gt;='APA Inputs'!$C$27,CO$4&lt;EDATE('APA Inputs'!$C$27,N('APA Inputs'!$D$27))),'APA Inputs'!$J$27,0)+IF(N('APA Inputs'!$H$27)&gt;0,IF(CO$4=EDATE('APA Inputs'!$C$27,'APA Inputs'!$H$27-1),N('APA Inputs'!$G$27),0),0))*IF('APA Inputs'!$I$27="",1,'APA Inputs'!$I$27))</f>
        <v>0</v>
      </c>
      <c r="CP12" s="409" t="n">
        <f aca="false">IF('APA Inputs'!$C$27="",0,(IF(AND(CP$4&gt;='APA Inputs'!$C$27,CP$4&lt;EDATE('APA Inputs'!$C$27,N('APA Inputs'!$D$27))),'APA Inputs'!$J$27,0)+IF(N('APA Inputs'!$H$27)&gt;0,IF(CP$4=EDATE('APA Inputs'!$C$27,'APA Inputs'!$H$27-1),N('APA Inputs'!$G$27),0),0))*IF('APA Inputs'!$I$27="",1,'APA Inputs'!$I$27))</f>
        <v>0</v>
      </c>
      <c r="CQ12" s="409" t="n">
        <f aca="false">IF('APA Inputs'!$C$27="",0,(IF(AND(CQ$4&gt;='APA Inputs'!$C$27,CQ$4&lt;EDATE('APA Inputs'!$C$27,N('APA Inputs'!$D$27))),'APA Inputs'!$J$27,0)+IF(N('APA Inputs'!$H$27)&gt;0,IF(CQ$4=EDATE('APA Inputs'!$C$27,'APA Inputs'!$H$27-1),N('APA Inputs'!$G$27),0),0))*IF('APA Inputs'!$I$27="",1,'APA Inputs'!$I$27))</f>
        <v>0</v>
      </c>
      <c r="CR12" s="409" t="n">
        <f aca="false">IF('APA Inputs'!$C$27="",0,(IF(AND(CR$4&gt;='APA Inputs'!$C$27,CR$4&lt;EDATE('APA Inputs'!$C$27,N('APA Inputs'!$D$27))),'APA Inputs'!$J$27,0)+IF(N('APA Inputs'!$H$27)&gt;0,IF(CR$4=EDATE('APA Inputs'!$C$27,'APA Inputs'!$H$27-1),N('APA Inputs'!$G$27),0),0))*IF('APA Inputs'!$I$27="",1,'APA Inputs'!$I$27))</f>
        <v>0</v>
      </c>
      <c r="CS12" s="409" t="n">
        <f aca="false">IF('APA Inputs'!$C$27="",0,(IF(AND(CS$4&gt;='APA Inputs'!$C$27,CS$4&lt;EDATE('APA Inputs'!$C$27,N('APA Inputs'!$D$27))),'APA Inputs'!$J$27,0)+IF(N('APA Inputs'!$H$27)&gt;0,IF(CS$4=EDATE('APA Inputs'!$C$27,'APA Inputs'!$H$27-1),N('APA Inputs'!$G$27),0),0))*IF('APA Inputs'!$I$27="",1,'APA Inputs'!$I$27))</f>
        <v>0</v>
      </c>
      <c r="CT12" s="409" t="n">
        <f aca="false">IF('APA Inputs'!$C$27="",0,(IF(AND(CT$4&gt;='APA Inputs'!$C$27,CT$4&lt;EDATE('APA Inputs'!$C$27,N('APA Inputs'!$D$27))),'APA Inputs'!$J$27,0)+IF(N('APA Inputs'!$H$27)&gt;0,IF(CT$4=EDATE('APA Inputs'!$C$27,'APA Inputs'!$H$27-1),N('APA Inputs'!$G$27),0),0))*IF('APA Inputs'!$I$27="",1,'APA Inputs'!$I$27))</f>
        <v>0</v>
      </c>
      <c r="CU12" s="409" t="n">
        <f aca="false">IF('APA Inputs'!$C$27="",0,(IF(AND(CU$4&gt;='APA Inputs'!$C$27,CU$4&lt;EDATE('APA Inputs'!$C$27,N('APA Inputs'!$D$27))),'APA Inputs'!$J$27,0)+IF(N('APA Inputs'!$H$27)&gt;0,IF(CU$4=EDATE('APA Inputs'!$C$27,'APA Inputs'!$H$27-1),N('APA Inputs'!$G$27),0),0))*IF('APA Inputs'!$I$27="",1,'APA Inputs'!$I$27))</f>
        <v>0</v>
      </c>
      <c r="CV12" s="409" t="n">
        <f aca="false">IF('APA Inputs'!$C$27="",0,(IF(AND(CV$4&gt;='APA Inputs'!$C$27,CV$4&lt;EDATE('APA Inputs'!$C$27,N('APA Inputs'!$D$27))),'APA Inputs'!$J$27,0)+IF(N('APA Inputs'!$H$27)&gt;0,IF(CV$4=EDATE('APA Inputs'!$C$27,'APA Inputs'!$H$27-1),N('APA Inputs'!$G$27),0),0))*IF('APA Inputs'!$I$27="",1,'APA Inputs'!$I$27))</f>
        <v>0</v>
      </c>
      <c r="CW12" s="409" t="n">
        <f aca="false">IF('APA Inputs'!$C$27="",0,(IF(AND(CW$4&gt;='APA Inputs'!$C$27,CW$4&lt;EDATE('APA Inputs'!$C$27,N('APA Inputs'!$D$27))),'APA Inputs'!$J$27,0)+IF(N('APA Inputs'!$H$27)&gt;0,IF(CW$4=EDATE('APA Inputs'!$C$27,'APA Inputs'!$H$27-1),N('APA Inputs'!$G$27),0),0))*IF('APA Inputs'!$I$27="",1,'APA Inputs'!$I$27))</f>
        <v>0</v>
      </c>
      <c r="CX12" s="409" t="n">
        <f aca="false">IF('APA Inputs'!$C$27="",0,(IF(AND(CX$4&gt;='APA Inputs'!$C$27,CX$4&lt;EDATE('APA Inputs'!$C$27,N('APA Inputs'!$D$27))),'APA Inputs'!$J$27,0)+IF(N('APA Inputs'!$H$27)&gt;0,IF(CX$4=EDATE('APA Inputs'!$C$27,'APA Inputs'!$H$27-1),N('APA Inputs'!$G$27),0),0))*IF('APA Inputs'!$I$27="",1,'APA Inputs'!$I$27))</f>
        <v>0</v>
      </c>
      <c r="CY12" s="409" t="n">
        <f aca="false">IF('APA Inputs'!$C$27="",0,(IF(AND(CY$4&gt;='APA Inputs'!$C$27,CY$4&lt;EDATE('APA Inputs'!$C$27,N('APA Inputs'!$D$27))),'APA Inputs'!$J$27,0)+IF(N('APA Inputs'!$H$27)&gt;0,IF(CY$4=EDATE('APA Inputs'!$C$27,'APA Inputs'!$H$27-1),N('APA Inputs'!$G$27),0),0))*IF('APA Inputs'!$I$27="",1,'APA Inputs'!$I$27))</f>
        <v>0</v>
      </c>
      <c r="CZ12" s="409" t="n">
        <f aca="false">IF('APA Inputs'!$C$27="",0,(IF(AND(CZ$4&gt;='APA Inputs'!$C$27,CZ$4&lt;EDATE('APA Inputs'!$C$27,N('APA Inputs'!$D$27))),'APA Inputs'!$J$27,0)+IF(N('APA Inputs'!$H$27)&gt;0,IF(CZ$4=EDATE('APA Inputs'!$C$27,'APA Inputs'!$H$27-1),N('APA Inputs'!$G$27),0),0))*IF('APA Inputs'!$I$27="",1,'APA Inputs'!$I$27))</f>
        <v>0</v>
      </c>
      <c r="DA12" s="409" t="n">
        <f aca="false">IF('APA Inputs'!$C$27="",0,(IF(AND(DA$4&gt;='APA Inputs'!$C$27,DA$4&lt;EDATE('APA Inputs'!$C$27,N('APA Inputs'!$D$27))),'APA Inputs'!$J$27,0)+IF(N('APA Inputs'!$H$27)&gt;0,IF(DA$4=EDATE('APA Inputs'!$C$27,'APA Inputs'!$H$27-1),N('APA Inputs'!$G$27),0),0))*IF('APA Inputs'!$I$27="",1,'APA Inputs'!$I$27))</f>
        <v>0</v>
      </c>
      <c r="DB12" s="409" t="n">
        <f aca="false">IF('APA Inputs'!$C$27="",0,(IF(AND(DB$4&gt;='APA Inputs'!$C$27,DB$4&lt;EDATE('APA Inputs'!$C$27,N('APA Inputs'!$D$27))),'APA Inputs'!$J$27,0)+IF(N('APA Inputs'!$H$27)&gt;0,IF(DB$4=EDATE('APA Inputs'!$C$27,'APA Inputs'!$H$27-1),N('APA Inputs'!$G$27),0),0))*IF('APA Inputs'!$I$27="",1,'APA Inputs'!$I$27))</f>
        <v>0</v>
      </c>
      <c r="DC12" s="409" t="n">
        <f aca="false">IF('APA Inputs'!$C$27="",0,(IF(AND(DC$4&gt;='APA Inputs'!$C$27,DC$4&lt;EDATE('APA Inputs'!$C$27,N('APA Inputs'!$D$27))),'APA Inputs'!$J$27,0)+IF(N('APA Inputs'!$H$27)&gt;0,IF(DC$4=EDATE('APA Inputs'!$C$27,'APA Inputs'!$H$27-1),N('APA Inputs'!$G$27),0),0))*IF('APA Inputs'!$I$27="",1,'APA Inputs'!$I$27))</f>
        <v>0</v>
      </c>
      <c r="DD12" s="409" t="n">
        <f aca="false">IF('APA Inputs'!$C$27="",0,(IF(AND(DD$4&gt;='APA Inputs'!$C$27,DD$4&lt;EDATE('APA Inputs'!$C$27,N('APA Inputs'!$D$27))),'APA Inputs'!$J$27,0)+IF(N('APA Inputs'!$H$27)&gt;0,IF(DD$4=EDATE('APA Inputs'!$C$27,'APA Inputs'!$H$27-1),N('APA Inputs'!$G$27),0),0))*IF('APA Inputs'!$I$27="",1,'APA Inputs'!$I$27))</f>
        <v>0</v>
      </c>
      <c r="DE12" s="409"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09" t="n">
        <f aca="false">IF('APA Inputs'!$C$28="",0,(IF(AND(B$4&gt;='APA Inputs'!$C$28,B$4&lt;EDATE('APA Inputs'!$C$28,N('APA Inputs'!$D$28))),'APA Inputs'!$J$28,0)+IF(N('APA Inputs'!$H$28)&gt;0,IF(B$4=EDATE('APA Inputs'!$C$28,'APA Inputs'!$H$28-1),N('APA Inputs'!$G$28),0),0))*IF('APA Inputs'!$I$28="",1,'APA Inputs'!$I$28))</f>
        <v>0</v>
      </c>
      <c r="C13" s="409" t="n">
        <f aca="false">IF('APA Inputs'!$C$28="",0,(IF(AND(C$4&gt;='APA Inputs'!$C$28,C$4&lt;EDATE('APA Inputs'!$C$28,N('APA Inputs'!$D$28))),'APA Inputs'!$J$28,0)+IF(N('APA Inputs'!$H$28)&gt;0,IF(C$4=EDATE('APA Inputs'!$C$28,'APA Inputs'!$H$28-1),N('APA Inputs'!$G$28),0),0))*IF('APA Inputs'!$I$28="",1,'APA Inputs'!$I$28))</f>
        <v>0</v>
      </c>
      <c r="D13" s="409" t="n">
        <f aca="false">IF('APA Inputs'!$C$28="",0,(IF(AND(D$4&gt;='APA Inputs'!$C$28,D$4&lt;EDATE('APA Inputs'!$C$28,N('APA Inputs'!$D$28))),'APA Inputs'!$J$28,0)+IF(N('APA Inputs'!$H$28)&gt;0,IF(D$4=EDATE('APA Inputs'!$C$28,'APA Inputs'!$H$28-1),N('APA Inputs'!$G$28),0),0))*IF('APA Inputs'!$I$28="",1,'APA Inputs'!$I$28))</f>
        <v>0</v>
      </c>
      <c r="E13" s="409" t="n">
        <f aca="false">IF('APA Inputs'!$C$28="",0,(IF(AND(E$4&gt;='APA Inputs'!$C$28,E$4&lt;EDATE('APA Inputs'!$C$28,N('APA Inputs'!$D$28))),'APA Inputs'!$J$28,0)+IF(N('APA Inputs'!$H$28)&gt;0,IF(E$4=EDATE('APA Inputs'!$C$28,'APA Inputs'!$H$28-1),N('APA Inputs'!$G$28),0),0))*IF('APA Inputs'!$I$28="",1,'APA Inputs'!$I$28))</f>
        <v>0</v>
      </c>
      <c r="F13" s="409" t="n">
        <f aca="false">IF('APA Inputs'!$C$28="",0,(IF(AND(F$4&gt;='APA Inputs'!$C$28,F$4&lt;EDATE('APA Inputs'!$C$28,N('APA Inputs'!$D$28))),'APA Inputs'!$J$28,0)+IF(N('APA Inputs'!$H$28)&gt;0,IF(F$4=EDATE('APA Inputs'!$C$28,'APA Inputs'!$H$28-1),N('APA Inputs'!$G$28),0),0))*IF('APA Inputs'!$I$28="",1,'APA Inputs'!$I$28))</f>
        <v>0</v>
      </c>
      <c r="G13" s="409" t="n">
        <f aca="false">IF('APA Inputs'!$C$28="",0,(IF(AND(G$4&gt;='APA Inputs'!$C$28,G$4&lt;EDATE('APA Inputs'!$C$28,N('APA Inputs'!$D$28))),'APA Inputs'!$J$28,0)+IF(N('APA Inputs'!$H$28)&gt;0,IF(G$4=EDATE('APA Inputs'!$C$28,'APA Inputs'!$H$28-1),N('APA Inputs'!$G$28),0),0))*IF('APA Inputs'!$I$28="",1,'APA Inputs'!$I$28))</f>
        <v>0</v>
      </c>
      <c r="H13" s="409" t="n">
        <f aca="false">IF('APA Inputs'!$C$28="",0,(IF(AND(H$4&gt;='APA Inputs'!$C$28,H$4&lt;EDATE('APA Inputs'!$C$28,N('APA Inputs'!$D$28))),'APA Inputs'!$J$28,0)+IF(N('APA Inputs'!$H$28)&gt;0,IF(H$4=EDATE('APA Inputs'!$C$28,'APA Inputs'!$H$28-1),N('APA Inputs'!$G$28),0),0))*IF('APA Inputs'!$I$28="",1,'APA Inputs'!$I$28))</f>
        <v>0</v>
      </c>
      <c r="I13" s="409" t="n">
        <f aca="false">IF('APA Inputs'!$C$28="",0,(IF(AND(I$4&gt;='APA Inputs'!$C$28,I$4&lt;EDATE('APA Inputs'!$C$28,N('APA Inputs'!$D$28))),'APA Inputs'!$J$28,0)+IF(N('APA Inputs'!$H$28)&gt;0,IF(I$4=EDATE('APA Inputs'!$C$28,'APA Inputs'!$H$28-1),N('APA Inputs'!$G$28),0),0))*IF('APA Inputs'!$I$28="",1,'APA Inputs'!$I$28))</f>
        <v>0</v>
      </c>
      <c r="J13" s="409" t="n">
        <f aca="false">IF('APA Inputs'!$C$28="",0,(IF(AND(J$4&gt;='APA Inputs'!$C$28,J$4&lt;EDATE('APA Inputs'!$C$28,N('APA Inputs'!$D$28))),'APA Inputs'!$J$28,0)+IF(N('APA Inputs'!$H$28)&gt;0,IF(J$4=EDATE('APA Inputs'!$C$28,'APA Inputs'!$H$28-1),N('APA Inputs'!$G$28),0),0))*IF('APA Inputs'!$I$28="",1,'APA Inputs'!$I$28))</f>
        <v>0</v>
      </c>
      <c r="K13" s="409" t="n">
        <f aca="false">IF('APA Inputs'!$C$28="",0,(IF(AND(K$4&gt;='APA Inputs'!$C$28,K$4&lt;EDATE('APA Inputs'!$C$28,N('APA Inputs'!$D$28))),'APA Inputs'!$J$28,0)+IF(N('APA Inputs'!$H$28)&gt;0,IF(K$4=EDATE('APA Inputs'!$C$28,'APA Inputs'!$H$28-1),N('APA Inputs'!$G$28),0),0))*IF('APA Inputs'!$I$28="",1,'APA Inputs'!$I$28))</f>
        <v>0</v>
      </c>
      <c r="L13" s="409" t="n">
        <f aca="false">IF('APA Inputs'!$C$28="",0,(IF(AND(L$4&gt;='APA Inputs'!$C$28,L$4&lt;EDATE('APA Inputs'!$C$28,N('APA Inputs'!$D$28))),'APA Inputs'!$J$28,0)+IF(N('APA Inputs'!$H$28)&gt;0,IF(L$4=EDATE('APA Inputs'!$C$28,'APA Inputs'!$H$28-1),N('APA Inputs'!$G$28),0),0))*IF('APA Inputs'!$I$28="",1,'APA Inputs'!$I$28))</f>
        <v>0</v>
      </c>
      <c r="M13" s="409" t="n">
        <f aca="false">IF('APA Inputs'!$C$28="",0,(IF(AND(M$4&gt;='APA Inputs'!$C$28,M$4&lt;EDATE('APA Inputs'!$C$28,N('APA Inputs'!$D$28))),'APA Inputs'!$J$28,0)+IF(N('APA Inputs'!$H$28)&gt;0,IF(M$4=EDATE('APA Inputs'!$C$28,'APA Inputs'!$H$28-1),N('APA Inputs'!$G$28),0),0))*IF('APA Inputs'!$I$28="",1,'APA Inputs'!$I$28))</f>
        <v>0</v>
      </c>
      <c r="N13" s="409" t="n">
        <f aca="false">IF('APA Inputs'!$C$28="",0,(IF(AND(N$4&gt;='APA Inputs'!$C$28,N$4&lt;EDATE('APA Inputs'!$C$28,N('APA Inputs'!$D$28))),'APA Inputs'!$J$28,0)+IF(N('APA Inputs'!$H$28)&gt;0,IF(N$4=EDATE('APA Inputs'!$C$28,'APA Inputs'!$H$28-1),N('APA Inputs'!$G$28),0),0))*IF('APA Inputs'!$I$28="",1,'APA Inputs'!$I$28))</f>
        <v>0</v>
      </c>
      <c r="O13" s="409" t="n">
        <f aca="false">IF('APA Inputs'!$C$28="",0,(IF(AND(O$4&gt;='APA Inputs'!$C$28,O$4&lt;EDATE('APA Inputs'!$C$28,N('APA Inputs'!$D$28))),'APA Inputs'!$J$28,0)+IF(N('APA Inputs'!$H$28)&gt;0,IF(O$4=EDATE('APA Inputs'!$C$28,'APA Inputs'!$H$28-1),N('APA Inputs'!$G$28),0),0))*IF('APA Inputs'!$I$28="",1,'APA Inputs'!$I$28))</f>
        <v>0</v>
      </c>
      <c r="P13" s="409" t="n">
        <f aca="false">IF('APA Inputs'!$C$28="",0,(IF(AND(P$4&gt;='APA Inputs'!$C$28,P$4&lt;EDATE('APA Inputs'!$C$28,N('APA Inputs'!$D$28))),'APA Inputs'!$J$28,0)+IF(N('APA Inputs'!$H$28)&gt;0,IF(P$4=EDATE('APA Inputs'!$C$28,'APA Inputs'!$H$28-1),N('APA Inputs'!$G$28),0),0))*IF('APA Inputs'!$I$28="",1,'APA Inputs'!$I$28))</f>
        <v>0</v>
      </c>
      <c r="Q13" s="409" t="n">
        <f aca="false">IF('APA Inputs'!$C$28="",0,(IF(AND(Q$4&gt;='APA Inputs'!$C$28,Q$4&lt;EDATE('APA Inputs'!$C$28,N('APA Inputs'!$D$28))),'APA Inputs'!$J$28,0)+IF(N('APA Inputs'!$H$28)&gt;0,IF(Q$4=EDATE('APA Inputs'!$C$28,'APA Inputs'!$H$28-1),N('APA Inputs'!$G$28),0),0))*IF('APA Inputs'!$I$28="",1,'APA Inputs'!$I$28))</f>
        <v>0</v>
      </c>
      <c r="R13" s="409" t="n">
        <f aca="false">IF('APA Inputs'!$C$28="",0,(IF(AND(R$4&gt;='APA Inputs'!$C$28,R$4&lt;EDATE('APA Inputs'!$C$28,N('APA Inputs'!$D$28))),'APA Inputs'!$J$28,0)+IF(N('APA Inputs'!$H$28)&gt;0,IF(R$4=EDATE('APA Inputs'!$C$28,'APA Inputs'!$H$28-1),N('APA Inputs'!$G$28),0),0))*IF('APA Inputs'!$I$28="",1,'APA Inputs'!$I$28))</f>
        <v>0</v>
      </c>
      <c r="S13" s="409" t="n">
        <f aca="false">IF('APA Inputs'!$C$28="",0,(IF(AND(S$4&gt;='APA Inputs'!$C$28,S$4&lt;EDATE('APA Inputs'!$C$28,N('APA Inputs'!$D$28))),'APA Inputs'!$J$28,0)+IF(N('APA Inputs'!$H$28)&gt;0,IF(S$4=EDATE('APA Inputs'!$C$28,'APA Inputs'!$H$28-1),N('APA Inputs'!$G$28),0),0))*IF('APA Inputs'!$I$28="",1,'APA Inputs'!$I$28))</f>
        <v>0</v>
      </c>
      <c r="T13" s="409" t="n">
        <f aca="false">IF('APA Inputs'!$C$28="",0,(IF(AND(T$4&gt;='APA Inputs'!$C$28,T$4&lt;EDATE('APA Inputs'!$C$28,N('APA Inputs'!$D$28))),'APA Inputs'!$J$28,0)+IF(N('APA Inputs'!$H$28)&gt;0,IF(T$4=EDATE('APA Inputs'!$C$28,'APA Inputs'!$H$28-1),N('APA Inputs'!$G$28),0),0))*IF('APA Inputs'!$I$28="",1,'APA Inputs'!$I$28))</f>
        <v>0</v>
      </c>
      <c r="U13" s="409" t="n">
        <f aca="false">IF('APA Inputs'!$C$28="",0,(IF(AND(U$4&gt;='APA Inputs'!$C$28,U$4&lt;EDATE('APA Inputs'!$C$28,N('APA Inputs'!$D$28))),'APA Inputs'!$J$28,0)+IF(N('APA Inputs'!$H$28)&gt;0,IF(U$4=EDATE('APA Inputs'!$C$28,'APA Inputs'!$H$28-1),N('APA Inputs'!$G$28),0),0))*IF('APA Inputs'!$I$28="",1,'APA Inputs'!$I$28))</f>
        <v>0</v>
      </c>
      <c r="V13" s="409" t="n">
        <f aca="false">IF('APA Inputs'!$C$28="",0,(IF(AND(V$4&gt;='APA Inputs'!$C$28,V$4&lt;EDATE('APA Inputs'!$C$28,N('APA Inputs'!$D$28))),'APA Inputs'!$J$28,0)+IF(N('APA Inputs'!$H$28)&gt;0,IF(V$4=EDATE('APA Inputs'!$C$28,'APA Inputs'!$H$28-1),N('APA Inputs'!$G$28),0),0))*IF('APA Inputs'!$I$28="",1,'APA Inputs'!$I$28))</f>
        <v>0</v>
      </c>
      <c r="W13" s="409" t="n">
        <f aca="false">IF('APA Inputs'!$C$28="",0,(IF(AND(W$4&gt;='APA Inputs'!$C$28,W$4&lt;EDATE('APA Inputs'!$C$28,N('APA Inputs'!$D$28))),'APA Inputs'!$J$28,0)+IF(N('APA Inputs'!$H$28)&gt;0,IF(W$4=EDATE('APA Inputs'!$C$28,'APA Inputs'!$H$28-1),N('APA Inputs'!$G$28),0),0))*IF('APA Inputs'!$I$28="",1,'APA Inputs'!$I$28))</f>
        <v>0</v>
      </c>
      <c r="X13" s="409" t="n">
        <f aca="false">IF('APA Inputs'!$C$28="",0,(IF(AND(X$4&gt;='APA Inputs'!$C$28,X$4&lt;EDATE('APA Inputs'!$C$28,N('APA Inputs'!$D$28))),'APA Inputs'!$J$28,0)+IF(N('APA Inputs'!$H$28)&gt;0,IF(X$4=EDATE('APA Inputs'!$C$28,'APA Inputs'!$H$28-1),N('APA Inputs'!$G$28),0),0))*IF('APA Inputs'!$I$28="",1,'APA Inputs'!$I$28))</f>
        <v>0</v>
      </c>
      <c r="Y13" s="409" t="n">
        <f aca="false">IF('APA Inputs'!$C$28="",0,(IF(AND(Y$4&gt;='APA Inputs'!$C$28,Y$4&lt;EDATE('APA Inputs'!$C$28,N('APA Inputs'!$D$28))),'APA Inputs'!$J$28,0)+IF(N('APA Inputs'!$H$28)&gt;0,IF(Y$4=EDATE('APA Inputs'!$C$28,'APA Inputs'!$H$28-1),N('APA Inputs'!$G$28),0),0))*IF('APA Inputs'!$I$28="",1,'APA Inputs'!$I$28))</f>
        <v>0</v>
      </c>
      <c r="Z13" s="409" t="n">
        <f aca="false">IF('APA Inputs'!$C$28="",0,(IF(AND(Z$4&gt;='APA Inputs'!$C$28,Z$4&lt;EDATE('APA Inputs'!$C$28,N('APA Inputs'!$D$28))),'APA Inputs'!$J$28,0)+IF(N('APA Inputs'!$H$28)&gt;0,IF(Z$4=EDATE('APA Inputs'!$C$28,'APA Inputs'!$H$28-1),N('APA Inputs'!$G$28),0),0))*IF('APA Inputs'!$I$28="",1,'APA Inputs'!$I$28))</f>
        <v>0</v>
      </c>
      <c r="AA13" s="409" t="n">
        <f aca="false">IF('APA Inputs'!$C$28="",0,(IF(AND(AA$4&gt;='APA Inputs'!$C$28,AA$4&lt;EDATE('APA Inputs'!$C$28,N('APA Inputs'!$D$28))),'APA Inputs'!$J$28,0)+IF(N('APA Inputs'!$H$28)&gt;0,IF(AA$4=EDATE('APA Inputs'!$C$28,'APA Inputs'!$H$28-1),N('APA Inputs'!$G$28),0),0))*IF('APA Inputs'!$I$28="",1,'APA Inputs'!$I$28))</f>
        <v>0</v>
      </c>
      <c r="AB13" s="409" t="n">
        <f aca="false">IF('APA Inputs'!$C$28="",0,(IF(AND(AB$4&gt;='APA Inputs'!$C$28,AB$4&lt;EDATE('APA Inputs'!$C$28,N('APA Inputs'!$D$28))),'APA Inputs'!$J$28,0)+IF(N('APA Inputs'!$H$28)&gt;0,IF(AB$4=EDATE('APA Inputs'!$C$28,'APA Inputs'!$H$28-1),N('APA Inputs'!$G$28),0),0))*IF('APA Inputs'!$I$28="",1,'APA Inputs'!$I$28))</f>
        <v>0</v>
      </c>
      <c r="AC13" s="409" t="n">
        <f aca="false">IF('APA Inputs'!$C$28="",0,(IF(AND(AC$4&gt;='APA Inputs'!$C$28,AC$4&lt;EDATE('APA Inputs'!$C$28,N('APA Inputs'!$D$28))),'APA Inputs'!$J$28,0)+IF(N('APA Inputs'!$H$28)&gt;0,IF(AC$4=EDATE('APA Inputs'!$C$28,'APA Inputs'!$H$28-1),N('APA Inputs'!$G$28),0),0))*IF('APA Inputs'!$I$28="",1,'APA Inputs'!$I$28))</f>
        <v>0</v>
      </c>
      <c r="AD13" s="409" t="n">
        <f aca="false">IF('APA Inputs'!$C$28="",0,(IF(AND(AD$4&gt;='APA Inputs'!$C$28,AD$4&lt;EDATE('APA Inputs'!$C$28,N('APA Inputs'!$D$28))),'APA Inputs'!$J$28,0)+IF(N('APA Inputs'!$H$28)&gt;0,IF(AD$4=EDATE('APA Inputs'!$C$28,'APA Inputs'!$H$28-1),N('APA Inputs'!$G$28),0),0))*IF('APA Inputs'!$I$28="",1,'APA Inputs'!$I$28))</f>
        <v>0</v>
      </c>
      <c r="AE13" s="409" t="n">
        <f aca="false">IF('APA Inputs'!$C$28="",0,(IF(AND(AE$4&gt;='APA Inputs'!$C$28,AE$4&lt;EDATE('APA Inputs'!$C$28,N('APA Inputs'!$D$28))),'APA Inputs'!$J$28,0)+IF(N('APA Inputs'!$H$28)&gt;0,IF(AE$4=EDATE('APA Inputs'!$C$28,'APA Inputs'!$H$28-1),N('APA Inputs'!$G$28),0),0))*IF('APA Inputs'!$I$28="",1,'APA Inputs'!$I$28))</f>
        <v>0</v>
      </c>
      <c r="AF13" s="409" t="n">
        <f aca="false">IF('APA Inputs'!$C$28="",0,(IF(AND(AF$4&gt;='APA Inputs'!$C$28,AF$4&lt;EDATE('APA Inputs'!$C$28,N('APA Inputs'!$D$28))),'APA Inputs'!$J$28,0)+IF(N('APA Inputs'!$H$28)&gt;0,IF(AF$4=EDATE('APA Inputs'!$C$28,'APA Inputs'!$H$28-1),N('APA Inputs'!$G$28),0),0))*IF('APA Inputs'!$I$28="",1,'APA Inputs'!$I$28))</f>
        <v>0</v>
      </c>
      <c r="AG13" s="409" t="n">
        <f aca="false">IF('APA Inputs'!$C$28="",0,(IF(AND(AG$4&gt;='APA Inputs'!$C$28,AG$4&lt;EDATE('APA Inputs'!$C$28,N('APA Inputs'!$D$28))),'APA Inputs'!$J$28,0)+IF(N('APA Inputs'!$H$28)&gt;0,IF(AG$4=EDATE('APA Inputs'!$C$28,'APA Inputs'!$H$28-1),N('APA Inputs'!$G$28),0),0))*IF('APA Inputs'!$I$28="",1,'APA Inputs'!$I$28))</f>
        <v>0</v>
      </c>
      <c r="AH13" s="409" t="n">
        <f aca="false">IF('APA Inputs'!$C$28="",0,(IF(AND(AH$4&gt;='APA Inputs'!$C$28,AH$4&lt;EDATE('APA Inputs'!$C$28,N('APA Inputs'!$D$28))),'APA Inputs'!$J$28,0)+IF(N('APA Inputs'!$H$28)&gt;0,IF(AH$4=EDATE('APA Inputs'!$C$28,'APA Inputs'!$H$28-1),N('APA Inputs'!$G$28),0),0))*IF('APA Inputs'!$I$28="",1,'APA Inputs'!$I$28))</f>
        <v>0</v>
      </c>
      <c r="AI13" s="409" t="n">
        <f aca="false">IF('APA Inputs'!$C$28="",0,(IF(AND(AI$4&gt;='APA Inputs'!$C$28,AI$4&lt;EDATE('APA Inputs'!$C$28,N('APA Inputs'!$D$28))),'APA Inputs'!$J$28,0)+IF(N('APA Inputs'!$H$28)&gt;0,IF(AI$4=EDATE('APA Inputs'!$C$28,'APA Inputs'!$H$28-1),N('APA Inputs'!$G$28),0),0))*IF('APA Inputs'!$I$28="",1,'APA Inputs'!$I$28))</f>
        <v>0</v>
      </c>
      <c r="AJ13" s="409" t="n">
        <f aca="false">IF('APA Inputs'!$C$28="",0,(IF(AND(AJ$4&gt;='APA Inputs'!$C$28,AJ$4&lt;EDATE('APA Inputs'!$C$28,N('APA Inputs'!$D$28))),'APA Inputs'!$J$28,0)+IF(N('APA Inputs'!$H$28)&gt;0,IF(AJ$4=EDATE('APA Inputs'!$C$28,'APA Inputs'!$H$28-1),N('APA Inputs'!$G$28),0),0))*IF('APA Inputs'!$I$28="",1,'APA Inputs'!$I$28))</f>
        <v>0</v>
      </c>
      <c r="AK13" s="409" t="n">
        <f aca="false">IF('APA Inputs'!$C$28="",0,(IF(AND(AK$4&gt;='APA Inputs'!$C$28,AK$4&lt;EDATE('APA Inputs'!$C$28,N('APA Inputs'!$D$28))),'APA Inputs'!$J$28,0)+IF(N('APA Inputs'!$H$28)&gt;0,IF(AK$4=EDATE('APA Inputs'!$C$28,'APA Inputs'!$H$28-1),N('APA Inputs'!$G$28),0),0))*IF('APA Inputs'!$I$28="",1,'APA Inputs'!$I$28))</f>
        <v>0</v>
      </c>
      <c r="AL13" s="409" t="n">
        <f aca="false">IF('APA Inputs'!$C$28="",0,(IF(AND(AL$4&gt;='APA Inputs'!$C$28,AL$4&lt;EDATE('APA Inputs'!$C$28,N('APA Inputs'!$D$28))),'APA Inputs'!$J$28,0)+IF(N('APA Inputs'!$H$28)&gt;0,IF(AL$4=EDATE('APA Inputs'!$C$28,'APA Inputs'!$H$28-1),N('APA Inputs'!$G$28),0),0))*IF('APA Inputs'!$I$28="",1,'APA Inputs'!$I$28))</f>
        <v>0</v>
      </c>
      <c r="AM13" s="409" t="n">
        <f aca="false">IF('APA Inputs'!$C$28="",0,(IF(AND(AM$4&gt;='APA Inputs'!$C$28,AM$4&lt;EDATE('APA Inputs'!$C$28,N('APA Inputs'!$D$28))),'APA Inputs'!$J$28,0)+IF(N('APA Inputs'!$H$28)&gt;0,IF(AM$4=EDATE('APA Inputs'!$C$28,'APA Inputs'!$H$28-1),N('APA Inputs'!$G$28),0),0))*IF('APA Inputs'!$I$28="",1,'APA Inputs'!$I$28))</f>
        <v>0</v>
      </c>
      <c r="AN13" s="409" t="n">
        <f aca="false">IF('APA Inputs'!$C$28="",0,(IF(AND(AN$4&gt;='APA Inputs'!$C$28,AN$4&lt;EDATE('APA Inputs'!$C$28,N('APA Inputs'!$D$28))),'APA Inputs'!$J$28,0)+IF(N('APA Inputs'!$H$28)&gt;0,IF(AN$4=EDATE('APA Inputs'!$C$28,'APA Inputs'!$H$28-1),N('APA Inputs'!$G$28),0),0))*IF('APA Inputs'!$I$28="",1,'APA Inputs'!$I$28))</f>
        <v>0</v>
      </c>
      <c r="AO13" s="409" t="n">
        <f aca="false">IF('APA Inputs'!$C$28="",0,(IF(AND(AO$4&gt;='APA Inputs'!$C$28,AO$4&lt;EDATE('APA Inputs'!$C$28,N('APA Inputs'!$D$28))),'APA Inputs'!$J$28,0)+IF(N('APA Inputs'!$H$28)&gt;0,IF(AO$4=EDATE('APA Inputs'!$C$28,'APA Inputs'!$H$28-1),N('APA Inputs'!$G$28),0),0))*IF('APA Inputs'!$I$28="",1,'APA Inputs'!$I$28))</f>
        <v>0</v>
      </c>
      <c r="AP13" s="409" t="n">
        <f aca="false">IF('APA Inputs'!$C$28="",0,(IF(AND(AP$4&gt;='APA Inputs'!$C$28,AP$4&lt;EDATE('APA Inputs'!$C$28,N('APA Inputs'!$D$28))),'APA Inputs'!$J$28,0)+IF(N('APA Inputs'!$H$28)&gt;0,IF(AP$4=EDATE('APA Inputs'!$C$28,'APA Inputs'!$H$28-1),N('APA Inputs'!$G$28),0),0))*IF('APA Inputs'!$I$28="",1,'APA Inputs'!$I$28))</f>
        <v>0</v>
      </c>
      <c r="AQ13" s="409" t="n">
        <f aca="false">IF('APA Inputs'!$C$28="",0,(IF(AND(AQ$4&gt;='APA Inputs'!$C$28,AQ$4&lt;EDATE('APA Inputs'!$C$28,N('APA Inputs'!$D$28))),'APA Inputs'!$J$28,0)+IF(N('APA Inputs'!$H$28)&gt;0,IF(AQ$4=EDATE('APA Inputs'!$C$28,'APA Inputs'!$H$28-1),N('APA Inputs'!$G$28),0),0))*IF('APA Inputs'!$I$28="",1,'APA Inputs'!$I$28))</f>
        <v>0</v>
      </c>
      <c r="AR13" s="409" t="n">
        <f aca="false">IF('APA Inputs'!$C$28="",0,(IF(AND(AR$4&gt;='APA Inputs'!$C$28,AR$4&lt;EDATE('APA Inputs'!$C$28,N('APA Inputs'!$D$28))),'APA Inputs'!$J$28,0)+IF(N('APA Inputs'!$H$28)&gt;0,IF(AR$4=EDATE('APA Inputs'!$C$28,'APA Inputs'!$H$28-1),N('APA Inputs'!$G$28),0),0))*IF('APA Inputs'!$I$28="",1,'APA Inputs'!$I$28))</f>
        <v>0</v>
      </c>
      <c r="AS13" s="409" t="n">
        <f aca="false">IF('APA Inputs'!$C$28="",0,(IF(AND(AS$4&gt;='APA Inputs'!$C$28,AS$4&lt;EDATE('APA Inputs'!$C$28,N('APA Inputs'!$D$28))),'APA Inputs'!$J$28,0)+IF(N('APA Inputs'!$H$28)&gt;0,IF(AS$4=EDATE('APA Inputs'!$C$28,'APA Inputs'!$H$28-1),N('APA Inputs'!$G$28),0),0))*IF('APA Inputs'!$I$28="",1,'APA Inputs'!$I$28))</f>
        <v>0</v>
      </c>
      <c r="AT13" s="409" t="n">
        <f aca="false">IF('APA Inputs'!$C$28="",0,(IF(AND(AT$4&gt;='APA Inputs'!$C$28,AT$4&lt;EDATE('APA Inputs'!$C$28,N('APA Inputs'!$D$28))),'APA Inputs'!$J$28,0)+IF(N('APA Inputs'!$H$28)&gt;0,IF(AT$4=EDATE('APA Inputs'!$C$28,'APA Inputs'!$H$28-1),N('APA Inputs'!$G$28),0),0))*IF('APA Inputs'!$I$28="",1,'APA Inputs'!$I$28))</f>
        <v>0</v>
      </c>
      <c r="AU13" s="409" t="n">
        <f aca="false">IF('APA Inputs'!$C$28="",0,(IF(AND(AU$4&gt;='APA Inputs'!$C$28,AU$4&lt;EDATE('APA Inputs'!$C$28,N('APA Inputs'!$D$28))),'APA Inputs'!$J$28,0)+IF(N('APA Inputs'!$H$28)&gt;0,IF(AU$4=EDATE('APA Inputs'!$C$28,'APA Inputs'!$H$28-1),N('APA Inputs'!$G$28),0),0))*IF('APA Inputs'!$I$28="",1,'APA Inputs'!$I$28))</f>
        <v>0</v>
      </c>
      <c r="AV13" s="409" t="n">
        <f aca="false">IF('APA Inputs'!$C$28="",0,(IF(AND(AV$4&gt;='APA Inputs'!$C$28,AV$4&lt;EDATE('APA Inputs'!$C$28,N('APA Inputs'!$D$28))),'APA Inputs'!$J$28,0)+IF(N('APA Inputs'!$H$28)&gt;0,IF(AV$4=EDATE('APA Inputs'!$C$28,'APA Inputs'!$H$28-1),N('APA Inputs'!$G$28),0),0))*IF('APA Inputs'!$I$28="",1,'APA Inputs'!$I$28))</f>
        <v>0</v>
      </c>
      <c r="AW13" s="409" t="n">
        <f aca="false">IF('APA Inputs'!$C$28="",0,(IF(AND(AW$4&gt;='APA Inputs'!$C$28,AW$4&lt;EDATE('APA Inputs'!$C$28,N('APA Inputs'!$D$28))),'APA Inputs'!$J$28,0)+IF(N('APA Inputs'!$H$28)&gt;0,IF(AW$4=EDATE('APA Inputs'!$C$28,'APA Inputs'!$H$28-1),N('APA Inputs'!$G$28),0),0))*IF('APA Inputs'!$I$28="",1,'APA Inputs'!$I$28))</f>
        <v>0</v>
      </c>
      <c r="AX13" s="409" t="n">
        <f aca="false">IF('APA Inputs'!$C$28="",0,(IF(AND(AX$4&gt;='APA Inputs'!$C$28,AX$4&lt;EDATE('APA Inputs'!$C$28,N('APA Inputs'!$D$28))),'APA Inputs'!$J$28,0)+IF(N('APA Inputs'!$H$28)&gt;0,IF(AX$4=EDATE('APA Inputs'!$C$28,'APA Inputs'!$H$28-1),N('APA Inputs'!$G$28),0),0))*IF('APA Inputs'!$I$28="",1,'APA Inputs'!$I$28))</f>
        <v>0</v>
      </c>
      <c r="AY13" s="409" t="n">
        <f aca="false">IF('APA Inputs'!$C$28="",0,(IF(AND(AY$4&gt;='APA Inputs'!$C$28,AY$4&lt;EDATE('APA Inputs'!$C$28,N('APA Inputs'!$D$28))),'APA Inputs'!$J$28,0)+IF(N('APA Inputs'!$H$28)&gt;0,IF(AY$4=EDATE('APA Inputs'!$C$28,'APA Inputs'!$H$28-1),N('APA Inputs'!$G$28),0),0))*IF('APA Inputs'!$I$28="",1,'APA Inputs'!$I$28))</f>
        <v>0</v>
      </c>
      <c r="AZ13" s="409" t="n">
        <f aca="false">IF('APA Inputs'!$C$28="",0,(IF(AND(AZ$4&gt;='APA Inputs'!$C$28,AZ$4&lt;EDATE('APA Inputs'!$C$28,N('APA Inputs'!$D$28))),'APA Inputs'!$J$28,0)+IF(N('APA Inputs'!$H$28)&gt;0,IF(AZ$4=EDATE('APA Inputs'!$C$28,'APA Inputs'!$H$28-1),N('APA Inputs'!$G$28),0),0))*IF('APA Inputs'!$I$28="",1,'APA Inputs'!$I$28))</f>
        <v>0</v>
      </c>
      <c r="BA13" s="409" t="n">
        <f aca="false">IF('APA Inputs'!$C$28="",0,(IF(AND(BA$4&gt;='APA Inputs'!$C$28,BA$4&lt;EDATE('APA Inputs'!$C$28,N('APA Inputs'!$D$28))),'APA Inputs'!$J$28,0)+IF(N('APA Inputs'!$H$28)&gt;0,IF(BA$4=EDATE('APA Inputs'!$C$28,'APA Inputs'!$H$28-1),N('APA Inputs'!$G$28),0),0))*IF('APA Inputs'!$I$28="",1,'APA Inputs'!$I$28))</f>
        <v>0</v>
      </c>
      <c r="BB13" s="409" t="n">
        <f aca="false">IF('APA Inputs'!$C$28="",0,(IF(AND(BB$4&gt;='APA Inputs'!$C$28,BB$4&lt;EDATE('APA Inputs'!$C$28,N('APA Inputs'!$D$28))),'APA Inputs'!$J$28,0)+IF(N('APA Inputs'!$H$28)&gt;0,IF(BB$4=EDATE('APA Inputs'!$C$28,'APA Inputs'!$H$28-1),N('APA Inputs'!$G$28),0),0))*IF('APA Inputs'!$I$28="",1,'APA Inputs'!$I$28))</f>
        <v>0</v>
      </c>
      <c r="BC13" s="409" t="n">
        <f aca="false">IF('APA Inputs'!$C$28="",0,(IF(AND(BC$4&gt;='APA Inputs'!$C$28,BC$4&lt;EDATE('APA Inputs'!$C$28,N('APA Inputs'!$D$28))),'APA Inputs'!$J$28,0)+IF(N('APA Inputs'!$H$28)&gt;0,IF(BC$4=EDATE('APA Inputs'!$C$28,'APA Inputs'!$H$28-1),N('APA Inputs'!$G$28),0),0))*IF('APA Inputs'!$I$28="",1,'APA Inputs'!$I$28))</f>
        <v>0</v>
      </c>
      <c r="BD13" s="409" t="n">
        <f aca="false">IF('APA Inputs'!$C$28="",0,(IF(AND(BD$4&gt;='APA Inputs'!$C$28,BD$4&lt;EDATE('APA Inputs'!$C$28,N('APA Inputs'!$D$28))),'APA Inputs'!$J$28,0)+IF(N('APA Inputs'!$H$28)&gt;0,IF(BD$4=EDATE('APA Inputs'!$C$28,'APA Inputs'!$H$28-1),N('APA Inputs'!$G$28),0),0))*IF('APA Inputs'!$I$28="",1,'APA Inputs'!$I$28))</f>
        <v>0</v>
      </c>
      <c r="BE13" s="409" t="n">
        <f aca="false">IF('APA Inputs'!$C$28="",0,(IF(AND(BE$4&gt;='APA Inputs'!$C$28,BE$4&lt;EDATE('APA Inputs'!$C$28,N('APA Inputs'!$D$28))),'APA Inputs'!$J$28,0)+IF(N('APA Inputs'!$H$28)&gt;0,IF(BE$4=EDATE('APA Inputs'!$C$28,'APA Inputs'!$H$28-1),N('APA Inputs'!$G$28),0),0))*IF('APA Inputs'!$I$28="",1,'APA Inputs'!$I$28))</f>
        <v>0</v>
      </c>
      <c r="BF13" s="409" t="n">
        <f aca="false">IF('APA Inputs'!$C$28="",0,(IF(AND(BF$4&gt;='APA Inputs'!$C$28,BF$4&lt;EDATE('APA Inputs'!$C$28,N('APA Inputs'!$D$28))),'APA Inputs'!$J$28,0)+IF(N('APA Inputs'!$H$28)&gt;0,IF(BF$4=EDATE('APA Inputs'!$C$28,'APA Inputs'!$H$28-1),N('APA Inputs'!$G$28),0),0))*IF('APA Inputs'!$I$28="",1,'APA Inputs'!$I$28))</f>
        <v>0</v>
      </c>
      <c r="BG13" s="409" t="n">
        <f aca="false">IF('APA Inputs'!$C$28="",0,(IF(AND(BG$4&gt;='APA Inputs'!$C$28,BG$4&lt;EDATE('APA Inputs'!$C$28,N('APA Inputs'!$D$28))),'APA Inputs'!$J$28,0)+IF(N('APA Inputs'!$H$28)&gt;0,IF(BG$4=EDATE('APA Inputs'!$C$28,'APA Inputs'!$H$28-1),N('APA Inputs'!$G$28),0),0))*IF('APA Inputs'!$I$28="",1,'APA Inputs'!$I$28))</f>
        <v>0</v>
      </c>
      <c r="BH13" s="409" t="n">
        <f aca="false">IF('APA Inputs'!$C$28="",0,(IF(AND(BH$4&gt;='APA Inputs'!$C$28,BH$4&lt;EDATE('APA Inputs'!$C$28,N('APA Inputs'!$D$28))),'APA Inputs'!$J$28,0)+IF(N('APA Inputs'!$H$28)&gt;0,IF(BH$4=EDATE('APA Inputs'!$C$28,'APA Inputs'!$H$28-1),N('APA Inputs'!$G$28),0),0))*IF('APA Inputs'!$I$28="",1,'APA Inputs'!$I$28))</f>
        <v>0</v>
      </c>
      <c r="BI13" s="409" t="n">
        <f aca="false">IF('APA Inputs'!$C$28="",0,(IF(AND(BI$4&gt;='APA Inputs'!$C$28,BI$4&lt;EDATE('APA Inputs'!$C$28,N('APA Inputs'!$D$28))),'APA Inputs'!$J$28,0)+IF(N('APA Inputs'!$H$28)&gt;0,IF(BI$4=EDATE('APA Inputs'!$C$28,'APA Inputs'!$H$28-1),N('APA Inputs'!$G$28),0),0))*IF('APA Inputs'!$I$28="",1,'APA Inputs'!$I$28))</f>
        <v>0</v>
      </c>
      <c r="BJ13" s="409" t="n">
        <f aca="false">IF('APA Inputs'!$C$28="",0,(IF(AND(BJ$4&gt;='APA Inputs'!$C$28,BJ$4&lt;EDATE('APA Inputs'!$C$28,N('APA Inputs'!$D$28))),'APA Inputs'!$J$28,0)+IF(N('APA Inputs'!$H$28)&gt;0,IF(BJ$4=EDATE('APA Inputs'!$C$28,'APA Inputs'!$H$28-1),N('APA Inputs'!$G$28),0),0))*IF('APA Inputs'!$I$28="",1,'APA Inputs'!$I$28))</f>
        <v>0</v>
      </c>
      <c r="BK13" s="409" t="n">
        <f aca="false">IF('APA Inputs'!$C$28="",0,(IF(AND(BK$4&gt;='APA Inputs'!$C$28,BK$4&lt;EDATE('APA Inputs'!$C$28,N('APA Inputs'!$D$28))),'APA Inputs'!$J$28,0)+IF(N('APA Inputs'!$H$28)&gt;0,IF(BK$4=EDATE('APA Inputs'!$C$28,'APA Inputs'!$H$28-1),N('APA Inputs'!$G$28),0),0))*IF('APA Inputs'!$I$28="",1,'APA Inputs'!$I$28))</f>
        <v>0</v>
      </c>
      <c r="BL13" s="409" t="n">
        <f aca="false">IF('APA Inputs'!$C$28="",0,(IF(AND(BL$4&gt;='APA Inputs'!$C$28,BL$4&lt;EDATE('APA Inputs'!$C$28,N('APA Inputs'!$D$28))),'APA Inputs'!$J$28,0)+IF(N('APA Inputs'!$H$28)&gt;0,IF(BL$4=EDATE('APA Inputs'!$C$28,'APA Inputs'!$H$28-1),N('APA Inputs'!$G$28),0),0))*IF('APA Inputs'!$I$28="",1,'APA Inputs'!$I$28))</f>
        <v>0</v>
      </c>
      <c r="BM13" s="409" t="n">
        <f aca="false">IF('APA Inputs'!$C$28="",0,(IF(AND(BM$4&gt;='APA Inputs'!$C$28,BM$4&lt;EDATE('APA Inputs'!$C$28,N('APA Inputs'!$D$28))),'APA Inputs'!$J$28,0)+IF(N('APA Inputs'!$H$28)&gt;0,IF(BM$4=EDATE('APA Inputs'!$C$28,'APA Inputs'!$H$28-1),N('APA Inputs'!$G$28),0),0))*IF('APA Inputs'!$I$28="",1,'APA Inputs'!$I$28))</f>
        <v>0</v>
      </c>
      <c r="BN13" s="409" t="n">
        <f aca="false">IF('APA Inputs'!$C$28="",0,(IF(AND(BN$4&gt;='APA Inputs'!$C$28,BN$4&lt;EDATE('APA Inputs'!$C$28,N('APA Inputs'!$D$28))),'APA Inputs'!$J$28,0)+IF(N('APA Inputs'!$H$28)&gt;0,IF(BN$4=EDATE('APA Inputs'!$C$28,'APA Inputs'!$H$28-1),N('APA Inputs'!$G$28),0),0))*IF('APA Inputs'!$I$28="",1,'APA Inputs'!$I$28))</f>
        <v>0</v>
      </c>
      <c r="BO13" s="409" t="n">
        <f aca="false">IF('APA Inputs'!$C$28="",0,(IF(AND(BO$4&gt;='APA Inputs'!$C$28,BO$4&lt;EDATE('APA Inputs'!$C$28,N('APA Inputs'!$D$28))),'APA Inputs'!$J$28,0)+IF(N('APA Inputs'!$H$28)&gt;0,IF(BO$4=EDATE('APA Inputs'!$C$28,'APA Inputs'!$H$28-1),N('APA Inputs'!$G$28),0),0))*IF('APA Inputs'!$I$28="",1,'APA Inputs'!$I$28))</f>
        <v>0</v>
      </c>
      <c r="BP13" s="409" t="n">
        <f aca="false">IF('APA Inputs'!$C$28="",0,(IF(AND(BP$4&gt;='APA Inputs'!$C$28,BP$4&lt;EDATE('APA Inputs'!$C$28,N('APA Inputs'!$D$28))),'APA Inputs'!$J$28,0)+IF(N('APA Inputs'!$H$28)&gt;0,IF(BP$4=EDATE('APA Inputs'!$C$28,'APA Inputs'!$H$28-1),N('APA Inputs'!$G$28),0),0))*IF('APA Inputs'!$I$28="",1,'APA Inputs'!$I$28))</f>
        <v>0</v>
      </c>
      <c r="BQ13" s="409" t="n">
        <f aca="false">IF('APA Inputs'!$C$28="",0,(IF(AND(BQ$4&gt;='APA Inputs'!$C$28,BQ$4&lt;EDATE('APA Inputs'!$C$28,N('APA Inputs'!$D$28))),'APA Inputs'!$J$28,0)+IF(N('APA Inputs'!$H$28)&gt;0,IF(BQ$4=EDATE('APA Inputs'!$C$28,'APA Inputs'!$H$28-1),N('APA Inputs'!$G$28),0),0))*IF('APA Inputs'!$I$28="",1,'APA Inputs'!$I$28))</f>
        <v>0</v>
      </c>
      <c r="BR13" s="409" t="n">
        <f aca="false">IF('APA Inputs'!$C$28="",0,(IF(AND(BR$4&gt;='APA Inputs'!$C$28,BR$4&lt;EDATE('APA Inputs'!$C$28,N('APA Inputs'!$D$28))),'APA Inputs'!$J$28,0)+IF(N('APA Inputs'!$H$28)&gt;0,IF(BR$4=EDATE('APA Inputs'!$C$28,'APA Inputs'!$H$28-1),N('APA Inputs'!$G$28),0),0))*IF('APA Inputs'!$I$28="",1,'APA Inputs'!$I$28))</f>
        <v>0</v>
      </c>
      <c r="BS13" s="409" t="n">
        <f aca="false">IF('APA Inputs'!$C$28="",0,(IF(AND(BS$4&gt;='APA Inputs'!$C$28,BS$4&lt;EDATE('APA Inputs'!$C$28,N('APA Inputs'!$D$28))),'APA Inputs'!$J$28,0)+IF(N('APA Inputs'!$H$28)&gt;0,IF(BS$4=EDATE('APA Inputs'!$C$28,'APA Inputs'!$H$28-1),N('APA Inputs'!$G$28),0),0))*IF('APA Inputs'!$I$28="",1,'APA Inputs'!$I$28))</f>
        <v>0</v>
      </c>
      <c r="BT13" s="409" t="n">
        <f aca="false">IF('APA Inputs'!$C$28="",0,(IF(AND(BT$4&gt;='APA Inputs'!$C$28,BT$4&lt;EDATE('APA Inputs'!$C$28,N('APA Inputs'!$D$28))),'APA Inputs'!$J$28,0)+IF(N('APA Inputs'!$H$28)&gt;0,IF(BT$4=EDATE('APA Inputs'!$C$28,'APA Inputs'!$H$28-1),N('APA Inputs'!$G$28),0),0))*IF('APA Inputs'!$I$28="",1,'APA Inputs'!$I$28))</f>
        <v>0</v>
      </c>
      <c r="BU13" s="409" t="n">
        <f aca="false">IF('APA Inputs'!$C$28="",0,(IF(AND(BU$4&gt;='APA Inputs'!$C$28,BU$4&lt;EDATE('APA Inputs'!$C$28,N('APA Inputs'!$D$28))),'APA Inputs'!$J$28,0)+IF(N('APA Inputs'!$H$28)&gt;0,IF(BU$4=EDATE('APA Inputs'!$C$28,'APA Inputs'!$H$28-1),N('APA Inputs'!$G$28),0),0))*IF('APA Inputs'!$I$28="",1,'APA Inputs'!$I$28))</f>
        <v>0</v>
      </c>
      <c r="BV13" s="409" t="n">
        <f aca="false">IF('APA Inputs'!$C$28="",0,(IF(AND(BV$4&gt;='APA Inputs'!$C$28,BV$4&lt;EDATE('APA Inputs'!$C$28,N('APA Inputs'!$D$28))),'APA Inputs'!$J$28,0)+IF(N('APA Inputs'!$H$28)&gt;0,IF(BV$4=EDATE('APA Inputs'!$C$28,'APA Inputs'!$H$28-1),N('APA Inputs'!$G$28),0),0))*IF('APA Inputs'!$I$28="",1,'APA Inputs'!$I$28))</f>
        <v>0</v>
      </c>
      <c r="BW13" s="409" t="n">
        <f aca="false">IF('APA Inputs'!$C$28="",0,(IF(AND(BW$4&gt;='APA Inputs'!$C$28,BW$4&lt;EDATE('APA Inputs'!$C$28,N('APA Inputs'!$D$28))),'APA Inputs'!$J$28,0)+IF(N('APA Inputs'!$H$28)&gt;0,IF(BW$4=EDATE('APA Inputs'!$C$28,'APA Inputs'!$H$28-1),N('APA Inputs'!$G$28),0),0))*IF('APA Inputs'!$I$28="",1,'APA Inputs'!$I$28))</f>
        <v>0</v>
      </c>
      <c r="BX13" s="409" t="n">
        <f aca="false">IF('APA Inputs'!$C$28="",0,(IF(AND(BX$4&gt;='APA Inputs'!$C$28,BX$4&lt;EDATE('APA Inputs'!$C$28,N('APA Inputs'!$D$28))),'APA Inputs'!$J$28,0)+IF(N('APA Inputs'!$H$28)&gt;0,IF(BX$4=EDATE('APA Inputs'!$C$28,'APA Inputs'!$H$28-1),N('APA Inputs'!$G$28),0),0))*IF('APA Inputs'!$I$28="",1,'APA Inputs'!$I$28))</f>
        <v>0</v>
      </c>
      <c r="BY13" s="409" t="n">
        <f aca="false">IF('APA Inputs'!$C$28="",0,(IF(AND(BY$4&gt;='APA Inputs'!$C$28,BY$4&lt;EDATE('APA Inputs'!$C$28,N('APA Inputs'!$D$28))),'APA Inputs'!$J$28,0)+IF(N('APA Inputs'!$H$28)&gt;0,IF(BY$4=EDATE('APA Inputs'!$C$28,'APA Inputs'!$H$28-1),N('APA Inputs'!$G$28),0),0))*IF('APA Inputs'!$I$28="",1,'APA Inputs'!$I$28))</f>
        <v>0</v>
      </c>
      <c r="BZ13" s="409" t="n">
        <f aca="false">IF('APA Inputs'!$C$28="",0,(IF(AND(BZ$4&gt;='APA Inputs'!$C$28,BZ$4&lt;EDATE('APA Inputs'!$C$28,N('APA Inputs'!$D$28))),'APA Inputs'!$J$28,0)+IF(N('APA Inputs'!$H$28)&gt;0,IF(BZ$4=EDATE('APA Inputs'!$C$28,'APA Inputs'!$H$28-1),N('APA Inputs'!$G$28),0),0))*IF('APA Inputs'!$I$28="",1,'APA Inputs'!$I$28))</f>
        <v>0</v>
      </c>
      <c r="CA13" s="409" t="n">
        <f aca="false">IF('APA Inputs'!$C$28="",0,(IF(AND(CA$4&gt;='APA Inputs'!$C$28,CA$4&lt;EDATE('APA Inputs'!$C$28,N('APA Inputs'!$D$28))),'APA Inputs'!$J$28,0)+IF(N('APA Inputs'!$H$28)&gt;0,IF(CA$4=EDATE('APA Inputs'!$C$28,'APA Inputs'!$H$28-1),N('APA Inputs'!$G$28),0),0))*IF('APA Inputs'!$I$28="",1,'APA Inputs'!$I$28))</f>
        <v>0</v>
      </c>
      <c r="CB13" s="409" t="n">
        <f aca="false">IF('APA Inputs'!$C$28="",0,(IF(AND(CB$4&gt;='APA Inputs'!$C$28,CB$4&lt;EDATE('APA Inputs'!$C$28,N('APA Inputs'!$D$28))),'APA Inputs'!$J$28,0)+IF(N('APA Inputs'!$H$28)&gt;0,IF(CB$4=EDATE('APA Inputs'!$C$28,'APA Inputs'!$H$28-1),N('APA Inputs'!$G$28),0),0))*IF('APA Inputs'!$I$28="",1,'APA Inputs'!$I$28))</f>
        <v>0</v>
      </c>
      <c r="CC13" s="409" t="n">
        <f aca="false">IF('APA Inputs'!$C$28="",0,(IF(AND(CC$4&gt;='APA Inputs'!$C$28,CC$4&lt;EDATE('APA Inputs'!$C$28,N('APA Inputs'!$D$28))),'APA Inputs'!$J$28,0)+IF(N('APA Inputs'!$H$28)&gt;0,IF(CC$4=EDATE('APA Inputs'!$C$28,'APA Inputs'!$H$28-1),N('APA Inputs'!$G$28),0),0))*IF('APA Inputs'!$I$28="",1,'APA Inputs'!$I$28))</f>
        <v>0</v>
      </c>
      <c r="CD13" s="409" t="n">
        <f aca="false">IF('APA Inputs'!$C$28="",0,(IF(AND(CD$4&gt;='APA Inputs'!$C$28,CD$4&lt;EDATE('APA Inputs'!$C$28,N('APA Inputs'!$D$28))),'APA Inputs'!$J$28,0)+IF(N('APA Inputs'!$H$28)&gt;0,IF(CD$4=EDATE('APA Inputs'!$C$28,'APA Inputs'!$H$28-1),N('APA Inputs'!$G$28),0),0))*IF('APA Inputs'!$I$28="",1,'APA Inputs'!$I$28))</f>
        <v>0</v>
      </c>
      <c r="CE13" s="409" t="n">
        <f aca="false">IF('APA Inputs'!$C$28="",0,(IF(AND(CE$4&gt;='APA Inputs'!$C$28,CE$4&lt;EDATE('APA Inputs'!$C$28,N('APA Inputs'!$D$28))),'APA Inputs'!$J$28,0)+IF(N('APA Inputs'!$H$28)&gt;0,IF(CE$4=EDATE('APA Inputs'!$C$28,'APA Inputs'!$H$28-1),N('APA Inputs'!$G$28),0),0))*IF('APA Inputs'!$I$28="",1,'APA Inputs'!$I$28))</f>
        <v>0</v>
      </c>
      <c r="CF13" s="409" t="n">
        <f aca="false">IF('APA Inputs'!$C$28="",0,(IF(AND(CF$4&gt;='APA Inputs'!$C$28,CF$4&lt;EDATE('APA Inputs'!$C$28,N('APA Inputs'!$D$28))),'APA Inputs'!$J$28,0)+IF(N('APA Inputs'!$H$28)&gt;0,IF(CF$4=EDATE('APA Inputs'!$C$28,'APA Inputs'!$H$28-1),N('APA Inputs'!$G$28),0),0))*IF('APA Inputs'!$I$28="",1,'APA Inputs'!$I$28))</f>
        <v>0</v>
      </c>
      <c r="CG13" s="409" t="n">
        <f aca="false">IF('APA Inputs'!$C$28="",0,(IF(AND(CG$4&gt;='APA Inputs'!$C$28,CG$4&lt;EDATE('APA Inputs'!$C$28,N('APA Inputs'!$D$28))),'APA Inputs'!$J$28,0)+IF(N('APA Inputs'!$H$28)&gt;0,IF(CG$4=EDATE('APA Inputs'!$C$28,'APA Inputs'!$H$28-1),N('APA Inputs'!$G$28),0),0))*IF('APA Inputs'!$I$28="",1,'APA Inputs'!$I$28))</f>
        <v>0</v>
      </c>
      <c r="CH13" s="409" t="n">
        <f aca="false">IF('APA Inputs'!$C$28="",0,(IF(AND(CH$4&gt;='APA Inputs'!$C$28,CH$4&lt;EDATE('APA Inputs'!$C$28,N('APA Inputs'!$D$28))),'APA Inputs'!$J$28,0)+IF(N('APA Inputs'!$H$28)&gt;0,IF(CH$4=EDATE('APA Inputs'!$C$28,'APA Inputs'!$H$28-1),N('APA Inputs'!$G$28),0),0))*IF('APA Inputs'!$I$28="",1,'APA Inputs'!$I$28))</f>
        <v>0</v>
      </c>
      <c r="CI13" s="409" t="n">
        <f aca="false">IF('APA Inputs'!$C$28="",0,(IF(AND(CI$4&gt;='APA Inputs'!$C$28,CI$4&lt;EDATE('APA Inputs'!$C$28,N('APA Inputs'!$D$28))),'APA Inputs'!$J$28,0)+IF(N('APA Inputs'!$H$28)&gt;0,IF(CI$4=EDATE('APA Inputs'!$C$28,'APA Inputs'!$H$28-1),N('APA Inputs'!$G$28),0),0))*IF('APA Inputs'!$I$28="",1,'APA Inputs'!$I$28))</f>
        <v>0</v>
      </c>
      <c r="CJ13" s="409" t="n">
        <f aca="false">IF('APA Inputs'!$C$28="",0,(IF(AND(CJ$4&gt;='APA Inputs'!$C$28,CJ$4&lt;EDATE('APA Inputs'!$C$28,N('APA Inputs'!$D$28))),'APA Inputs'!$J$28,0)+IF(N('APA Inputs'!$H$28)&gt;0,IF(CJ$4=EDATE('APA Inputs'!$C$28,'APA Inputs'!$H$28-1),N('APA Inputs'!$G$28),0),0))*IF('APA Inputs'!$I$28="",1,'APA Inputs'!$I$28))</f>
        <v>0</v>
      </c>
      <c r="CK13" s="409" t="n">
        <f aca="false">IF('APA Inputs'!$C$28="",0,(IF(AND(CK$4&gt;='APA Inputs'!$C$28,CK$4&lt;EDATE('APA Inputs'!$C$28,N('APA Inputs'!$D$28))),'APA Inputs'!$J$28,0)+IF(N('APA Inputs'!$H$28)&gt;0,IF(CK$4=EDATE('APA Inputs'!$C$28,'APA Inputs'!$H$28-1),N('APA Inputs'!$G$28),0),0))*IF('APA Inputs'!$I$28="",1,'APA Inputs'!$I$28))</f>
        <v>0</v>
      </c>
      <c r="CL13" s="409" t="n">
        <f aca="false">IF('APA Inputs'!$C$28="",0,(IF(AND(CL$4&gt;='APA Inputs'!$C$28,CL$4&lt;EDATE('APA Inputs'!$C$28,N('APA Inputs'!$D$28))),'APA Inputs'!$J$28,0)+IF(N('APA Inputs'!$H$28)&gt;0,IF(CL$4=EDATE('APA Inputs'!$C$28,'APA Inputs'!$H$28-1),N('APA Inputs'!$G$28),0),0))*IF('APA Inputs'!$I$28="",1,'APA Inputs'!$I$28))</f>
        <v>0</v>
      </c>
      <c r="CM13" s="409" t="n">
        <f aca="false">IF('APA Inputs'!$C$28="",0,(IF(AND(CM$4&gt;='APA Inputs'!$C$28,CM$4&lt;EDATE('APA Inputs'!$C$28,N('APA Inputs'!$D$28))),'APA Inputs'!$J$28,0)+IF(N('APA Inputs'!$H$28)&gt;0,IF(CM$4=EDATE('APA Inputs'!$C$28,'APA Inputs'!$H$28-1),N('APA Inputs'!$G$28),0),0))*IF('APA Inputs'!$I$28="",1,'APA Inputs'!$I$28))</f>
        <v>0</v>
      </c>
      <c r="CN13" s="409" t="n">
        <f aca="false">IF('APA Inputs'!$C$28="",0,(IF(AND(CN$4&gt;='APA Inputs'!$C$28,CN$4&lt;EDATE('APA Inputs'!$C$28,N('APA Inputs'!$D$28))),'APA Inputs'!$J$28,0)+IF(N('APA Inputs'!$H$28)&gt;0,IF(CN$4=EDATE('APA Inputs'!$C$28,'APA Inputs'!$H$28-1),N('APA Inputs'!$G$28),0),0))*IF('APA Inputs'!$I$28="",1,'APA Inputs'!$I$28))</f>
        <v>0</v>
      </c>
      <c r="CO13" s="409" t="n">
        <f aca="false">IF('APA Inputs'!$C$28="",0,(IF(AND(CO$4&gt;='APA Inputs'!$C$28,CO$4&lt;EDATE('APA Inputs'!$C$28,N('APA Inputs'!$D$28))),'APA Inputs'!$J$28,0)+IF(N('APA Inputs'!$H$28)&gt;0,IF(CO$4=EDATE('APA Inputs'!$C$28,'APA Inputs'!$H$28-1),N('APA Inputs'!$G$28),0),0))*IF('APA Inputs'!$I$28="",1,'APA Inputs'!$I$28))</f>
        <v>0</v>
      </c>
      <c r="CP13" s="409" t="n">
        <f aca="false">IF('APA Inputs'!$C$28="",0,(IF(AND(CP$4&gt;='APA Inputs'!$C$28,CP$4&lt;EDATE('APA Inputs'!$C$28,N('APA Inputs'!$D$28))),'APA Inputs'!$J$28,0)+IF(N('APA Inputs'!$H$28)&gt;0,IF(CP$4=EDATE('APA Inputs'!$C$28,'APA Inputs'!$H$28-1),N('APA Inputs'!$G$28),0),0))*IF('APA Inputs'!$I$28="",1,'APA Inputs'!$I$28))</f>
        <v>0</v>
      </c>
      <c r="CQ13" s="409" t="n">
        <f aca="false">IF('APA Inputs'!$C$28="",0,(IF(AND(CQ$4&gt;='APA Inputs'!$C$28,CQ$4&lt;EDATE('APA Inputs'!$C$28,N('APA Inputs'!$D$28))),'APA Inputs'!$J$28,0)+IF(N('APA Inputs'!$H$28)&gt;0,IF(CQ$4=EDATE('APA Inputs'!$C$28,'APA Inputs'!$H$28-1),N('APA Inputs'!$G$28),0),0))*IF('APA Inputs'!$I$28="",1,'APA Inputs'!$I$28))</f>
        <v>0</v>
      </c>
      <c r="CR13" s="409" t="n">
        <f aca="false">IF('APA Inputs'!$C$28="",0,(IF(AND(CR$4&gt;='APA Inputs'!$C$28,CR$4&lt;EDATE('APA Inputs'!$C$28,N('APA Inputs'!$D$28))),'APA Inputs'!$J$28,0)+IF(N('APA Inputs'!$H$28)&gt;0,IF(CR$4=EDATE('APA Inputs'!$C$28,'APA Inputs'!$H$28-1),N('APA Inputs'!$G$28),0),0))*IF('APA Inputs'!$I$28="",1,'APA Inputs'!$I$28))</f>
        <v>0</v>
      </c>
      <c r="CS13" s="409" t="n">
        <f aca="false">IF('APA Inputs'!$C$28="",0,(IF(AND(CS$4&gt;='APA Inputs'!$C$28,CS$4&lt;EDATE('APA Inputs'!$C$28,N('APA Inputs'!$D$28))),'APA Inputs'!$J$28,0)+IF(N('APA Inputs'!$H$28)&gt;0,IF(CS$4=EDATE('APA Inputs'!$C$28,'APA Inputs'!$H$28-1),N('APA Inputs'!$G$28),0),0))*IF('APA Inputs'!$I$28="",1,'APA Inputs'!$I$28))</f>
        <v>0</v>
      </c>
      <c r="CT13" s="409" t="n">
        <f aca="false">IF('APA Inputs'!$C$28="",0,(IF(AND(CT$4&gt;='APA Inputs'!$C$28,CT$4&lt;EDATE('APA Inputs'!$C$28,N('APA Inputs'!$D$28))),'APA Inputs'!$J$28,0)+IF(N('APA Inputs'!$H$28)&gt;0,IF(CT$4=EDATE('APA Inputs'!$C$28,'APA Inputs'!$H$28-1),N('APA Inputs'!$G$28),0),0))*IF('APA Inputs'!$I$28="",1,'APA Inputs'!$I$28))</f>
        <v>0</v>
      </c>
      <c r="CU13" s="409" t="n">
        <f aca="false">IF('APA Inputs'!$C$28="",0,(IF(AND(CU$4&gt;='APA Inputs'!$C$28,CU$4&lt;EDATE('APA Inputs'!$C$28,N('APA Inputs'!$D$28))),'APA Inputs'!$J$28,0)+IF(N('APA Inputs'!$H$28)&gt;0,IF(CU$4=EDATE('APA Inputs'!$C$28,'APA Inputs'!$H$28-1),N('APA Inputs'!$G$28),0),0))*IF('APA Inputs'!$I$28="",1,'APA Inputs'!$I$28))</f>
        <v>0</v>
      </c>
      <c r="CV13" s="409" t="n">
        <f aca="false">IF('APA Inputs'!$C$28="",0,(IF(AND(CV$4&gt;='APA Inputs'!$C$28,CV$4&lt;EDATE('APA Inputs'!$C$28,N('APA Inputs'!$D$28))),'APA Inputs'!$J$28,0)+IF(N('APA Inputs'!$H$28)&gt;0,IF(CV$4=EDATE('APA Inputs'!$C$28,'APA Inputs'!$H$28-1),N('APA Inputs'!$G$28),0),0))*IF('APA Inputs'!$I$28="",1,'APA Inputs'!$I$28))</f>
        <v>0</v>
      </c>
      <c r="CW13" s="409" t="n">
        <f aca="false">IF('APA Inputs'!$C$28="",0,(IF(AND(CW$4&gt;='APA Inputs'!$C$28,CW$4&lt;EDATE('APA Inputs'!$C$28,N('APA Inputs'!$D$28))),'APA Inputs'!$J$28,0)+IF(N('APA Inputs'!$H$28)&gt;0,IF(CW$4=EDATE('APA Inputs'!$C$28,'APA Inputs'!$H$28-1),N('APA Inputs'!$G$28),0),0))*IF('APA Inputs'!$I$28="",1,'APA Inputs'!$I$28))</f>
        <v>0</v>
      </c>
      <c r="CX13" s="409" t="n">
        <f aca="false">IF('APA Inputs'!$C$28="",0,(IF(AND(CX$4&gt;='APA Inputs'!$C$28,CX$4&lt;EDATE('APA Inputs'!$C$28,N('APA Inputs'!$D$28))),'APA Inputs'!$J$28,0)+IF(N('APA Inputs'!$H$28)&gt;0,IF(CX$4=EDATE('APA Inputs'!$C$28,'APA Inputs'!$H$28-1),N('APA Inputs'!$G$28),0),0))*IF('APA Inputs'!$I$28="",1,'APA Inputs'!$I$28))</f>
        <v>0</v>
      </c>
      <c r="CY13" s="409" t="n">
        <f aca="false">IF('APA Inputs'!$C$28="",0,(IF(AND(CY$4&gt;='APA Inputs'!$C$28,CY$4&lt;EDATE('APA Inputs'!$C$28,N('APA Inputs'!$D$28))),'APA Inputs'!$J$28,0)+IF(N('APA Inputs'!$H$28)&gt;0,IF(CY$4=EDATE('APA Inputs'!$C$28,'APA Inputs'!$H$28-1),N('APA Inputs'!$G$28),0),0))*IF('APA Inputs'!$I$28="",1,'APA Inputs'!$I$28))</f>
        <v>0</v>
      </c>
      <c r="CZ13" s="409" t="n">
        <f aca="false">IF('APA Inputs'!$C$28="",0,(IF(AND(CZ$4&gt;='APA Inputs'!$C$28,CZ$4&lt;EDATE('APA Inputs'!$C$28,N('APA Inputs'!$D$28))),'APA Inputs'!$J$28,0)+IF(N('APA Inputs'!$H$28)&gt;0,IF(CZ$4=EDATE('APA Inputs'!$C$28,'APA Inputs'!$H$28-1),N('APA Inputs'!$G$28),0),0))*IF('APA Inputs'!$I$28="",1,'APA Inputs'!$I$28))</f>
        <v>0</v>
      </c>
      <c r="DA13" s="409" t="n">
        <f aca="false">IF('APA Inputs'!$C$28="",0,(IF(AND(DA$4&gt;='APA Inputs'!$C$28,DA$4&lt;EDATE('APA Inputs'!$C$28,N('APA Inputs'!$D$28))),'APA Inputs'!$J$28,0)+IF(N('APA Inputs'!$H$28)&gt;0,IF(DA$4=EDATE('APA Inputs'!$C$28,'APA Inputs'!$H$28-1),N('APA Inputs'!$G$28),0),0))*IF('APA Inputs'!$I$28="",1,'APA Inputs'!$I$28))</f>
        <v>0</v>
      </c>
      <c r="DB13" s="409" t="n">
        <f aca="false">IF('APA Inputs'!$C$28="",0,(IF(AND(DB$4&gt;='APA Inputs'!$C$28,DB$4&lt;EDATE('APA Inputs'!$C$28,N('APA Inputs'!$D$28))),'APA Inputs'!$J$28,0)+IF(N('APA Inputs'!$H$28)&gt;0,IF(DB$4=EDATE('APA Inputs'!$C$28,'APA Inputs'!$H$28-1),N('APA Inputs'!$G$28),0),0))*IF('APA Inputs'!$I$28="",1,'APA Inputs'!$I$28))</f>
        <v>0</v>
      </c>
      <c r="DC13" s="409" t="n">
        <f aca="false">IF('APA Inputs'!$C$28="",0,(IF(AND(DC$4&gt;='APA Inputs'!$C$28,DC$4&lt;EDATE('APA Inputs'!$C$28,N('APA Inputs'!$D$28))),'APA Inputs'!$J$28,0)+IF(N('APA Inputs'!$H$28)&gt;0,IF(DC$4=EDATE('APA Inputs'!$C$28,'APA Inputs'!$H$28-1),N('APA Inputs'!$G$28),0),0))*IF('APA Inputs'!$I$28="",1,'APA Inputs'!$I$28))</f>
        <v>0</v>
      </c>
      <c r="DD13" s="409" t="n">
        <f aca="false">IF('APA Inputs'!$C$28="",0,(IF(AND(DD$4&gt;='APA Inputs'!$C$28,DD$4&lt;EDATE('APA Inputs'!$C$28,N('APA Inputs'!$D$28))),'APA Inputs'!$J$28,0)+IF(N('APA Inputs'!$H$28)&gt;0,IF(DD$4=EDATE('APA Inputs'!$C$28,'APA Inputs'!$H$28-1),N('APA Inputs'!$G$28),0),0))*IF('APA Inputs'!$I$28="",1,'APA Inputs'!$I$28))</f>
        <v>0</v>
      </c>
      <c r="DE13" s="409"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09" t="n">
        <f aca="false">IF('APA Inputs'!$C$29="",0,(IF(AND(B$4&gt;='APA Inputs'!$C$29,B$4&lt;EDATE('APA Inputs'!$C$29,N('APA Inputs'!$D$29))),'APA Inputs'!$J$29,0)+IF(N('APA Inputs'!$H$29)&gt;0,IF(B$4=EDATE('APA Inputs'!$C$29,'APA Inputs'!$H$29-1),N('APA Inputs'!$G$29),0),0))*IF('APA Inputs'!$I$29="",1,'APA Inputs'!$I$29))</f>
        <v>0</v>
      </c>
      <c r="C14" s="409" t="n">
        <f aca="false">IF('APA Inputs'!$C$29="",0,(IF(AND(C$4&gt;='APA Inputs'!$C$29,C$4&lt;EDATE('APA Inputs'!$C$29,N('APA Inputs'!$D$29))),'APA Inputs'!$J$29,0)+IF(N('APA Inputs'!$H$29)&gt;0,IF(C$4=EDATE('APA Inputs'!$C$29,'APA Inputs'!$H$29-1),N('APA Inputs'!$G$29),0),0))*IF('APA Inputs'!$I$29="",1,'APA Inputs'!$I$29))</f>
        <v>0</v>
      </c>
      <c r="D14" s="409" t="n">
        <f aca="false">IF('APA Inputs'!$C$29="",0,(IF(AND(D$4&gt;='APA Inputs'!$C$29,D$4&lt;EDATE('APA Inputs'!$C$29,N('APA Inputs'!$D$29))),'APA Inputs'!$J$29,0)+IF(N('APA Inputs'!$H$29)&gt;0,IF(D$4=EDATE('APA Inputs'!$C$29,'APA Inputs'!$H$29-1),N('APA Inputs'!$G$29),0),0))*IF('APA Inputs'!$I$29="",1,'APA Inputs'!$I$29))</f>
        <v>0</v>
      </c>
      <c r="E14" s="409" t="n">
        <f aca="false">IF('APA Inputs'!$C$29="",0,(IF(AND(E$4&gt;='APA Inputs'!$C$29,E$4&lt;EDATE('APA Inputs'!$C$29,N('APA Inputs'!$D$29))),'APA Inputs'!$J$29,0)+IF(N('APA Inputs'!$H$29)&gt;0,IF(E$4=EDATE('APA Inputs'!$C$29,'APA Inputs'!$H$29-1),N('APA Inputs'!$G$29),0),0))*IF('APA Inputs'!$I$29="",1,'APA Inputs'!$I$29))</f>
        <v>0</v>
      </c>
      <c r="F14" s="409" t="n">
        <f aca="false">IF('APA Inputs'!$C$29="",0,(IF(AND(F$4&gt;='APA Inputs'!$C$29,F$4&lt;EDATE('APA Inputs'!$C$29,N('APA Inputs'!$D$29))),'APA Inputs'!$J$29,0)+IF(N('APA Inputs'!$H$29)&gt;0,IF(F$4=EDATE('APA Inputs'!$C$29,'APA Inputs'!$H$29-1),N('APA Inputs'!$G$29),0),0))*IF('APA Inputs'!$I$29="",1,'APA Inputs'!$I$29))</f>
        <v>0</v>
      </c>
      <c r="G14" s="409" t="n">
        <f aca="false">IF('APA Inputs'!$C$29="",0,(IF(AND(G$4&gt;='APA Inputs'!$C$29,G$4&lt;EDATE('APA Inputs'!$C$29,N('APA Inputs'!$D$29))),'APA Inputs'!$J$29,0)+IF(N('APA Inputs'!$H$29)&gt;0,IF(G$4=EDATE('APA Inputs'!$C$29,'APA Inputs'!$H$29-1),N('APA Inputs'!$G$29),0),0))*IF('APA Inputs'!$I$29="",1,'APA Inputs'!$I$29))</f>
        <v>0</v>
      </c>
      <c r="H14" s="409" t="n">
        <f aca="false">IF('APA Inputs'!$C$29="",0,(IF(AND(H$4&gt;='APA Inputs'!$C$29,H$4&lt;EDATE('APA Inputs'!$C$29,N('APA Inputs'!$D$29))),'APA Inputs'!$J$29,0)+IF(N('APA Inputs'!$H$29)&gt;0,IF(H$4=EDATE('APA Inputs'!$C$29,'APA Inputs'!$H$29-1),N('APA Inputs'!$G$29),0),0))*IF('APA Inputs'!$I$29="",1,'APA Inputs'!$I$29))</f>
        <v>0</v>
      </c>
      <c r="I14" s="409" t="n">
        <f aca="false">IF('APA Inputs'!$C$29="",0,(IF(AND(I$4&gt;='APA Inputs'!$C$29,I$4&lt;EDATE('APA Inputs'!$C$29,N('APA Inputs'!$D$29))),'APA Inputs'!$J$29,0)+IF(N('APA Inputs'!$H$29)&gt;0,IF(I$4=EDATE('APA Inputs'!$C$29,'APA Inputs'!$H$29-1),N('APA Inputs'!$G$29),0),0))*IF('APA Inputs'!$I$29="",1,'APA Inputs'!$I$29))</f>
        <v>0</v>
      </c>
      <c r="J14" s="409" t="n">
        <f aca="false">IF('APA Inputs'!$C$29="",0,(IF(AND(J$4&gt;='APA Inputs'!$C$29,J$4&lt;EDATE('APA Inputs'!$C$29,N('APA Inputs'!$D$29))),'APA Inputs'!$J$29,0)+IF(N('APA Inputs'!$H$29)&gt;0,IF(J$4=EDATE('APA Inputs'!$C$29,'APA Inputs'!$H$29-1),N('APA Inputs'!$G$29),0),0))*IF('APA Inputs'!$I$29="",1,'APA Inputs'!$I$29))</f>
        <v>0</v>
      </c>
      <c r="K14" s="409" t="n">
        <f aca="false">IF('APA Inputs'!$C$29="",0,(IF(AND(K$4&gt;='APA Inputs'!$C$29,K$4&lt;EDATE('APA Inputs'!$C$29,N('APA Inputs'!$D$29))),'APA Inputs'!$J$29,0)+IF(N('APA Inputs'!$H$29)&gt;0,IF(K$4=EDATE('APA Inputs'!$C$29,'APA Inputs'!$H$29-1),N('APA Inputs'!$G$29),0),0))*IF('APA Inputs'!$I$29="",1,'APA Inputs'!$I$29))</f>
        <v>0</v>
      </c>
      <c r="L14" s="409" t="n">
        <f aca="false">IF('APA Inputs'!$C$29="",0,(IF(AND(L$4&gt;='APA Inputs'!$C$29,L$4&lt;EDATE('APA Inputs'!$C$29,N('APA Inputs'!$D$29))),'APA Inputs'!$J$29,0)+IF(N('APA Inputs'!$H$29)&gt;0,IF(L$4=EDATE('APA Inputs'!$C$29,'APA Inputs'!$H$29-1),N('APA Inputs'!$G$29),0),0))*IF('APA Inputs'!$I$29="",1,'APA Inputs'!$I$29))</f>
        <v>0</v>
      </c>
      <c r="M14" s="409" t="n">
        <f aca="false">IF('APA Inputs'!$C$29="",0,(IF(AND(M$4&gt;='APA Inputs'!$C$29,M$4&lt;EDATE('APA Inputs'!$C$29,N('APA Inputs'!$D$29))),'APA Inputs'!$J$29,0)+IF(N('APA Inputs'!$H$29)&gt;0,IF(M$4=EDATE('APA Inputs'!$C$29,'APA Inputs'!$H$29-1),N('APA Inputs'!$G$29),0),0))*IF('APA Inputs'!$I$29="",1,'APA Inputs'!$I$29))</f>
        <v>0</v>
      </c>
      <c r="N14" s="409" t="n">
        <f aca="false">IF('APA Inputs'!$C$29="",0,(IF(AND(N$4&gt;='APA Inputs'!$C$29,N$4&lt;EDATE('APA Inputs'!$C$29,N('APA Inputs'!$D$29))),'APA Inputs'!$J$29,0)+IF(N('APA Inputs'!$H$29)&gt;0,IF(N$4=EDATE('APA Inputs'!$C$29,'APA Inputs'!$H$29-1),N('APA Inputs'!$G$29),0),0))*IF('APA Inputs'!$I$29="",1,'APA Inputs'!$I$29))</f>
        <v>0</v>
      </c>
      <c r="O14" s="409" t="n">
        <f aca="false">IF('APA Inputs'!$C$29="",0,(IF(AND(O$4&gt;='APA Inputs'!$C$29,O$4&lt;EDATE('APA Inputs'!$C$29,N('APA Inputs'!$D$29))),'APA Inputs'!$J$29,0)+IF(N('APA Inputs'!$H$29)&gt;0,IF(O$4=EDATE('APA Inputs'!$C$29,'APA Inputs'!$H$29-1),N('APA Inputs'!$G$29),0),0))*IF('APA Inputs'!$I$29="",1,'APA Inputs'!$I$29))</f>
        <v>0</v>
      </c>
      <c r="P14" s="409" t="n">
        <f aca="false">IF('APA Inputs'!$C$29="",0,(IF(AND(P$4&gt;='APA Inputs'!$C$29,P$4&lt;EDATE('APA Inputs'!$C$29,N('APA Inputs'!$D$29))),'APA Inputs'!$J$29,0)+IF(N('APA Inputs'!$H$29)&gt;0,IF(P$4=EDATE('APA Inputs'!$C$29,'APA Inputs'!$H$29-1),N('APA Inputs'!$G$29),0),0))*IF('APA Inputs'!$I$29="",1,'APA Inputs'!$I$29))</f>
        <v>0</v>
      </c>
      <c r="Q14" s="409" t="n">
        <f aca="false">IF('APA Inputs'!$C$29="",0,(IF(AND(Q$4&gt;='APA Inputs'!$C$29,Q$4&lt;EDATE('APA Inputs'!$C$29,N('APA Inputs'!$D$29))),'APA Inputs'!$J$29,0)+IF(N('APA Inputs'!$H$29)&gt;0,IF(Q$4=EDATE('APA Inputs'!$C$29,'APA Inputs'!$H$29-1),N('APA Inputs'!$G$29),0),0))*IF('APA Inputs'!$I$29="",1,'APA Inputs'!$I$29))</f>
        <v>0</v>
      </c>
      <c r="R14" s="409" t="n">
        <f aca="false">IF('APA Inputs'!$C$29="",0,(IF(AND(R$4&gt;='APA Inputs'!$C$29,R$4&lt;EDATE('APA Inputs'!$C$29,N('APA Inputs'!$D$29))),'APA Inputs'!$J$29,0)+IF(N('APA Inputs'!$H$29)&gt;0,IF(R$4=EDATE('APA Inputs'!$C$29,'APA Inputs'!$H$29-1),N('APA Inputs'!$G$29),0),0))*IF('APA Inputs'!$I$29="",1,'APA Inputs'!$I$29))</f>
        <v>0</v>
      </c>
      <c r="S14" s="409" t="n">
        <f aca="false">IF('APA Inputs'!$C$29="",0,(IF(AND(S$4&gt;='APA Inputs'!$C$29,S$4&lt;EDATE('APA Inputs'!$C$29,N('APA Inputs'!$D$29))),'APA Inputs'!$J$29,0)+IF(N('APA Inputs'!$H$29)&gt;0,IF(S$4=EDATE('APA Inputs'!$C$29,'APA Inputs'!$H$29-1),N('APA Inputs'!$G$29),0),0))*IF('APA Inputs'!$I$29="",1,'APA Inputs'!$I$29))</f>
        <v>0</v>
      </c>
      <c r="T14" s="409" t="n">
        <f aca="false">IF('APA Inputs'!$C$29="",0,(IF(AND(T$4&gt;='APA Inputs'!$C$29,T$4&lt;EDATE('APA Inputs'!$C$29,N('APA Inputs'!$D$29))),'APA Inputs'!$J$29,0)+IF(N('APA Inputs'!$H$29)&gt;0,IF(T$4=EDATE('APA Inputs'!$C$29,'APA Inputs'!$H$29-1),N('APA Inputs'!$G$29),0),0))*IF('APA Inputs'!$I$29="",1,'APA Inputs'!$I$29))</f>
        <v>0</v>
      </c>
      <c r="U14" s="409" t="n">
        <f aca="false">IF('APA Inputs'!$C$29="",0,(IF(AND(U$4&gt;='APA Inputs'!$C$29,U$4&lt;EDATE('APA Inputs'!$C$29,N('APA Inputs'!$D$29))),'APA Inputs'!$J$29,0)+IF(N('APA Inputs'!$H$29)&gt;0,IF(U$4=EDATE('APA Inputs'!$C$29,'APA Inputs'!$H$29-1),N('APA Inputs'!$G$29),0),0))*IF('APA Inputs'!$I$29="",1,'APA Inputs'!$I$29))</f>
        <v>0</v>
      </c>
      <c r="V14" s="409" t="n">
        <f aca="false">IF('APA Inputs'!$C$29="",0,(IF(AND(V$4&gt;='APA Inputs'!$C$29,V$4&lt;EDATE('APA Inputs'!$C$29,N('APA Inputs'!$D$29))),'APA Inputs'!$J$29,0)+IF(N('APA Inputs'!$H$29)&gt;0,IF(V$4=EDATE('APA Inputs'!$C$29,'APA Inputs'!$H$29-1),N('APA Inputs'!$G$29),0),0))*IF('APA Inputs'!$I$29="",1,'APA Inputs'!$I$29))</f>
        <v>0</v>
      </c>
      <c r="W14" s="409" t="n">
        <f aca="false">IF('APA Inputs'!$C$29="",0,(IF(AND(W$4&gt;='APA Inputs'!$C$29,W$4&lt;EDATE('APA Inputs'!$C$29,N('APA Inputs'!$D$29))),'APA Inputs'!$J$29,0)+IF(N('APA Inputs'!$H$29)&gt;0,IF(W$4=EDATE('APA Inputs'!$C$29,'APA Inputs'!$H$29-1),N('APA Inputs'!$G$29),0),0))*IF('APA Inputs'!$I$29="",1,'APA Inputs'!$I$29))</f>
        <v>0</v>
      </c>
      <c r="X14" s="409" t="n">
        <f aca="false">IF('APA Inputs'!$C$29="",0,(IF(AND(X$4&gt;='APA Inputs'!$C$29,X$4&lt;EDATE('APA Inputs'!$C$29,N('APA Inputs'!$D$29))),'APA Inputs'!$J$29,0)+IF(N('APA Inputs'!$H$29)&gt;0,IF(X$4=EDATE('APA Inputs'!$C$29,'APA Inputs'!$H$29-1),N('APA Inputs'!$G$29),0),0))*IF('APA Inputs'!$I$29="",1,'APA Inputs'!$I$29))</f>
        <v>0</v>
      </c>
      <c r="Y14" s="409" t="n">
        <f aca="false">IF('APA Inputs'!$C$29="",0,(IF(AND(Y$4&gt;='APA Inputs'!$C$29,Y$4&lt;EDATE('APA Inputs'!$C$29,N('APA Inputs'!$D$29))),'APA Inputs'!$J$29,0)+IF(N('APA Inputs'!$H$29)&gt;0,IF(Y$4=EDATE('APA Inputs'!$C$29,'APA Inputs'!$H$29-1),N('APA Inputs'!$G$29),0),0))*IF('APA Inputs'!$I$29="",1,'APA Inputs'!$I$29))</f>
        <v>0</v>
      </c>
      <c r="Z14" s="409" t="n">
        <f aca="false">IF('APA Inputs'!$C$29="",0,(IF(AND(Z$4&gt;='APA Inputs'!$C$29,Z$4&lt;EDATE('APA Inputs'!$C$29,N('APA Inputs'!$D$29))),'APA Inputs'!$J$29,0)+IF(N('APA Inputs'!$H$29)&gt;0,IF(Z$4=EDATE('APA Inputs'!$C$29,'APA Inputs'!$H$29-1),N('APA Inputs'!$G$29),0),0))*IF('APA Inputs'!$I$29="",1,'APA Inputs'!$I$29))</f>
        <v>0</v>
      </c>
      <c r="AA14" s="409" t="n">
        <f aca="false">IF('APA Inputs'!$C$29="",0,(IF(AND(AA$4&gt;='APA Inputs'!$C$29,AA$4&lt;EDATE('APA Inputs'!$C$29,N('APA Inputs'!$D$29))),'APA Inputs'!$J$29,0)+IF(N('APA Inputs'!$H$29)&gt;0,IF(AA$4=EDATE('APA Inputs'!$C$29,'APA Inputs'!$H$29-1),N('APA Inputs'!$G$29),0),0))*IF('APA Inputs'!$I$29="",1,'APA Inputs'!$I$29))</f>
        <v>0</v>
      </c>
      <c r="AB14" s="409" t="n">
        <f aca="false">IF('APA Inputs'!$C$29="",0,(IF(AND(AB$4&gt;='APA Inputs'!$C$29,AB$4&lt;EDATE('APA Inputs'!$C$29,N('APA Inputs'!$D$29))),'APA Inputs'!$J$29,0)+IF(N('APA Inputs'!$H$29)&gt;0,IF(AB$4=EDATE('APA Inputs'!$C$29,'APA Inputs'!$H$29-1),N('APA Inputs'!$G$29),0),0))*IF('APA Inputs'!$I$29="",1,'APA Inputs'!$I$29))</f>
        <v>0</v>
      </c>
      <c r="AC14" s="409" t="n">
        <f aca="false">IF('APA Inputs'!$C$29="",0,(IF(AND(AC$4&gt;='APA Inputs'!$C$29,AC$4&lt;EDATE('APA Inputs'!$C$29,N('APA Inputs'!$D$29))),'APA Inputs'!$J$29,0)+IF(N('APA Inputs'!$H$29)&gt;0,IF(AC$4=EDATE('APA Inputs'!$C$29,'APA Inputs'!$H$29-1),N('APA Inputs'!$G$29),0),0))*IF('APA Inputs'!$I$29="",1,'APA Inputs'!$I$29))</f>
        <v>0</v>
      </c>
      <c r="AD14" s="409" t="n">
        <f aca="false">IF('APA Inputs'!$C$29="",0,(IF(AND(AD$4&gt;='APA Inputs'!$C$29,AD$4&lt;EDATE('APA Inputs'!$C$29,N('APA Inputs'!$D$29))),'APA Inputs'!$J$29,0)+IF(N('APA Inputs'!$H$29)&gt;0,IF(AD$4=EDATE('APA Inputs'!$C$29,'APA Inputs'!$H$29-1),N('APA Inputs'!$G$29),0),0))*IF('APA Inputs'!$I$29="",1,'APA Inputs'!$I$29))</f>
        <v>0</v>
      </c>
      <c r="AE14" s="409" t="n">
        <f aca="false">IF('APA Inputs'!$C$29="",0,(IF(AND(AE$4&gt;='APA Inputs'!$C$29,AE$4&lt;EDATE('APA Inputs'!$C$29,N('APA Inputs'!$D$29))),'APA Inputs'!$J$29,0)+IF(N('APA Inputs'!$H$29)&gt;0,IF(AE$4=EDATE('APA Inputs'!$C$29,'APA Inputs'!$H$29-1),N('APA Inputs'!$G$29),0),0))*IF('APA Inputs'!$I$29="",1,'APA Inputs'!$I$29))</f>
        <v>0</v>
      </c>
      <c r="AF14" s="409" t="n">
        <f aca="false">IF('APA Inputs'!$C$29="",0,(IF(AND(AF$4&gt;='APA Inputs'!$C$29,AF$4&lt;EDATE('APA Inputs'!$C$29,N('APA Inputs'!$D$29))),'APA Inputs'!$J$29,0)+IF(N('APA Inputs'!$H$29)&gt;0,IF(AF$4=EDATE('APA Inputs'!$C$29,'APA Inputs'!$H$29-1),N('APA Inputs'!$G$29),0),0))*IF('APA Inputs'!$I$29="",1,'APA Inputs'!$I$29))</f>
        <v>0</v>
      </c>
      <c r="AG14" s="409" t="n">
        <f aca="false">IF('APA Inputs'!$C$29="",0,(IF(AND(AG$4&gt;='APA Inputs'!$C$29,AG$4&lt;EDATE('APA Inputs'!$C$29,N('APA Inputs'!$D$29))),'APA Inputs'!$J$29,0)+IF(N('APA Inputs'!$H$29)&gt;0,IF(AG$4=EDATE('APA Inputs'!$C$29,'APA Inputs'!$H$29-1),N('APA Inputs'!$G$29),0),0))*IF('APA Inputs'!$I$29="",1,'APA Inputs'!$I$29))</f>
        <v>0</v>
      </c>
      <c r="AH14" s="409" t="n">
        <f aca="false">IF('APA Inputs'!$C$29="",0,(IF(AND(AH$4&gt;='APA Inputs'!$C$29,AH$4&lt;EDATE('APA Inputs'!$C$29,N('APA Inputs'!$D$29))),'APA Inputs'!$J$29,0)+IF(N('APA Inputs'!$H$29)&gt;0,IF(AH$4=EDATE('APA Inputs'!$C$29,'APA Inputs'!$H$29-1),N('APA Inputs'!$G$29),0),0))*IF('APA Inputs'!$I$29="",1,'APA Inputs'!$I$29))</f>
        <v>0</v>
      </c>
      <c r="AI14" s="409" t="n">
        <f aca="false">IF('APA Inputs'!$C$29="",0,(IF(AND(AI$4&gt;='APA Inputs'!$C$29,AI$4&lt;EDATE('APA Inputs'!$C$29,N('APA Inputs'!$D$29))),'APA Inputs'!$J$29,0)+IF(N('APA Inputs'!$H$29)&gt;0,IF(AI$4=EDATE('APA Inputs'!$C$29,'APA Inputs'!$H$29-1),N('APA Inputs'!$G$29),0),0))*IF('APA Inputs'!$I$29="",1,'APA Inputs'!$I$29))</f>
        <v>0</v>
      </c>
      <c r="AJ14" s="409" t="n">
        <f aca="false">IF('APA Inputs'!$C$29="",0,(IF(AND(AJ$4&gt;='APA Inputs'!$C$29,AJ$4&lt;EDATE('APA Inputs'!$C$29,N('APA Inputs'!$D$29))),'APA Inputs'!$J$29,0)+IF(N('APA Inputs'!$H$29)&gt;0,IF(AJ$4=EDATE('APA Inputs'!$C$29,'APA Inputs'!$H$29-1),N('APA Inputs'!$G$29),0),0))*IF('APA Inputs'!$I$29="",1,'APA Inputs'!$I$29))</f>
        <v>0</v>
      </c>
      <c r="AK14" s="409" t="n">
        <f aca="false">IF('APA Inputs'!$C$29="",0,(IF(AND(AK$4&gt;='APA Inputs'!$C$29,AK$4&lt;EDATE('APA Inputs'!$C$29,N('APA Inputs'!$D$29))),'APA Inputs'!$J$29,0)+IF(N('APA Inputs'!$H$29)&gt;0,IF(AK$4=EDATE('APA Inputs'!$C$29,'APA Inputs'!$H$29-1),N('APA Inputs'!$G$29),0),0))*IF('APA Inputs'!$I$29="",1,'APA Inputs'!$I$29))</f>
        <v>0</v>
      </c>
      <c r="AL14" s="409" t="n">
        <f aca="false">IF('APA Inputs'!$C$29="",0,(IF(AND(AL$4&gt;='APA Inputs'!$C$29,AL$4&lt;EDATE('APA Inputs'!$C$29,N('APA Inputs'!$D$29))),'APA Inputs'!$J$29,0)+IF(N('APA Inputs'!$H$29)&gt;0,IF(AL$4=EDATE('APA Inputs'!$C$29,'APA Inputs'!$H$29-1),N('APA Inputs'!$G$29),0),0))*IF('APA Inputs'!$I$29="",1,'APA Inputs'!$I$29))</f>
        <v>0</v>
      </c>
      <c r="AM14" s="409" t="n">
        <f aca="false">IF('APA Inputs'!$C$29="",0,(IF(AND(AM$4&gt;='APA Inputs'!$C$29,AM$4&lt;EDATE('APA Inputs'!$C$29,N('APA Inputs'!$D$29))),'APA Inputs'!$J$29,0)+IF(N('APA Inputs'!$H$29)&gt;0,IF(AM$4=EDATE('APA Inputs'!$C$29,'APA Inputs'!$H$29-1),N('APA Inputs'!$G$29),0),0))*IF('APA Inputs'!$I$29="",1,'APA Inputs'!$I$29))</f>
        <v>0</v>
      </c>
      <c r="AN14" s="409" t="n">
        <f aca="false">IF('APA Inputs'!$C$29="",0,(IF(AND(AN$4&gt;='APA Inputs'!$C$29,AN$4&lt;EDATE('APA Inputs'!$C$29,N('APA Inputs'!$D$29))),'APA Inputs'!$J$29,0)+IF(N('APA Inputs'!$H$29)&gt;0,IF(AN$4=EDATE('APA Inputs'!$C$29,'APA Inputs'!$H$29-1),N('APA Inputs'!$G$29),0),0))*IF('APA Inputs'!$I$29="",1,'APA Inputs'!$I$29))</f>
        <v>0</v>
      </c>
      <c r="AO14" s="409" t="n">
        <f aca="false">IF('APA Inputs'!$C$29="",0,(IF(AND(AO$4&gt;='APA Inputs'!$C$29,AO$4&lt;EDATE('APA Inputs'!$C$29,N('APA Inputs'!$D$29))),'APA Inputs'!$J$29,0)+IF(N('APA Inputs'!$H$29)&gt;0,IF(AO$4=EDATE('APA Inputs'!$C$29,'APA Inputs'!$H$29-1),N('APA Inputs'!$G$29),0),0))*IF('APA Inputs'!$I$29="",1,'APA Inputs'!$I$29))</f>
        <v>0</v>
      </c>
      <c r="AP14" s="409" t="n">
        <f aca="false">IF('APA Inputs'!$C$29="",0,(IF(AND(AP$4&gt;='APA Inputs'!$C$29,AP$4&lt;EDATE('APA Inputs'!$C$29,N('APA Inputs'!$D$29))),'APA Inputs'!$J$29,0)+IF(N('APA Inputs'!$H$29)&gt;0,IF(AP$4=EDATE('APA Inputs'!$C$29,'APA Inputs'!$H$29-1),N('APA Inputs'!$G$29),0),0))*IF('APA Inputs'!$I$29="",1,'APA Inputs'!$I$29))</f>
        <v>0</v>
      </c>
      <c r="AQ14" s="409" t="n">
        <f aca="false">IF('APA Inputs'!$C$29="",0,(IF(AND(AQ$4&gt;='APA Inputs'!$C$29,AQ$4&lt;EDATE('APA Inputs'!$C$29,N('APA Inputs'!$D$29))),'APA Inputs'!$J$29,0)+IF(N('APA Inputs'!$H$29)&gt;0,IF(AQ$4=EDATE('APA Inputs'!$C$29,'APA Inputs'!$H$29-1),N('APA Inputs'!$G$29),0),0))*IF('APA Inputs'!$I$29="",1,'APA Inputs'!$I$29))</f>
        <v>0</v>
      </c>
      <c r="AR14" s="409" t="n">
        <f aca="false">IF('APA Inputs'!$C$29="",0,(IF(AND(AR$4&gt;='APA Inputs'!$C$29,AR$4&lt;EDATE('APA Inputs'!$C$29,N('APA Inputs'!$D$29))),'APA Inputs'!$J$29,0)+IF(N('APA Inputs'!$H$29)&gt;0,IF(AR$4=EDATE('APA Inputs'!$C$29,'APA Inputs'!$H$29-1),N('APA Inputs'!$G$29),0),0))*IF('APA Inputs'!$I$29="",1,'APA Inputs'!$I$29))</f>
        <v>0</v>
      </c>
      <c r="AS14" s="409" t="n">
        <f aca="false">IF('APA Inputs'!$C$29="",0,(IF(AND(AS$4&gt;='APA Inputs'!$C$29,AS$4&lt;EDATE('APA Inputs'!$C$29,N('APA Inputs'!$D$29))),'APA Inputs'!$J$29,0)+IF(N('APA Inputs'!$H$29)&gt;0,IF(AS$4=EDATE('APA Inputs'!$C$29,'APA Inputs'!$H$29-1),N('APA Inputs'!$G$29),0),0))*IF('APA Inputs'!$I$29="",1,'APA Inputs'!$I$29))</f>
        <v>0</v>
      </c>
      <c r="AT14" s="409" t="n">
        <f aca="false">IF('APA Inputs'!$C$29="",0,(IF(AND(AT$4&gt;='APA Inputs'!$C$29,AT$4&lt;EDATE('APA Inputs'!$C$29,N('APA Inputs'!$D$29))),'APA Inputs'!$J$29,0)+IF(N('APA Inputs'!$H$29)&gt;0,IF(AT$4=EDATE('APA Inputs'!$C$29,'APA Inputs'!$H$29-1),N('APA Inputs'!$G$29),0),0))*IF('APA Inputs'!$I$29="",1,'APA Inputs'!$I$29))</f>
        <v>0</v>
      </c>
      <c r="AU14" s="409" t="n">
        <f aca="false">IF('APA Inputs'!$C$29="",0,(IF(AND(AU$4&gt;='APA Inputs'!$C$29,AU$4&lt;EDATE('APA Inputs'!$C$29,N('APA Inputs'!$D$29))),'APA Inputs'!$J$29,0)+IF(N('APA Inputs'!$H$29)&gt;0,IF(AU$4=EDATE('APA Inputs'!$C$29,'APA Inputs'!$H$29-1),N('APA Inputs'!$G$29),0),0))*IF('APA Inputs'!$I$29="",1,'APA Inputs'!$I$29))</f>
        <v>0</v>
      </c>
      <c r="AV14" s="409" t="n">
        <f aca="false">IF('APA Inputs'!$C$29="",0,(IF(AND(AV$4&gt;='APA Inputs'!$C$29,AV$4&lt;EDATE('APA Inputs'!$C$29,N('APA Inputs'!$D$29))),'APA Inputs'!$J$29,0)+IF(N('APA Inputs'!$H$29)&gt;0,IF(AV$4=EDATE('APA Inputs'!$C$29,'APA Inputs'!$H$29-1),N('APA Inputs'!$G$29),0),0))*IF('APA Inputs'!$I$29="",1,'APA Inputs'!$I$29))</f>
        <v>0</v>
      </c>
      <c r="AW14" s="409" t="n">
        <f aca="false">IF('APA Inputs'!$C$29="",0,(IF(AND(AW$4&gt;='APA Inputs'!$C$29,AW$4&lt;EDATE('APA Inputs'!$C$29,N('APA Inputs'!$D$29))),'APA Inputs'!$J$29,0)+IF(N('APA Inputs'!$H$29)&gt;0,IF(AW$4=EDATE('APA Inputs'!$C$29,'APA Inputs'!$H$29-1),N('APA Inputs'!$G$29),0),0))*IF('APA Inputs'!$I$29="",1,'APA Inputs'!$I$29))</f>
        <v>0</v>
      </c>
      <c r="AX14" s="409" t="n">
        <f aca="false">IF('APA Inputs'!$C$29="",0,(IF(AND(AX$4&gt;='APA Inputs'!$C$29,AX$4&lt;EDATE('APA Inputs'!$C$29,N('APA Inputs'!$D$29))),'APA Inputs'!$J$29,0)+IF(N('APA Inputs'!$H$29)&gt;0,IF(AX$4=EDATE('APA Inputs'!$C$29,'APA Inputs'!$H$29-1),N('APA Inputs'!$G$29),0),0))*IF('APA Inputs'!$I$29="",1,'APA Inputs'!$I$29))</f>
        <v>0</v>
      </c>
      <c r="AY14" s="409" t="n">
        <f aca="false">IF('APA Inputs'!$C$29="",0,(IF(AND(AY$4&gt;='APA Inputs'!$C$29,AY$4&lt;EDATE('APA Inputs'!$C$29,N('APA Inputs'!$D$29))),'APA Inputs'!$J$29,0)+IF(N('APA Inputs'!$H$29)&gt;0,IF(AY$4=EDATE('APA Inputs'!$C$29,'APA Inputs'!$H$29-1),N('APA Inputs'!$G$29),0),0))*IF('APA Inputs'!$I$29="",1,'APA Inputs'!$I$29))</f>
        <v>0</v>
      </c>
      <c r="AZ14" s="409" t="n">
        <f aca="false">IF('APA Inputs'!$C$29="",0,(IF(AND(AZ$4&gt;='APA Inputs'!$C$29,AZ$4&lt;EDATE('APA Inputs'!$C$29,N('APA Inputs'!$D$29))),'APA Inputs'!$J$29,0)+IF(N('APA Inputs'!$H$29)&gt;0,IF(AZ$4=EDATE('APA Inputs'!$C$29,'APA Inputs'!$H$29-1),N('APA Inputs'!$G$29),0),0))*IF('APA Inputs'!$I$29="",1,'APA Inputs'!$I$29))</f>
        <v>0</v>
      </c>
      <c r="BA14" s="409" t="n">
        <f aca="false">IF('APA Inputs'!$C$29="",0,(IF(AND(BA$4&gt;='APA Inputs'!$C$29,BA$4&lt;EDATE('APA Inputs'!$C$29,N('APA Inputs'!$D$29))),'APA Inputs'!$J$29,0)+IF(N('APA Inputs'!$H$29)&gt;0,IF(BA$4=EDATE('APA Inputs'!$C$29,'APA Inputs'!$H$29-1),N('APA Inputs'!$G$29),0),0))*IF('APA Inputs'!$I$29="",1,'APA Inputs'!$I$29))</f>
        <v>0</v>
      </c>
      <c r="BB14" s="409" t="n">
        <f aca="false">IF('APA Inputs'!$C$29="",0,(IF(AND(BB$4&gt;='APA Inputs'!$C$29,BB$4&lt;EDATE('APA Inputs'!$C$29,N('APA Inputs'!$D$29))),'APA Inputs'!$J$29,0)+IF(N('APA Inputs'!$H$29)&gt;0,IF(BB$4=EDATE('APA Inputs'!$C$29,'APA Inputs'!$H$29-1),N('APA Inputs'!$G$29),0),0))*IF('APA Inputs'!$I$29="",1,'APA Inputs'!$I$29))</f>
        <v>0</v>
      </c>
      <c r="BC14" s="409" t="n">
        <f aca="false">IF('APA Inputs'!$C$29="",0,(IF(AND(BC$4&gt;='APA Inputs'!$C$29,BC$4&lt;EDATE('APA Inputs'!$C$29,N('APA Inputs'!$D$29))),'APA Inputs'!$J$29,0)+IF(N('APA Inputs'!$H$29)&gt;0,IF(BC$4=EDATE('APA Inputs'!$C$29,'APA Inputs'!$H$29-1),N('APA Inputs'!$G$29),0),0))*IF('APA Inputs'!$I$29="",1,'APA Inputs'!$I$29))</f>
        <v>0</v>
      </c>
      <c r="BD14" s="409" t="n">
        <f aca="false">IF('APA Inputs'!$C$29="",0,(IF(AND(BD$4&gt;='APA Inputs'!$C$29,BD$4&lt;EDATE('APA Inputs'!$C$29,N('APA Inputs'!$D$29))),'APA Inputs'!$J$29,0)+IF(N('APA Inputs'!$H$29)&gt;0,IF(BD$4=EDATE('APA Inputs'!$C$29,'APA Inputs'!$H$29-1),N('APA Inputs'!$G$29),0),0))*IF('APA Inputs'!$I$29="",1,'APA Inputs'!$I$29))</f>
        <v>0</v>
      </c>
      <c r="BE14" s="409" t="n">
        <f aca="false">IF('APA Inputs'!$C$29="",0,(IF(AND(BE$4&gt;='APA Inputs'!$C$29,BE$4&lt;EDATE('APA Inputs'!$C$29,N('APA Inputs'!$D$29))),'APA Inputs'!$J$29,0)+IF(N('APA Inputs'!$H$29)&gt;0,IF(BE$4=EDATE('APA Inputs'!$C$29,'APA Inputs'!$H$29-1),N('APA Inputs'!$G$29),0),0))*IF('APA Inputs'!$I$29="",1,'APA Inputs'!$I$29))</f>
        <v>0</v>
      </c>
      <c r="BF14" s="409" t="n">
        <f aca="false">IF('APA Inputs'!$C$29="",0,(IF(AND(BF$4&gt;='APA Inputs'!$C$29,BF$4&lt;EDATE('APA Inputs'!$C$29,N('APA Inputs'!$D$29))),'APA Inputs'!$J$29,0)+IF(N('APA Inputs'!$H$29)&gt;0,IF(BF$4=EDATE('APA Inputs'!$C$29,'APA Inputs'!$H$29-1),N('APA Inputs'!$G$29),0),0))*IF('APA Inputs'!$I$29="",1,'APA Inputs'!$I$29))</f>
        <v>0</v>
      </c>
      <c r="BG14" s="409" t="n">
        <f aca="false">IF('APA Inputs'!$C$29="",0,(IF(AND(BG$4&gt;='APA Inputs'!$C$29,BG$4&lt;EDATE('APA Inputs'!$C$29,N('APA Inputs'!$D$29))),'APA Inputs'!$J$29,0)+IF(N('APA Inputs'!$H$29)&gt;0,IF(BG$4=EDATE('APA Inputs'!$C$29,'APA Inputs'!$H$29-1),N('APA Inputs'!$G$29),0),0))*IF('APA Inputs'!$I$29="",1,'APA Inputs'!$I$29))</f>
        <v>0</v>
      </c>
      <c r="BH14" s="409" t="n">
        <f aca="false">IF('APA Inputs'!$C$29="",0,(IF(AND(BH$4&gt;='APA Inputs'!$C$29,BH$4&lt;EDATE('APA Inputs'!$C$29,N('APA Inputs'!$D$29))),'APA Inputs'!$J$29,0)+IF(N('APA Inputs'!$H$29)&gt;0,IF(BH$4=EDATE('APA Inputs'!$C$29,'APA Inputs'!$H$29-1),N('APA Inputs'!$G$29),0),0))*IF('APA Inputs'!$I$29="",1,'APA Inputs'!$I$29))</f>
        <v>0</v>
      </c>
      <c r="BI14" s="409" t="n">
        <f aca="false">IF('APA Inputs'!$C$29="",0,(IF(AND(BI$4&gt;='APA Inputs'!$C$29,BI$4&lt;EDATE('APA Inputs'!$C$29,N('APA Inputs'!$D$29))),'APA Inputs'!$J$29,0)+IF(N('APA Inputs'!$H$29)&gt;0,IF(BI$4=EDATE('APA Inputs'!$C$29,'APA Inputs'!$H$29-1),N('APA Inputs'!$G$29),0),0))*IF('APA Inputs'!$I$29="",1,'APA Inputs'!$I$29))</f>
        <v>0</v>
      </c>
      <c r="BJ14" s="409" t="n">
        <f aca="false">IF('APA Inputs'!$C$29="",0,(IF(AND(BJ$4&gt;='APA Inputs'!$C$29,BJ$4&lt;EDATE('APA Inputs'!$C$29,N('APA Inputs'!$D$29))),'APA Inputs'!$J$29,0)+IF(N('APA Inputs'!$H$29)&gt;0,IF(BJ$4=EDATE('APA Inputs'!$C$29,'APA Inputs'!$H$29-1),N('APA Inputs'!$G$29),0),0))*IF('APA Inputs'!$I$29="",1,'APA Inputs'!$I$29))</f>
        <v>0</v>
      </c>
      <c r="BK14" s="409" t="n">
        <f aca="false">IF('APA Inputs'!$C$29="",0,(IF(AND(BK$4&gt;='APA Inputs'!$C$29,BK$4&lt;EDATE('APA Inputs'!$C$29,N('APA Inputs'!$D$29))),'APA Inputs'!$J$29,0)+IF(N('APA Inputs'!$H$29)&gt;0,IF(BK$4=EDATE('APA Inputs'!$C$29,'APA Inputs'!$H$29-1),N('APA Inputs'!$G$29),0),0))*IF('APA Inputs'!$I$29="",1,'APA Inputs'!$I$29))</f>
        <v>0</v>
      </c>
      <c r="BL14" s="409" t="n">
        <f aca="false">IF('APA Inputs'!$C$29="",0,(IF(AND(BL$4&gt;='APA Inputs'!$C$29,BL$4&lt;EDATE('APA Inputs'!$C$29,N('APA Inputs'!$D$29))),'APA Inputs'!$J$29,0)+IF(N('APA Inputs'!$H$29)&gt;0,IF(BL$4=EDATE('APA Inputs'!$C$29,'APA Inputs'!$H$29-1),N('APA Inputs'!$G$29),0),0))*IF('APA Inputs'!$I$29="",1,'APA Inputs'!$I$29))</f>
        <v>0</v>
      </c>
      <c r="BM14" s="409" t="n">
        <f aca="false">IF('APA Inputs'!$C$29="",0,(IF(AND(BM$4&gt;='APA Inputs'!$C$29,BM$4&lt;EDATE('APA Inputs'!$C$29,N('APA Inputs'!$D$29))),'APA Inputs'!$J$29,0)+IF(N('APA Inputs'!$H$29)&gt;0,IF(BM$4=EDATE('APA Inputs'!$C$29,'APA Inputs'!$H$29-1),N('APA Inputs'!$G$29),0),0))*IF('APA Inputs'!$I$29="",1,'APA Inputs'!$I$29))</f>
        <v>0</v>
      </c>
      <c r="BN14" s="409" t="n">
        <f aca="false">IF('APA Inputs'!$C$29="",0,(IF(AND(BN$4&gt;='APA Inputs'!$C$29,BN$4&lt;EDATE('APA Inputs'!$C$29,N('APA Inputs'!$D$29))),'APA Inputs'!$J$29,0)+IF(N('APA Inputs'!$H$29)&gt;0,IF(BN$4=EDATE('APA Inputs'!$C$29,'APA Inputs'!$H$29-1),N('APA Inputs'!$G$29),0),0))*IF('APA Inputs'!$I$29="",1,'APA Inputs'!$I$29))</f>
        <v>0</v>
      </c>
      <c r="BO14" s="409" t="n">
        <f aca="false">IF('APA Inputs'!$C$29="",0,(IF(AND(BO$4&gt;='APA Inputs'!$C$29,BO$4&lt;EDATE('APA Inputs'!$C$29,N('APA Inputs'!$D$29))),'APA Inputs'!$J$29,0)+IF(N('APA Inputs'!$H$29)&gt;0,IF(BO$4=EDATE('APA Inputs'!$C$29,'APA Inputs'!$H$29-1),N('APA Inputs'!$G$29),0),0))*IF('APA Inputs'!$I$29="",1,'APA Inputs'!$I$29))</f>
        <v>0</v>
      </c>
      <c r="BP14" s="409" t="n">
        <f aca="false">IF('APA Inputs'!$C$29="",0,(IF(AND(BP$4&gt;='APA Inputs'!$C$29,BP$4&lt;EDATE('APA Inputs'!$C$29,N('APA Inputs'!$D$29))),'APA Inputs'!$J$29,0)+IF(N('APA Inputs'!$H$29)&gt;0,IF(BP$4=EDATE('APA Inputs'!$C$29,'APA Inputs'!$H$29-1),N('APA Inputs'!$G$29),0),0))*IF('APA Inputs'!$I$29="",1,'APA Inputs'!$I$29))</f>
        <v>0</v>
      </c>
      <c r="BQ14" s="409" t="n">
        <f aca="false">IF('APA Inputs'!$C$29="",0,(IF(AND(BQ$4&gt;='APA Inputs'!$C$29,BQ$4&lt;EDATE('APA Inputs'!$C$29,N('APA Inputs'!$D$29))),'APA Inputs'!$J$29,0)+IF(N('APA Inputs'!$H$29)&gt;0,IF(BQ$4=EDATE('APA Inputs'!$C$29,'APA Inputs'!$H$29-1),N('APA Inputs'!$G$29),0),0))*IF('APA Inputs'!$I$29="",1,'APA Inputs'!$I$29))</f>
        <v>0</v>
      </c>
      <c r="BR14" s="409" t="n">
        <f aca="false">IF('APA Inputs'!$C$29="",0,(IF(AND(BR$4&gt;='APA Inputs'!$C$29,BR$4&lt;EDATE('APA Inputs'!$C$29,N('APA Inputs'!$D$29))),'APA Inputs'!$J$29,0)+IF(N('APA Inputs'!$H$29)&gt;0,IF(BR$4=EDATE('APA Inputs'!$C$29,'APA Inputs'!$H$29-1),N('APA Inputs'!$G$29),0),0))*IF('APA Inputs'!$I$29="",1,'APA Inputs'!$I$29))</f>
        <v>0</v>
      </c>
      <c r="BS14" s="409" t="n">
        <f aca="false">IF('APA Inputs'!$C$29="",0,(IF(AND(BS$4&gt;='APA Inputs'!$C$29,BS$4&lt;EDATE('APA Inputs'!$C$29,N('APA Inputs'!$D$29))),'APA Inputs'!$J$29,0)+IF(N('APA Inputs'!$H$29)&gt;0,IF(BS$4=EDATE('APA Inputs'!$C$29,'APA Inputs'!$H$29-1),N('APA Inputs'!$G$29),0),0))*IF('APA Inputs'!$I$29="",1,'APA Inputs'!$I$29))</f>
        <v>0</v>
      </c>
      <c r="BT14" s="409" t="n">
        <f aca="false">IF('APA Inputs'!$C$29="",0,(IF(AND(BT$4&gt;='APA Inputs'!$C$29,BT$4&lt;EDATE('APA Inputs'!$C$29,N('APA Inputs'!$D$29))),'APA Inputs'!$J$29,0)+IF(N('APA Inputs'!$H$29)&gt;0,IF(BT$4=EDATE('APA Inputs'!$C$29,'APA Inputs'!$H$29-1),N('APA Inputs'!$G$29),0),0))*IF('APA Inputs'!$I$29="",1,'APA Inputs'!$I$29))</f>
        <v>0</v>
      </c>
      <c r="BU14" s="409" t="n">
        <f aca="false">IF('APA Inputs'!$C$29="",0,(IF(AND(BU$4&gt;='APA Inputs'!$C$29,BU$4&lt;EDATE('APA Inputs'!$C$29,N('APA Inputs'!$D$29))),'APA Inputs'!$J$29,0)+IF(N('APA Inputs'!$H$29)&gt;0,IF(BU$4=EDATE('APA Inputs'!$C$29,'APA Inputs'!$H$29-1),N('APA Inputs'!$G$29),0),0))*IF('APA Inputs'!$I$29="",1,'APA Inputs'!$I$29))</f>
        <v>0</v>
      </c>
      <c r="BV14" s="409" t="n">
        <f aca="false">IF('APA Inputs'!$C$29="",0,(IF(AND(BV$4&gt;='APA Inputs'!$C$29,BV$4&lt;EDATE('APA Inputs'!$C$29,N('APA Inputs'!$D$29))),'APA Inputs'!$J$29,0)+IF(N('APA Inputs'!$H$29)&gt;0,IF(BV$4=EDATE('APA Inputs'!$C$29,'APA Inputs'!$H$29-1),N('APA Inputs'!$G$29),0),0))*IF('APA Inputs'!$I$29="",1,'APA Inputs'!$I$29))</f>
        <v>0</v>
      </c>
      <c r="BW14" s="409" t="n">
        <f aca="false">IF('APA Inputs'!$C$29="",0,(IF(AND(BW$4&gt;='APA Inputs'!$C$29,BW$4&lt;EDATE('APA Inputs'!$C$29,N('APA Inputs'!$D$29))),'APA Inputs'!$J$29,0)+IF(N('APA Inputs'!$H$29)&gt;0,IF(BW$4=EDATE('APA Inputs'!$C$29,'APA Inputs'!$H$29-1),N('APA Inputs'!$G$29),0),0))*IF('APA Inputs'!$I$29="",1,'APA Inputs'!$I$29))</f>
        <v>0</v>
      </c>
      <c r="BX14" s="409" t="n">
        <f aca="false">IF('APA Inputs'!$C$29="",0,(IF(AND(BX$4&gt;='APA Inputs'!$C$29,BX$4&lt;EDATE('APA Inputs'!$C$29,N('APA Inputs'!$D$29))),'APA Inputs'!$J$29,0)+IF(N('APA Inputs'!$H$29)&gt;0,IF(BX$4=EDATE('APA Inputs'!$C$29,'APA Inputs'!$H$29-1),N('APA Inputs'!$G$29),0),0))*IF('APA Inputs'!$I$29="",1,'APA Inputs'!$I$29))</f>
        <v>0</v>
      </c>
      <c r="BY14" s="409" t="n">
        <f aca="false">IF('APA Inputs'!$C$29="",0,(IF(AND(BY$4&gt;='APA Inputs'!$C$29,BY$4&lt;EDATE('APA Inputs'!$C$29,N('APA Inputs'!$D$29))),'APA Inputs'!$J$29,0)+IF(N('APA Inputs'!$H$29)&gt;0,IF(BY$4=EDATE('APA Inputs'!$C$29,'APA Inputs'!$H$29-1),N('APA Inputs'!$G$29),0),0))*IF('APA Inputs'!$I$29="",1,'APA Inputs'!$I$29))</f>
        <v>0</v>
      </c>
      <c r="BZ14" s="409" t="n">
        <f aca="false">IF('APA Inputs'!$C$29="",0,(IF(AND(BZ$4&gt;='APA Inputs'!$C$29,BZ$4&lt;EDATE('APA Inputs'!$C$29,N('APA Inputs'!$D$29))),'APA Inputs'!$J$29,0)+IF(N('APA Inputs'!$H$29)&gt;0,IF(BZ$4=EDATE('APA Inputs'!$C$29,'APA Inputs'!$H$29-1),N('APA Inputs'!$G$29),0),0))*IF('APA Inputs'!$I$29="",1,'APA Inputs'!$I$29))</f>
        <v>0</v>
      </c>
      <c r="CA14" s="409" t="n">
        <f aca="false">IF('APA Inputs'!$C$29="",0,(IF(AND(CA$4&gt;='APA Inputs'!$C$29,CA$4&lt;EDATE('APA Inputs'!$C$29,N('APA Inputs'!$D$29))),'APA Inputs'!$J$29,0)+IF(N('APA Inputs'!$H$29)&gt;0,IF(CA$4=EDATE('APA Inputs'!$C$29,'APA Inputs'!$H$29-1),N('APA Inputs'!$G$29),0),0))*IF('APA Inputs'!$I$29="",1,'APA Inputs'!$I$29))</f>
        <v>0</v>
      </c>
      <c r="CB14" s="409" t="n">
        <f aca="false">IF('APA Inputs'!$C$29="",0,(IF(AND(CB$4&gt;='APA Inputs'!$C$29,CB$4&lt;EDATE('APA Inputs'!$C$29,N('APA Inputs'!$D$29))),'APA Inputs'!$J$29,0)+IF(N('APA Inputs'!$H$29)&gt;0,IF(CB$4=EDATE('APA Inputs'!$C$29,'APA Inputs'!$H$29-1),N('APA Inputs'!$G$29),0),0))*IF('APA Inputs'!$I$29="",1,'APA Inputs'!$I$29))</f>
        <v>0</v>
      </c>
      <c r="CC14" s="409" t="n">
        <f aca="false">IF('APA Inputs'!$C$29="",0,(IF(AND(CC$4&gt;='APA Inputs'!$C$29,CC$4&lt;EDATE('APA Inputs'!$C$29,N('APA Inputs'!$D$29))),'APA Inputs'!$J$29,0)+IF(N('APA Inputs'!$H$29)&gt;0,IF(CC$4=EDATE('APA Inputs'!$C$29,'APA Inputs'!$H$29-1),N('APA Inputs'!$G$29),0),0))*IF('APA Inputs'!$I$29="",1,'APA Inputs'!$I$29))</f>
        <v>0</v>
      </c>
      <c r="CD14" s="409" t="n">
        <f aca="false">IF('APA Inputs'!$C$29="",0,(IF(AND(CD$4&gt;='APA Inputs'!$C$29,CD$4&lt;EDATE('APA Inputs'!$C$29,N('APA Inputs'!$D$29))),'APA Inputs'!$J$29,0)+IF(N('APA Inputs'!$H$29)&gt;0,IF(CD$4=EDATE('APA Inputs'!$C$29,'APA Inputs'!$H$29-1),N('APA Inputs'!$G$29),0),0))*IF('APA Inputs'!$I$29="",1,'APA Inputs'!$I$29))</f>
        <v>0</v>
      </c>
      <c r="CE14" s="409" t="n">
        <f aca="false">IF('APA Inputs'!$C$29="",0,(IF(AND(CE$4&gt;='APA Inputs'!$C$29,CE$4&lt;EDATE('APA Inputs'!$C$29,N('APA Inputs'!$D$29))),'APA Inputs'!$J$29,0)+IF(N('APA Inputs'!$H$29)&gt;0,IF(CE$4=EDATE('APA Inputs'!$C$29,'APA Inputs'!$H$29-1),N('APA Inputs'!$G$29),0),0))*IF('APA Inputs'!$I$29="",1,'APA Inputs'!$I$29))</f>
        <v>0</v>
      </c>
      <c r="CF14" s="409" t="n">
        <f aca="false">IF('APA Inputs'!$C$29="",0,(IF(AND(CF$4&gt;='APA Inputs'!$C$29,CF$4&lt;EDATE('APA Inputs'!$C$29,N('APA Inputs'!$D$29))),'APA Inputs'!$J$29,0)+IF(N('APA Inputs'!$H$29)&gt;0,IF(CF$4=EDATE('APA Inputs'!$C$29,'APA Inputs'!$H$29-1),N('APA Inputs'!$G$29),0),0))*IF('APA Inputs'!$I$29="",1,'APA Inputs'!$I$29))</f>
        <v>0</v>
      </c>
      <c r="CG14" s="409" t="n">
        <f aca="false">IF('APA Inputs'!$C$29="",0,(IF(AND(CG$4&gt;='APA Inputs'!$C$29,CG$4&lt;EDATE('APA Inputs'!$C$29,N('APA Inputs'!$D$29))),'APA Inputs'!$J$29,0)+IF(N('APA Inputs'!$H$29)&gt;0,IF(CG$4=EDATE('APA Inputs'!$C$29,'APA Inputs'!$H$29-1),N('APA Inputs'!$G$29),0),0))*IF('APA Inputs'!$I$29="",1,'APA Inputs'!$I$29))</f>
        <v>0</v>
      </c>
      <c r="CH14" s="409" t="n">
        <f aca="false">IF('APA Inputs'!$C$29="",0,(IF(AND(CH$4&gt;='APA Inputs'!$C$29,CH$4&lt;EDATE('APA Inputs'!$C$29,N('APA Inputs'!$D$29))),'APA Inputs'!$J$29,0)+IF(N('APA Inputs'!$H$29)&gt;0,IF(CH$4=EDATE('APA Inputs'!$C$29,'APA Inputs'!$H$29-1),N('APA Inputs'!$G$29),0),0))*IF('APA Inputs'!$I$29="",1,'APA Inputs'!$I$29))</f>
        <v>0</v>
      </c>
      <c r="CI14" s="409" t="n">
        <f aca="false">IF('APA Inputs'!$C$29="",0,(IF(AND(CI$4&gt;='APA Inputs'!$C$29,CI$4&lt;EDATE('APA Inputs'!$C$29,N('APA Inputs'!$D$29))),'APA Inputs'!$J$29,0)+IF(N('APA Inputs'!$H$29)&gt;0,IF(CI$4=EDATE('APA Inputs'!$C$29,'APA Inputs'!$H$29-1),N('APA Inputs'!$G$29),0),0))*IF('APA Inputs'!$I$29="",1,'APA Inputs'!$I$29))</f>
        <v>0</v>
      </c>
      <c r="CJ14" s="409" t="n">
        <f aca="false">IF('APA Inputs'!$C$29="",0,(IF(AND(CJ$4&gt;='APA Inputs'!$C$29,CJ$4&lt;EDATE('APA Inputs'!$C$29,N('APA Inputs'!$D$29))),'APA Inputs'!$J$29,0)+IF(N('APA Inputs'!$H$29)&gt;0,IF(CJ$4=EDATE('APA Inputs'!$C$29,'APA Inputs'!$H$29-1),N('APA Inputs'!$G$29),0),0))*IF('APA Inputs'!$I$29="",1,'APA Inputs'!$I$29))</f>
        <v>0</v>
      </c>
      <c r="CK14" s="409" t="n">
        <f aca="false">IF('APA Inputs'!$C$29="",0,(IF(AND(CK$4&gt;='APA Inputs'!$C$29,CK$4&lt;EDATE('APA Inputs'!$C$29,N('APA Inputs'!$D$29))),'APA Inputs'!$J$29,0)+IF(N('APA Inputs'!$H$29)&gt;0,IF(CK$4=EDATE('APA Inputs'!$C$29,'APA Inputs'!$H$29-1),N('APA Inputs'!$G$29),0),0))*IF('APA Inputs'!$I$29="",1,'APA Inputs'!$I$29))</f>
        <v>0</v>
      </c>
      <c r="CL14" s="409" t="n">
        <f aca="false">IF('APA Inputs'!$C$29="",0,(IF(AND(CL$4&gt;='APA Inputs'!$C$29,CL$4&lt;EDATE('APA Inputs'!$C$29,N('APA Inputs'!$D$29))),'APA Inputs'!$J$29,0)+IF(N('APA Inputs'!$H$29)&gt;0,IF(CL$4=EDATE('APA Inputs'!$C$29,'APA Inputs'!$H$29-1),N('APA Inputs'!$G$29),0),0))*IF('APA Inputs'!$I$29="",1,'APA Inputs'!$I$29))</f>
        <v>0</v>
      </c>
      <c r="CM14" s="409" t="n">
        <f aca="false">IF('APA Inputs'!$C$29="",0,(IF(AND(CM$4&gt;='APA Inputs'!$C$29,CM$4&lt;EDATE('APA Inputs'!$C$29,N('APA Inputs'!$D$29))),'APA Inputs'!$J$29,0)+IF(N('APA Inputs'!$H$29)&gt;0,IF(CM$4=EDATE('APA Inputs'!$C$29,'APA Inputs'!$H$29-1),N('APA Inputs'!$G$29),0),0))*IF('APA Inputs'!$I$29="",1,'APA Inputs'!$I$29))</f>
        <v>0</v>
      </c>
      <c r="CN14" s="409" t="n">
        <f aca="false">IF('APA Inputs'!$C$29="",0,(IF(AND(CN$4&gt;='APA Inputs'!$C$29,CN$4&lt;EDATE('APA Inputs'!$C$29,N('APA Inputs'!$D$29))),'APA Inputs'!$J$29,0)+IF(N('APA Inputs'!$H$29)&gt;0,IF(CN$4=EDATE('APA Inputs'!$C$29,'APA Inputs'!$H$29-1),N('APA Inputs'!$G$29),0),0))*IF('APA Inputs'!$I$29="",1,'APA Inputs'!$I$29))</f>
        <v>0</v>
      </c>
      <c r="CO14" s="409" t="n">
        <f aca="false">IF('APA Inputs'!$C$29="",0,(IF(AND(CO$4&gt;='APA Inputs'!$C$29,CO$4&lt;EDATE('APA Inputs'!$C$29,N('APA Inputs'!$D$29))),'APA Inputs'!$J$29,0)+IF(N('APA Inputs'!$H$29)&gt;0,IF(CO$4=EDATE('APA Inputs'!$C$29,'APA Inputs'!$H$29-1),N('APA Inputs'!$G$29),0),0))*IF('APA Inputs'!$I$29="",1,'APA Inputs'!$I$29))</f>
        <v>0</v>
      </c>
      <c r="CP14" s="409" t="n">
        <f aca="false">IF('APA Inputs'!$C$29="",0,(IF(AND(CP$4&gt;='APA Inputs'!$C$29,CP$4&lt;EDATE('APA Inputs'!$C$29,N('APA Inputs'!$D$29))),'APA Inputs'!$J$29,0)+IF(N('APA Inputs'!$H$29)&gt;0,IF(CP$4=EDATE('APA Inputs'!$C$29,'APA Inputs'!$H$29-1),N('APA Inputs'!$G$29),0),0))*IF('APA Inputs'!$I$29="",1,'APA Inputs'!$I$29))</f>
        <v>0</v>
      </c>
      <c r="CQ14" s="409" t="n">
        <f aca="false">IF('APA Inputs'!$C$29="",0,(IF(AND(CQ$4&gt;='APA Inputs'!$C$29,CQ$4&lt;EDATE('APA Inputs'!$C$29,N('APA Inputs'!$D$29))),'APA Inputs'!$J$29,0)+IF(N('APA Inputs'!$H$29)&gt;0,IF(CQ$4=EDATE('APA Inputs'!$C$29,'APA Inputs'!$H$29-1),N('APA Inputs'!$G$29),0),0))*IF('APA Inputs'!$I$29="",1,'APA Inputs'!$I$29))</f>
        <v>0</v>
      </c>
      <c r="CR14" s="409" t="n">
        <f aca="false">IF('APA Inputs'!$C$29="",0,(IF(AND(CR$4&gt;='APA Inputs'!$C$29,CR$4&lt;EDATE('APA Inputs'!$C$29,N('APA Inputs'!$D$29))),'APA Inputs'!$J$29,0)+IF(N('APA Inputs'!$H$29)&gt;0,IF(CR$4=EDATE('APA Inputs'!$C$29,'APA Inputs'!$H$29-1),N('APA Inputs'!$G$29),0),0))*IF('APA Inputs'!$I$29="",1,'APA Inputs'!$I$29))</f>
        <v>0</v>
      </c>
      <c r="CS14" s="409" t="n">
        <f aca="false">IF('APA Inputs'!$C$29="",0,(IF(AND(CS$4&gt;='APA Inputs'!$C$29,CS$4&lt;EDATE('APA Inputs'!$C$29,N('APA Inputs'!$D$29))),'APA Inputs'!$J$29,0)+IF(N('APA Inputs'!$H$29)&gt;0,IF(CS$4=EDATE('APA Inputs'!$C$29,'APA Inputs'!$H$29-1),N('APA Inputs'!$G$29),0),0))*IF('APA Inputs'!$I$29="",1,'APA Inputs'!$I$29))</f>
        <v>0</v>
      </c>
      <c r="CT14" s="409" t="n">
        <f aca="false">IF('APA Inputs'!$C$29="",0,(IF(AND(CT$4&gt;='APA Inputs'!$C$29,CT$4&lt;EDATE('APA Inputs'!$C$29,N('APA Inputs'!$D$29))),'APA Inputs'!$J$29,0)+IF(N('APA Inputs'!$H$29)&gt;0,IF(CT$4=EDATE('APA Inputs'!$C$29,'APA Inputs'!$H$29-1),N('APA Inputs'!$G$29),0),0))*IF('APA Inputs'!$I$29="",1,'APA Inputs'!$I$29))</f>
        <v>0</v>
      </c>
      <c r="CU14" s="409" t="n">
        <f aca="false">IF('APA Inputs'!$C$29="",0,(IF(AND(CU$4&gt;='APA Inputs'!$C$29,CU$4&lt;EDATE('APA Inputs'!$C$29,N('APA Inputs'!$D$29))),'APA Inputs'!$J$29,0)+IF(N('APA Inputs'!$H$29)&gt;0,IF(CU$4=EDATE('APA Inputs'!$C$29,'APA Inputs'!$H$29-1),N('APA Inputs'!$G$29),0),0))*IF('APA Inputs'!$I$29="",1,'APA Inputs'!$I$29))</f>
        <v>0</v>
      </c>
      <c r="CV14" s="409" t="n">
        <f aca="false">IF('APA Inputs'!$C$29="",0,(IF(AND(CV$4&gt;='APA Inputs'!$C$29,CV$4&lt;EDATE('APA Inputs'!$C$29,N('APA Inputs'!$D$29))),'APA Inputs'!$J$29,0)+IF(N('APA Inputs'!$H$29)&gt;0,IF(CV$4=EDATE('APA Inputs'!$C$29,'APA Inputs'!$H$29-1),N('APA Inputs'!$G$29),0),0))*IF('APA Inputs'!$I$29="",1,'APA Inputs'!$I$29))</f>
        <v>0</v>
      </c>
      <c r="CW14" s="409" t="n">
        <f aca="false">IF('APA Inputs'!$C$29="",0,(IF(AND(CW$4&gt;='APA Inputs'!$C$29,CW$4&lt;EDATE('APA Inputs'!$C$29,N('APA Inputs'!$D$29))),'APA Inputs'!$J$29,0)+IF(N('APA Inputs'!$H$29)&gt;0,IF(CW$4=EDATE('APA Inputs'!$C$29,'APA Inputs'!$H$29-1),N('APA Inputs'!$G$29),0),0))*IF('APA Inputs'!$I$29="",1,'APA Inputs'!$I$29))</f>
        <v>0</v>
      </c>
      <c r="CX14" s="409" t="n">
        <f aca="false">IF('APA Inputs'!$C$29="",0,(IF(AND(CX$4&gt;='APA Inputs'!$C$29,CX$4&lt;EDATE('APA Inputs'!$C$29,N('APA Inputs'!$D$29))),'APA Inputs'!$J$29,0)+IF(N('APA Inputs'!$H$29)&gt;0,IF(CX$4=EDATE('APA Inputs'!$C$29,'APA Inputs'!$H$29-1),N('APA Inputs'!$G$29),0),0))*IF('APA Inputs'!$I$29="",1,'APA Inputs'!$I$29))</f>
        <v>0</v>
      </c>
      <c r="CY14" s="409" t="n">
        <f aca="false">IF('APA Inputs'!$C$29="",0,(IF(AND(CY$4&gt;='APA Inputs'!$C$29,CY$4&lt;EDATE('APA Inputs'!$C$29,N('APA Inputs'!$D$29))),'APA Inputs'!$J$29,0)+IF(N('APA Inputs'!$H$29)&gt;0,IF(CY$4=EDATE('APA Inputs'!$C$29,'APA Inputs'!$H$29-1),N('APA Inputs'!$G$29),0),0))*IF('APA Inputs'!$I$29="",1,'APA Inputs'!$I$29))</f>
        <v>0</v>
      </c>
      <c r="CZ14" s="409" t="n">
        <f aca="false">IF('APA Inputs'!$C$29="",0,(IF(AND(CZ$4&gt;='APA Inputs'!$C$29,CZ$4&lt;EDATE('APA Inputs'!$C$29,N('APA Inputs'!$D$29))),'APA Inputs'!$J$29,0)+IF(N('APA Inputs'!$H$29)&gt;0,IF(CZ$4=EDATE('APA Inputs'!$C$29,'APA Inputs'!$H$29-1),N('APA Inputs'!$G$29),0),0))*IF('APA Inputs'!$I$29="",1,'APA Inputs'!$I$29))</f>
        <v>0</v>
      </c>
      <c r="DA14" s="409" t="n">
        <f aca="false">IF('APA Inputs'!$C$29="",0,(IF(AND(DA$4&gt;='APA Inputs'!$C$29,DA$4&lt;EDATE('APA Inputs'!$C$29,N('APA Inputs'!$D$29))),'APA Inputs'!$J$29,0)+IF(N('APA Inputs'!$H$29)&gt;0,IF(DA$4=EDATE('APA Inputs'!$C$29,'APA Inputs'!$H$29-1),N('APA Inputs'!$G$29),0),0))*IF('APA Inputs'!$I$29="",1,'APA Inputs'!$I$29))</f>
        <v>0</v>
      </c>
      <c r="DB14" s="409" t="n">
        <f aca="false">IF('APA Inputs'!$C$29="",0,(IF(AND(DB$4&gt;='APA Inputs'!$C$29,DB$4&lt;EDATE('APA Inputs'!$C$29,N('APA Inputs'!$D$29))),'APA Inputs'!$J$29,0)+IF(N('APA Inputs'!$H$29)&gt;0,IF(DB$4=EDATE('APA Inputs'!$C$29,'APA Inputs'!$H$29-1),N('APA Inputs'!$G$29),0),0))*IF('APA Inputs'!$I$29="",1,'APA Inputs'!$I$29))</f>
        <v>0</v>
      </c>
      <c r="DC14" s="409" t="n">
        <f aca="false">IF('APA Inputs'!$C$29="",0,(IF(AND(DC$4&gt;='APA Inputs'!$C$29,DC$4&lt;EDATE('APA Inputs'!$C$29,N('APA Inputs'!$D$29))),'APA Inputs'!$J$29,0)+IF(N('APA Inputs'!$H$29)&gt;0,IF(DC$4=EDATE('APA Inputs'!$C$29,'APA Inputs'!$H$29-1),N('APA Inputs'!$G$29),0),0))*IF('APA Inputs'!$I$29="",1,'APA Inputs'!$I$29))</f>
        <v>0</v>
      </c>
      <c r="DD14" s="409" t="n">
        <f aca="false">IF('APA Inputs'!$C$29="",0,(IF(AND(DD$4&gt;='APA Inputs'!$C$29,DD$4&lt;EDATE('APA Inputs'!$C$29,N('APA Inputs'!$D$29))),'APA Inputs'!$J$29,0)+IF(N('APA Inputs'!$H$29)&gt;0,IF(DD$4=EDATE('APA Inputs'!$C$29,'APA Inputs'!$H$29-1),N('APA Inputs'!$G$29),0),0))*IF('APA Inputs'!$I$29="",1,'APA Inputs'!$I$29))</f>
        <v>0</v>
      </c>
      <c r="DE14" s="409"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09" t="n">
        <f aca="false">IF('APA Inputs'!$C$30="",0,(IF(AND(B$4&gt;='APA Inputs'!$C$30,B$4&lt;EDATE('APA Inputs'!$C$30,N('APA Inputs'!$D$30))),'APA Inputs'!$J$30,0)+IF(N('APA Inputs'!$H$30)&gt;0,IF(B$4=EDATE('APA Inputs'!$C$30,'APA Inputs'!$H$30-1),N('APA Inputs'!$G$30),0),0))*IF('APA Inputs'!$I$30="",1,'APA Inputs'!$I$30))</f>
        <v>0</v>
      </c>
      <c r="C15" s="409" t="n">
        <f aca="false">IF('APA Inputs'!$C$30="",0,(IF(AND(C$4&gt;='APA Inputs'!$C$30,C$4&lt;EDATE('APA Inputs'!$C$30,N('APA Inputs'!$D$30))),'APA Inputs'!$J$30,0)+IF(N('APA Inputs'!$H$30)&gt;0,IF(C$4=EDATE('APA Inputs'!$C$30,'APA Inputs'!$H$30-1),N('APA Inputs'!$G$30),0),0))*IF('APA Inputs'!$I$30="",1,'APA Inputs'!$I$30))</f>
        <v>0</v>
      </c>
      <c r="D15" s="409" t="n">
        <f aca="false">IF('APA Inputs'!$C$30="",0,(IF(AND(D$4&gt;='APA Inputs'!$C$30,D$4&lt;EDATE('APA Inputs'!$C$30,N('APA Inputs'!$D$30))),'APA Inputs'!$J$30,0)+IF(N('APA Inputs'!$H$30)&gt;0,IF(D$4=EDATE('APA Inputs'!$C$30,'APA Inputs'!$H$30-1),N('APA Inputs'!$G$30),0),0))*IF('APA Inputs'!$I$30="",1,'APA Inputs'!$I$30))</f>
        <v>0</v>
      </c>
      <c r="E15" s="409" t="n">
        <f aca="false">IF('APA Inputs'!$C$30="",0,(IF(AND(E$4&gt;='APA Inputs'!$C$30,E$4&lt;EDATE('APA Inputs'!$C$30,N('APA Inputs'!$D$30))),'APA Inputs'!$J$30,0)+IF(N('APA Inputs'!$H$30)&gt;0,IF(E$4=EDATE('APA Inputs'!$C$30,'APA Inputs'!$H$30-1),N('APA Inputs'!$G$30),0),0))*IF('APA Inputs'!$I$30="",1,'APA Inputs'!$I$30))</f>
        <v>0</v>
      </c>
      <c r="F15" s="409" t="n">
        <f aca="false">IF('APA Inputs'!$C$30="",0,(IF(AND(F$4&gt;='APA Inputs'!$C$30,F$4&lt;EDATE('APA Inputs'!$C$30,N('APA Inputs'!$D$30))),'APA Inputs'!$J$30,0)+IF(N('APA Inputs'!$H$30)&gt;0,IF(F$4=EDATE('APA Inputs'!$C$30,'APA Inputs'!$H$30-1),N('APA Inputs'!$G$30),0),0))*IF('APA Inputs'!$I$30="",1,'APA Inputs'!$I$30))</f>
        <v>0</v>
      </c>
      <c r="G15" s="409" t="n">
        <f aca="false">IF('APA Inputs'!$C$30="",0,(IF(AND(G$4&gt;='APA Inputs'!$C$30,G$4&lt;EDATE('APA Inputs'!$C$30,N('APA Inputs'!$D$30))),'APA Inputs'!$J$30,0)+IF(N('APA Inputs'!$H$30)&gt;0,IF(G$4=EDATE('APA Inputs'!$C$30,'APA Inputs'!$H$30-1),N('APA Inputs'!$G$30),0),0))*IF('APA Inputs'!$I$30="",1,'APA Inputs'!$I$30))</f>
        <v>0</v>
      </c>
      <c r="H15" s="409" t="n">
        <f aca="false">IF('APA Inputs'!$C$30="",0,(IF(AND(H$4&gt;='APA Inputs'!$C$30,H$4&lt;EDATE('APA Inputs'!$C$30,N('APA Inputs'!$D$30))),'APA Inputs'!$J$30,0)+IF(N('APA Inputs'!$H$30)&gt;0,IF(H$4=EDATE('APA Inputs'!$C$30,'APA Inputs'!$H$30-1),N('APA Inputs'!$G$30),0),0))*IF('APA Inputs'!$I$30="",1,'APA Inputs'!$I$30))</f>
        <v>0</v>
      </c>
      <c r="I15" s="409" t="n">
        <f aca="false">IF('APA Inputs'!$C$30="",0,(IF(AND(I$4&gt;='APA Inputs'!$C$30,I$4&lt;EDATE('APA Inputs'!$C$30,N('APA Inputs'!$D$30))),'APA Inputs'!$J$30,0)+IF(N('APA Inputs'!$H$30)&gt;0,IF(I$4=EDATE('APA Inputs'!$C$30,'APA Inputs'!$H$30-1),N('APA Inputs'!$G$30),0),0))*IF('APA Inputs'!$I$30="",1,'APA Inputs'!$I$30))</f>
        <v>0</v>
      </c>
      <c r="J15" s="409" t="n">
        <f aca="false">IF('APA Inputs'!$C$30="",0,(IF(AND(J$4&gt;='APA Inputs'!$C$30,J$4&lt;EDATE('APA Inputs'!$C$30,N('APA Inputs'!$D$30))),'APA Inputs'!$J$30,0)+IF(N('APA Inputs'!$H$30)&gt;0,IF(J$4=EDATE('APA Inputs'!$C$30,'APA Inputs'!$H$30-1),N('APA Inputs'!$G$30),0),0))*IF('APA Inputs'!$I$30="",1,'APA Inputs'!$I$30))</f>
        <v>0</v>
      </c>
      <c r="K15" s="409" t="n">
        <f aca="false">IF('APA Inputs'!$C$30="",0,(IF(AND(K$4&gt;='APA Inputs'!$C$30,K$4&lt;EDATE('APA Inputs'!$C$30,N('APA Inputs'!$D$30))),'APA Inputs'!$J$30,0)+IF(N('APA Inputs'!$H$30)&gt;0,IF(K$4=EDATE('APA Inputs'!$C$30,'APA Inputs'!$H$30-1),N('APA Inputs'!$G$30),0),0))*IF('APA Inputs'!$I$30="",1,'APA Inputs'!$I$30))</f>
        <v>0</v>
      </c>
      <c r="L15" s="409" t="n">
        <f aca="false">IF('APA Inputs'!$C$30="",0,(IF(AND(L$4&gt;='APA Inputs'!$C$30,L$4&lt;EDATE('APA Inputs'!$C$30,N('APA Inputs'!$D$30))),'APA Inputs'!$J$30,0)+IF(N('APA Inputs'!$H$30)&gt;0,IF(L$4=EDATE('APA Inputs'!$C$30,'APA Inputs'!$H$30-1),N('APA Inputs'!$G$30),0),0))*IF('APA Inputs'!$I$30="",1,'APA Inputs'!$I$30))</f>
        <v>0</v>
      </c>
      <c r="M15" s="409" t="n">
        <f aca="false">IF('APA Inputs'!$C$30="",0,(IF(AND(M$4&gt;='APA Inputs'!$C$30,M$4&lt;EDATE('APA Inputs'!$C$30,N('APA Inputs'!$D$30))),'APA Inputs'!$J$30,0)+IF(N('APA Inputs'!$H$30)&gt;0,IF(M$4=EDATE('APA Inputs'!$C$30,'APA Inputs'!$H$30-1),N('APA Inputs'!$G$30),0),0))*IF('APA Inputs'!$I$30="",1,'APA Inputs'!$I$30))</f>
        <v>0</v>
      </c>
      <c r="N15" s="409" t="n">
        <f aca="false">IF('APA Inputs'!$C$30="",0,(IF(AND(N$4&gt;='APA Inputs'!$C$30,N$4&lt;EDATE('APA Inputs'!$C$30,N('APA Inputs'!$D$30))),'APA Inputs'!$J$30,0)+IF(N('APA Inputs'!$H$30)&gt;0,IF(N$4=EDATE('APA Inputs'!$C$30,'APA Inputs'!$H$30-1),N('APA Inputs'!$G$30),0),0))*IF('APA Inputs'!$I$30="",1,'APA Inputs'!$I$30))</f>
        <v>0</v>
      </c>
      <c r="O15" s="409" t="n">
        <f aca="false">IF('APA Inputs'!$C$30="",0,(IF(AND(O$4&gt;='APA Inputs'!$C$30,O$4&lt;EDATE('APA Inputs'!$C$30,N('APA Inputs'!$D$30))),'APA Inputs'!$J$30,0)+IF(N('APA Inputs'!$H$30)&gt;0,IF(O$4=EDATE('APA Inputs'!$C$30,'APA Inputs'!$H$30-1),N('APA Inputs'!$G$30),0),0))*IF('APA Inputs'!$I$30="",1,'APA Inputs'!$I$30))</f>
        <v>0</v>
      </c>
      <c r="P15" s="409" t="n">
        <f aca="false">IF('APA Inputs'!$C$30="",0,(IF(AND(P$4&gt;='APA Inputs'!$C$30,P$4&lt;EDATE('APA Inputs'!$C$30,N('APA Inputs'!$D$30))),'APA Inputs'!$J$30,0)+IF(N('APA Inputs'!$H$30)&gt;0,IF(P$4=EDATE('APA Inputs'!$C$30,'APA Inputs'!$H$30-1),N('APA Inputs'!$G$30),0),0))*IF('APA Inputs'!$I$30="",1,'APA Inputs'!$I$30))</f>
        <v>0</v>
      </c>
      <c r="Q15" s="409" t="n">
        <f aca="false">IF('APA Inputs'!$C$30="",0,(IF(AND(Q$4&gt;='APA Inputs'!$C$30,Q$4&lt;EDATE('APA Inputs'!$C$30,N('APA Inputs'!$D$30))),'APA Inputs'!$J$30,0)+IF(N('APA Inputs'!$H$30)&gt;0,IF(Q$4=EDATE('APA Inputs'!$C$30,'APA Inputs'!$H$30-1),N('APA Inputs'!$G$30),0),0))*IF('APA Inputs'!$I$30="",1,'APA Inputs'!$I$30))</f>
        <v>0</v>
      </c>
      <c r="R15" s="409" t="n">
        <f aca="false">IF('APA Inputs'!$C$30="",0,(IF(AND(R$4&gt;='APA Inputs'!$C$30,R$4&lt;EDATE('APA Inputs'!$C$30,N('APA Inputs'!$D$30))),'APA Inputs'!$J$30,0)+IF(N('APA Inputs'!$H$30)&gt;0,IF(R$4=EDATE('APA Inputs'!$C$30,'APA Inputs'!$H$30-1),N('APA Inputs'!$G$30),0),0))*IF('APA Inputs'!$I$30="",1,'APA Inputs'!$I$30))</f>
        <v>0</v>
      </c>
      <c r="S15" s="409" t="n">
        <f aca="false">IF('APA Inputs'!$C$30="",0,(IF(AND(S$4&gt;='APA Inputs'!$C$30,S$4&lt;EDATE('APA Inputs'!$C$30,N('APA Inputs'!$D$30))),'APA Inputs'!$J$30,0)+IF(N('APA Inputs'!$H$30)&gt;0,IF(S$4=EDATE('APA Inputs'!$C$30,'APA Inputs'!$H$30-1),N('APA Inputs'!$G$30),0),0))*IF('APA Inputs'!$I$30="",1,'APA Inputs'!$I$30))</f>
        <v>0</v>
      </c>
      <c r="T15" s="409" t="n">
        <f aca="false">IF('APA Inputs'!$C$30="",0,(IF(AND(T$4&gt;='APA Inputs'!$C$30,T$4&lt;EDATE('APA Inputs'!$C$30,N('APA Inputs'!$D$30))),'APA Inputs'!$J$30,0)+IF(N('APA Inputs'!$H$30)&gt;0,IF(T$4=EDATE('APA Inputs'!$C$30,'APA Inputs'!$H$30-1),N('APA Inputs'!$G$30),0),0))*IF('APA Inputs'!$I$30="",1,'APA Inputs'!$I$30))</f>
        <v>0</v>
      </c>
      <c r="U15" s="409" t="n">
        <f aca="false">IF('APA Inputs'!$C$30="",0,(IF(AND(U$4&gt;='APA Inputs'!$C$30,U$4&lt;EDATE('APA Inputs'!$C$30,N('APA Inputs'!$D$30))),'APA Inputs'!$J$30,0)+IF(N('APA Inputs'!$H$30)&gt;0,IF(U$4=EDATE('APA Inputs'!$C$30,'APA Inputs'!$H$30-1),N('APA Inputs'!$G$30),0),0))*IF('APA Inputs'!$I$30="",1,'APA Inputs'!$I$30))</f>
        <v>0</v>
      </c>
      <c r="V15" s="409" t="n">
        <f aca="false">IF('APA Inputs'!$C$30="",0,(IF(AND(V$4&gt;='APA Inputs'!$C$30,V$4&lt;EDATE('APA Inputs'!$C$30,N('APA Inputs'!$D$30))),'APA Inputs'!$J$30,0)+IF(N('APA Inputs'!$H$30)&gt;0,IF(V$4=EDATE('APA Inputs'!$C$30,'APA Inputs'!$H$30-1),N('APA Inputs'!$G$30),0),0))*IF('APA Inputs'!$I$30="",1,'APA Inputs'!$I$30))</f>
        <v>0</v>
      </c>
      <c r="W15" s="409" t="n">
        <f aca="false">IF('APA Inputs'!$C$30="",0,(IF(AND(W$4&gt;='APA Inputs'!$C$30,W$4&lt;EDATE('APA Inputs'!$C$30,N('APA Inputs'!$D$30))),'APA Inputs'!$J$30,0)+IF(N('APA Inputs'!$H$30)&gt;0,IF(W$4=EDATE('APA Inputs'!$C$30,'APA Inputs'!$H$30-1),N('APA Inputs'!$G$30),0),0))*IF('APA Inputs'!$I$30="",1,'APA Inputs'!$I$30))</f>
        <v>0</v>
      </c>
      <c r="X15" s="409" t="n">
        <f aca="false">IF('APA Inputs'!$C$30="",0,(IF(AND(X$4&gt;='APA Inputs'!$C$30,X$4&lt;EDATE('APA Inputs'!$C$30,N('APA Inputs'!$D$30))),'APA Inputs'!$J$30,0)+IF(N('APA Inputs'!$H$30)&gt;0,IF(X$4=EDATE('APA Inputs'!$C$30,'APA Inputs'!$H$30-1),N('APA Inputs'!$G$30),0),0))*IF('APA Inputs'!$I$30="",1,'APA Inputs'!$I$30))</f>
        <v>0</v>
      </c>
      <c r="Y15" s="409" t="n">
        <f aca="false">IF('APA Inputs'!$C$30="",0,(IF(AND(Y$4&gt;='APA Inputs'!$C$30,Y$4&lt;EDATE('APA Inputs'!$C$30,N('APA Inputs'!$D$30))),'APA Inputs'!$J$30,0)+IF(N('APA Inputs'!$H$30)&gt;0,IF(Y$4=EDATE('APA Inputs'!$C$30,'APA Inputs'!$H$30-1),N('APA Inputs'!$G$30),0),0))*IF('APA Inputs'!$I$30="",1,'APA Inputs'!$I$30))</f>
        <v>0</v>
      </c>
      <c r="Z15" s="409" t="n">
        <f aca="false">IF('APA Inputs'!$C$30="",0,(IF(AND(Z$4&gt;='APA Inputs'!$C$30,Z$4&lt;EDATE('APA Inputs'!$C$30,N('APA Inputs'!$D$30))),'APA Inputs'!$J$30,0)+IF(N('APA Inputs'!$H$30)&gt;0,IF(Z$4=EDATE('APA Inputs'!$C$30,'APA Inputs'!$H$30-1),N('APA Inputs'!$G$30),0),0))*IF('APA Inputs'!$I$30="",1,'APA Inputs'!$I$30))</f>
        <v>0</v>
      </c>
      <c r="AA15" s="409" t="n">
        <f aca="false">IF('APA Inputs'!$C$30="",0,(IF(AND(AA$4&gt;='APA Inputs'!$C$30,AA$4&lt;EDATE('APA Inputs'!$C$30,N('APA Inputs'!$D$30))),'APA Inputs'!$J$30,0)+IF(N('APA Inputs'!$H$30)&gt;0,IF(AA$4=EDATE('APA Inputs'!$C$30,'APA Inputs'!$H$30-1),N('APA Inputs'!$G$30),0),0))*IF('APA Inputs'!$I$30="",1,'APA Inputs'!$I$30))</f>
        <v>0</v>
      </c>
      <c r="AB15" s="409" t="n">
        <f aca="false">IF('APA Inputs'!$C$30="",0,(IF(AND(AB$4&gt;='APA Inputs'!$C$30,AB$4&lt;EDATE('APA Inputs'!$C$30,N('APA Inputs'!$D$30))),'APA Inputs'!$J$30,0)+IF(N('APA Inputs'!$H$30)&gt;0,IF(AB$4=EDATE('APA Inputs'!$C$30,'APA Inputs'!$H$30-1),N('APA Inputs'!$G$30),0),0))*IF('APA Inputs'!$I$30="",1,'APA Inputs'!$I$30))</f>
        <v>0</v>
      </c>
      <c r="AC15" s="409" t="n">
        <f aca="false">IF('APA Inputs'!$C$30="",0,(IF(AND(AC$4&gt;='APA Inputs'!$C$30,AC$4&lt;EDATE('APA Inputs'!$C$30,N('APA Inputs'!$D$30))),'APA Inputs'!$J$30,0)+IF(N('APA Inputs'!$H$30)&gt;0,IF(AC$4=EDATE('APA Inputs'!$C$30,'APA Inputs'!$H$30-1),N('APA Inputs'!$G$30),0),0))*IF('APA Inputs'!$I$30="",1,'APA Inputs'!$I$30))</f>
        <v>0</v>
      </c>
      <c r="AD15" s="409" t="n">
        <f aca="false">IF('APA Inputs'!$C$30="",0,(IF(AND(AD$4&gt;='APA Inputs'!$C$30,AD$4&lt;EDATE('APA Inputs'!$C$30,N('APA Inputs'!$D$30))),'APA Inputs'!$J$30,0)+IF(N('APA Inputs'!$H$30)&gt;0,IF(AD$4=EDATE('APA Inputs'!$C$30,'APA Inputs'!$H$30-1),N('APA Inputs'!$G$30),0),0))*IF('APA Inputs'!$I$30="",1,'APA Inputs'!$I$30))</f>
        <v>0</v>
      </c>
      <c r="AE15" s="409" t="n">
        <f aca="false">IF('APA Inputs'!$C$30="",0,(IF(AND(AE$4&gt;='APA Inputs'!$C$30,AE$4&lt;EDATE('APA Inputs'!$C$30,N('APA Inputs'!$D$30))),'APA Inputs'!$J$30,0)+IF(N('APA Inputs'!$H$30)&gt;0,IF(AE$4=EDATE('APA Inputs'!$C$30,'APA Inputs'!$H$30-1),N('APA Inputs'!$G$30),0),0))*IF('APA Inputs'!$I$30="",1,'APA Inputs'!$I$30))</f>
        <v>0</v>
      </c>
      <c r="AF15" s="409" t="n">
        <f aca="false">IF('APA Inputs'!$C$30="",0,(IF(AND(AF$4&gt;='APA Inputs'!$C$30,AF$4&lt;EDATE('APA Inputs'!$C$30,N('APA Inputs'!$D$30))),'APA Inputs'!$J$30,0)+IF(N('APA Inputs'!$H$30)&gt;0,IF(AF$4=EDATE('APA Inputs'!$C$30,'APA Inputs'!$H$30-1),N('APA Inputs'!$G$30),0),0))*IF('APA Inputs'!$I$30="",1,'APA Inputs'!$I$30))</f>
        <v>0</v>
      </c>
      <c r="AG15" s="409" t="n">
        <f aca="false">IF('APA Inputs'!$C$30="",0,(IF(AND(AG$4&gt;='APA Inputs'!$C$30,AG$4&lt;EDATE('APA Inputs'!$C$30,N('APA Inputs'!$D$30))),'APA Inputs'!$J$30,0)+IF(N('APA Inputs'!$H$30)&gt;0,IF(AG$4=EDATE('APA Inputs'!$C$30,'APA Inputs'!$H$30-1),N('APA Inputs'!$G$30),0),0))*IF('APA Inputs'!$I$30="",1,'APA Inputs'!$I$30))</f>
        <v>0</v>
      </c>
      <c r="AH15" s="409" t="n">
        <f aca="false">IF('APA Inputs'!$C$30="",0,(IF(AND(AH$4&gt;='APA Inputs'!$C$30,AH$4&lt;EDATE('APA Inputs'!$C$30,N('APA Inputs'!$D$30))),'APA Inputs'!$J$30,0)+IF(N('APA Inputs'!$H$30)&gt;0,IF(AH$4=EDATE('APA Inputs'!$C$30,'APA Inputs'!$H$30-1),N('APA Inputs'!$G$30),0),0))*IF('APA Inputs'!$I$30="",1,'APA Inputs'!$I$30))</f>
        <v>0</v>
      </c>
      <c r="AI15" s="409" t="n">
        <f aca="false">IF('APA Inputs'!$C$30="",0,(IF(AND(AI$4&gt;='APA Inputs'!$C$30,AI$4&lt;EDATE('APA Inputs'!$C$30,N('APA Inputs'!$D$30))),'APA Inputs'!$J$30,0)+IF(N('APA Inputs'!$H$30)&gt;0,IF(AI$4=EDATE('APA Inputs'!$C$30,'APA Inputs'!$H$30-1),N('APA Inputs'!$G$30),0),0))*IF('APA Inputs'!$I$30="",1,'APA Inputs'!$I$30))</f>
        <v>0</v>
      </c>
      <c r="AJ15" s="409" t="n">
        <f aca="false">IF('APA Inputs'!$C$30="",0,(IF(AND(AJ$4&gt;='APA Inputs'!$C$30,AJ$4&lt;EDATE('APA Inputs'!$C$30,N('APA Inputs'!$D$30))),'APA Inputs'!$J$30,0)+IF(N('APA Inputs'!$H$30)&gt;0,IF(AJ$4=EDATE('APA Inputs'!$C$30,'APA Inputs'!$H$30-1),N('APA Inputs'!$G$30),0),0))*IF('APA Inputs'!$I$30="",1,'APA Inputs'!$I$30))</f>
        <v>0</v>
      </c>
      <c r="AK15" s="409" t="n">
        <f aca="false">IF('APA Inputs'!$C$30="",0,(IF(AND(AK$4&gt;='APA Inputs'!$C$30,AK$4&lt;EDATE('APA Inputs'!$C$30,N('APA Inputs'!$D$30))),'APA Inputs'!$J$30,0)+IF(N('APA Inputs'!$H$30)&gt;0,IF(AK$4=EDATE('APA Inputs'!$C$30,'APA Inputs'!$H$30-1),N('APA Inputs'!$G$30),0),0))*IF('APA Inputs'!$I$30="",1,'APA Inputs'!$I$30))</f>
        <v>0</v>
      </c>
      <c r="AL15" s="409" t="n">
        <f aca="false">IF('APA Inputs'!$C$30="",0,(IF(AND(AL$4&gt;='APA Inputs'!$C$30,AL$4&lt;EDATE('APA Inputs'!$C$30,N('APA Inputs'!$D$30))),'APA Inputs'!$J$30,0)+IF(N('APA Inputs'!$H$30)&gt;0,IF(AL$4=EDATE('APA Inputs'!$C$30,'APA Inputs'!$H$30-1),N('APA Inputs'!$G$30),0),0))*IF('APA Inputs'!$I$30="",1,'APA Inputs'!$I$30))</f>
        <v>0</v>
      </c>
      <c r="AM15" s="409" t="n">
        <f aca="false">IF('APA Inputs'!$C$30="",0,(IF(AND(AM$4&gt;='APA Inputs'!$C$30,AM$4&lt;EDATE('APA Inputs'!$C$30,N('APA Inputs'!$D$30))),'APA Inputs'!$J$30,0)+IF(N('APA Inputs'!$H$30)&gt;0,IF(AM$4=EDATE('APA Inputs'!$C$30,'APA Inputs'!$H$30-1),N('APA Inputs'!$G$30),0),0))*IF('APA Inputs'!$I$30="",1,'APA Inputs'!$I$30))</f>
        <v>0</v>
      </c>
      <c r="AN15" s="409" t="n">
        <f aca="false">IF('APA Inputs'!$C$30="",0,(IF(AND(AN$4&gt;='APA Inputs'!$C$30,AN$4&lt;EDATE('APA Inputs'!$C$30,N('APA Inputs'!$D$30))),'APA Inputs'!$J$30,0)+IF(N('APA Inputs'!$H$30)&gt;0,IF(AN$4=EDATE('APA Inputs'!$C$30,'APA Inputs'!$H$30-1),N('APA Inputs'!$G$30),0),0))*IF('APA Inputs'!$I$30="",1,'APA Inputs'!$I$30))</f>
        <v>0</v>
      </c>
      <c r="AO15" s="409" t="n">
        <f aca="false">IF('APA Inputs'!$C$30="",0,(IF(AND(AO$4&gt;='APA Inputs'!$C$30,AO$4&lt;EDATE('APA Inputs'!$C$30,N('APA Inputs'!$D$30))),'APA Inputs'!$J$30,0)+IF(N('APA Inputs'!$H$30)&gt;0,IF(AO$4=EDATE('APA Inputs'!$C$30,'APA Inputs'!$H$30-1),N('APA Inputs'!$G$30),0),0))*IF('APA Inputs'!$I$30="",1,'APA Inputs'!$I$30))</f>
        <v>0</v>
      </c>
      <c r="AP15" s="409" t="n">
        <f aca="false">IF('APA Inputs'!$C$30="",0,(IF(AND(AP$4&gt;='APA Inputs'!$C$30,AP$4&lt;EDATE('APA Inputs'!$C$30,N('APA Inputs'!$D$30))),'APA Inputs'!$J$30,0)+IF(N('APA Inputs'!$H$30)&gt;0,IF(AP$4=EDATE('APA Inputs'!$C$30,'APA Inputs'!$H$30-1),N('APA Inputs'!$G$30),0),0))*IF('APA Inputs'!$I$30="",1,'APA Inputs'!$I$30))</f>
        <v>0</v>
      </c>
      <c r="AQ15" s="409" t="n">
        <f aca="false">IF('APA Inputs'!$C$30="",0,(IF(AND(AQ$4&gt;='APA Inputs'!$C$30,AQ$4&lt;EDATE('APA Inputs'!$C$30,N('APA Inputs'!$D$30))),'APA Inputs'!$J$30,0)+IF(N('APA Inputs'!$H$30)&gt;0,IF(AQ$4=EDATE('APA Inputs'!$C$30,'APA Inputs'!$H$30-1),N('APA Inputs'!$G$30),0),0))*IF('APA Inputs'!$I$30="",1,'APA Inputs'!$I$30))</f>
        <v>0</v>
      </c>
      <c r="AR15" s="409" t="n">
        <f aca="false">IF('APA Inputs'!$C$30="",0,(IF(AND(AR$4&gt;='APA Inputs'!$C$30,AR$4&lt;EDATE('APA Inputs'!$C$30,N('APA Inputs'!$D$30))),'APA Inputs'!$J$30,0)+IF(N('APA Inputs'!$H$30)&gt;0,IF(AR$4=EDATE('APA Inputs'!$C$30,'APA Inputs'!$H$30-1),N('APA Inputs'!$G$30),0),0))*IF('APA Inputs'!$I$30="",1,'APA Inputs'!$I$30))</f>
        <v>0</v>
      </c>
      <c r="AS15" s="409" t="n">
        <f aca="false">IF('APA Inputs'!$C$30="",0,(IF(AND(AS$4&gt;='APA Inputs'!$C$30,AS$4&lt;EDATE('APA Inputs'!$C$30,N('APA Inputs'!$D$30))),'APA Inputs'!$J$30,0)+IF(N('APA Inputs'!$H$30)&gt;0,IF(AS$4=EDATE('APA Inputs'!$C$30,'APA Inputs'!$H$30-1),N('APA Inputs'!$G$30),0),0))*IF('APA Inputs'!$I$30="",1,'APA Inputs'!$I$30))</f>
        <v>0</v>
      </c>
      <c r="AT15" s="409" t="n">
        <f aca="false">IF('APA Inputs'!$C$30="",0,(IF(AND(AT$4&gt;='APA Inputs'!$C$30,AT$4&lt;EDATE('APA Inputs'!$C$30,N('APA Inputs'!$D$30))),'APA Inputs'!$J$30,0)+IF(N('APA Inputs'!$H$30)&gt;0,IF(AT$4=EDATE('APA Inputs'!$C$30,'APA Inputs'!$H$30-1),N('APA Inputs'!$G$30),0),0))*IF('APA Inputs'!$I$30="",1,'APA Inputs'!$I$30))</f>
        <v>0</v>
      </c>
      <c r="AU15" s="409" t="n">
        <f aca="false">IF('APA Inputs'!$C$30="",0,(IF(AND(AU$4&gt;='APA Inputs'!$C$30,AU$4&lt;EDATE('APA Inputs'!$C$30,N('APA Inputs'!$D$30))),'APA Inputs'!$J$30,0)+IF(N('APA Inputs'!$H$30)&gt;0,IF(AU$4=EDATE('APA Inputs'!$C$30,'APA Inputs'!$H$30-1),N('APA Inputs'!$G$30),0),0))*IF('APA Inputs'!$I$30="",1,'APA Inputs'!$I$30))</f>
        <v>0</v>
      </c>
      <c r="AV15" s="409" t="n">
        <f aca="false">IF('APA Inputs'!$C$30="",0,(IF(AND(AV$4&gt;='APA Inputs'!$C$30,AV$4&lt;EDATE('APA Inputs'!$C$30,N('APA Inputs'!$D$30))),'APA Inputs'!$J$30,0)+IF(N('APA Inputs'!$H$30)&gt;0,IF(AV$4=EDATE('APA Inputs'!$C$30,'APA Inputs'!$H$30-1),N('APA Inputs'!$G$30),0),0))*IF('APA Inputs'!$I$30="",1,'APA Inputs'!$I$30))</f>
        <v>0</v>
      </c>
      <c r="AW15" s="409" t="n">
        <f aca="false">IF('APA Inputs'!$C$30="",0,(IF(AND(AW$4&gt;='APA Inputs'!$C$30,AW$4&lt;EDATE('APA Inputs'!$C$30,N('APA Inputs'!$D$30))),'APA Inputs'!$J$30,0)+IF(N('APA Inputs'!$H$30)&gt;0,IF(AW$4=EDATE('APA Inputs'!$C$30,'APA Inputs'!$H$30-1),N('APA Inputs'!$G$30),0),0))*IF('APA Inputs'!$I$30="",1,'APA Inputs'!$I$30))</f>
        <v>0</v>
      </c>
      <c r="AX15" s="409" t="n">
        <f aca="false">IF('APA Inputs'!$C$30="",0,(IF(AND(AX$4&gt;='APA Inputs'!$C$30,AX$4&lt;EDATE('APA Inputs'!$C$30,N('APA Inputs'!$D$30))),'APA Inputs'!$J$30,0)+IF(N('APA Inputs'!$H$30)&gt;0,IF(AX$4=EDATE('APA Inputs'!$C$30,'APA Inputs'!$H$30-1),N('APA Inputs'!$G$30),0),0))*IF('APA Inputs'!$I$30="",1,'APA Inputs'!$I$30))</f>
        <v>0</v>
      </c>
      <c r="AY15" s="409" t="n">
        <f aca="false">IF('APA Inputs'!$C$30="",0,(IF(AND(AY$4&gt;='APA Inputs'!$C$30,AY$4&lt;EDATE('APA Inputs'!$C$30,N('APA Inputs'!$D$30))),'APA Inputs'!$J$30,0)+IF(N('APA Inputs'!$H$30)&gt;0,IF(AY$4=EDATE('APA Inputs'!$C$30,'APA Inputs'!$H$30-1),N('APA Inputs'!$G$30),0),0))*IF('APA Inputs'!$I$30="",1,'APA Inputs'!$I$30))</f>
        <v>0</v>
      </c>
      <c r="AZ15" s="409" t="n">
        <f aca="false">IF('APA Inputs'!$C$30="",0,(IF(AND(AZ$4&gt;='APA Inputs'!$C$30,AZ$4&lt;EDATE('APA Inputs'!$C$30,N('APA Inputs'!$D$30))),'APA Inputs'!$J$30,0)+IF(N('APA Inputs'!$H$30)&gt;0,IF(AZ$4=EDATE('APA Inputs'!$C$30,'APA Inputs'!$H$30-1),N('APA Inputs'!$G$30),0),0))*IF('APA Inputs'!$I$30="",1,'APA Inputs'!$I$30))</f>
        <v>0</v>
      </c>
      <c r="BA15" s="409" t="n">
        <f aca="false">IF('APA Inputs'!$C$30="",0,(IF(AND(BA$4&gt;='APA Inputs'!$C$30,BA$4&lt;EDATE('APA Inputs'!$C$30,N('APA Inputs'!$D$30))),'APA Inputs'!$J$30,0)+IF(N('APA Inputs'!$H$30)&gt;0,IF(BA$4=EDATE('APA Inputs'!$C$30,'APA Inputs'!$H$30-1),N('APA Inputs'!$G$30),0),0))*IF('APA Inputs'!$I$30="",1,'APA Inputs'!$I$30))</f>
        <v>0</v>
      </c>
      <c r="BB15" s="409" t="n">
        <f aca="false">IF('APA Inputs'!$C$30="",0,(IF(AND(BB$4&gt;='APA Inputs'!$C$30,BB$4&lt;EDATE('APA Inputs'!$C$30,N('APA Inputs'!$D$30))),'APA Inputs'!$J$30,0)+IF(N('APA Inputs'!$H$30)&gt;0,IF(BB$4=EDATE('APA Inputs'!$C$30,'APA Inputs'!$H$30-1),N('APA Inputs'!$G$30),0),0))*IF('APA Inputs'!$I$30="",1,'APA Inputs'!$I$30))</f>
        <v>0</v>
      </c>
      <c r="BC15" s="409" t="n">
        <f aca="false">IF('APA Inputs'!$C$30="",0,(IF(AND(BC$4&gt;='APA Inputs'!$C$30,BC$4&lt;EDATE('APA Inputs'!$C$30,N('APA Inputs'!$D$30))),'APA Inputs'!$J$30,0)+IF(N('APA Inputs'!$H$30)&gt;0,IF(BC$4=EDATE('APA Inputs'!$C$30,'APA Inputs'!$H$30-1),N('APA Inputs'!$G$30),0),0))*IF('APA Inputs'!$I$30="",1,'APA Inputs'!$I$30))</f>
        <v>0</v>
      </c>
      <c r="BD15" s="409" t="n">
        <f aca="false">IF('APA Inputs'!$C$30="",0,(IF(AND(BD$4&gt;='APA Inputs'!$C$30,BD$4&lt;EDATE('APA Inputs'!$C$30,N('APA Inputs'!$D$30))),'APA Inputs'!$J$30,0)+IF(N('APA Inputs'!$H$30)&gt;0,IF(BD$4=EDATE('APA Inputs'!$C$30,'APA Inputs'!$H$30-1),N('APA Inputs'!$G$30),0),0))*IF('APA Inputs'!$I$30="",1,'APA Inputs'!$I$30))</f>
        <v>0</v>
      </c>
      <c r="BE15" s="409" t="n">
        <f aca="false">IF('APA Inputs'!$C$30="",0,(IF(AND(BE$4&gt;='APA Inputs'!$C$30,BE$4&lt;EDATE('APA Inputs'!$C$30,N('APA Inputs'!$D$30))),'APA Inputs'!$J$30,0)+IF(N('APA Inputs'!$H$30)&gt;0,IF(BE$4=EDATE('APA Inputs'!$C$30,'APA Inputs'!$H$30-1),N('APA Inputs'!$G$30),0),0))*IF('APA Inputs'!$I$30="",1,'APA Inputs'!$I$30))</f>
        <v>0</v>
      </c>
      <c r="BF15" s="409" t="n">
        <f aca="false">IF('APA Inputs'!$C$30="",0,(IF(AND(BF$4&gt;='APA Inputs'!$C$30,BF$4&lt;EDATE('APA Inputs'!$C$30,N('APA Inputs'!$D$30))),'APA Inputs'!$J$30,0)+IF(N('APA Inputs'!$H$30)&gt;0,IF(BF$4=EDATE('APA Inputs'!$C$30,'APA Inputs'!$H$30-1),N('APA Inputs'!$G$30),0),0))*IF('APA Inputs'!$I$30="",1,'APA Inputs'!$I$30))</f>
        <v>0</v>
      </c>
      <c r="BG15" s="409" t="n">
        <f aca="false">IF('APA Inputs'!$C$30="",0,(IF(AND(BG$4&gt;='APA Inputs'!$C$30,BG$4&lt;EDATE('APA Inputs'!$C$30,N('APA Inputs'!$D$30))),'APA Inputs'!$J$30,0)+IF(N('APA Inputs'!$H$30)&gt;0,IF(BG$4=EDATE('APA Inputs'!$C$30,'APA Inputs'!$H$30-1),N('APA Inputs'!$G$30),0),0))*IF('APA Inputs'!$I$30="",1,'APA Inputs'!$I$30))</f>
        <v>0</v>
      </c>
      <c r="BH15" s="409" t="n">
        <f aca="false">IF('APA Inputs'!$C$30="",0,(IF(AND(BH$4&gt;='APA Inputs'!$C$30,BH$4&lt;EDATE('APA Inputs'!$C$30,N('APA Inputs'!$D$30))),'APA Inputs'!$J$30,0)+IF(N('APA Inputs'!$H$30)&gt;0,IF(BH$4=EDATE('APA Inputs'!$C$30,'APA Inputs'!$H$30-1),N('APA Inputs'!$G$30),0),0))*IF('APA Inputs'!$I$30="",1,'APA Inputs'!$I$30))</f>
        <v>0</v>
      </c>
      <c r="BI15" s="409" t="n">
        <f aca="false">IF('APA Inputs'!$C$30="",0,(IF(AND(BI$4&gt;='APA Inputs'!$C$30,BI$4&lt;EDATE('APA Inputs'!$C$30,N('APA Inputs'!$D$30))),'APA Inputs'!$J$30,0)+IF(N('APA Inputs'!$H$30)&gt;0,IF(BI$4=EDATE('APA Inputs'!$C$30,'APA Inputs'!$H$30-1),N('APA Inputs'!$G$30),0),0))*IF('APA Inputs'!$I$30="",1,'APA Inputs'!$I$30))</f>
        <v>0</v>
      </c>
      <c r="BJ15" s="409" t="n">
        <f aca="false">IF('APA Inputs'!$C$30="",0,(IF(AND(BJ$4&gt;='APA Inputs'!$C$30,BJ$4&lt;EDATE('APA Inputs'!$C$30,N('APA Inputs'!$D$30))),'APA Inputs'!$J$30,0)+IF(N('APA Inputs'!$H$30)&gt;0,IF(BJ$4=EDATE('APA Inputs'!$C$30,'APA Inputs'!$H$30-1),N('APA Inputs'!$G$30),0),0))*IF('APA Inputs'!$I$30="",1,'APA Inputs'!$I$30))</f>
        <v>0</v>
      </c>
      <c r="BK15" s="409" t="n">
        <f aca="false">IF('APA Inputs'!$C$30="",0,(IF(AND(BK$4&gt;='APA Inputs'!$C$30,BK$4&lt;EDATE('APA Inputs'!$C$30,N('APA Inputs'!$D$30))),'APA Inputs'!$J$30,0)+IF(N('APA Inputs'!$H$30)&gt;0,IF(BK$4=EDATE('APA Inputs'!$C$30,'APA Inputs'!$H$30-1),N('APA Inputs'!$G$30),0),0))*IF('APA Inputs'!$I$30="",1,'APA Inputs'!$I$30))</f>
        <v>0</v>
      </c>
      <c r="BL15" s="409" t="n">
        <f aca="false">IF('APA Inputs'!$C$30="",0,(IF(AND(BL$4&gt;='APA Inputs'!$C$30,BL$4&lt;EDATE('APA Inputs'!$C$30,N('APA Inputs'!$D$30))),'APA Inputs'!$J$30,0)+IF(N('APA Inputs'!$H$30)&gt;0,IF(BL$4=EDATE('APA Inputs'!$C$30,'APA Inputs'!$H$30-1),N('APA Inputs'!$G$30),0),0))*IF('APA Inputs'!$I$30="",1,'APA Inputs'!$I$30))</f>
        <v>0</v>
      </c>
      <c r="BM15" s="409" t="n">
        <f aca="false">IF('APA Inputs'!$C$30="",0,(IF(AND(BM$4&gt;='APA Inputs'!$C$30,BM$4&lt;EDATE('APA Inputs'!$C$30,N('APA Inputs'!$D$30))),'APA Inputs'!$J$30,0)+IF(N('APA Inputs'!$H$30)&gt;0,IF(BM$4=EDATE('APA Inputs'!$C$30,'APA Inputs'!$H$30-1),N('APA Inputs'!$G$30),0),0))*IF('APA Inputs'!$I$30="",1,'APA Inputs'!$I$30))</f>
        <v>0</v>
      </c>
      <c r="BN15" s="409" t="n">
        <f aca="false">IF('APA Inputs'!$C$30="",0,(IF(AND(BN$4&gt;='APA Inputs'!$C$30,BN$4&lt;EDATE('APA Inputs'!$C$30,N('APA Inputs'!$D$30))),'APA Inputs'!$J$30,0)+IF(N('APA Inputs'!$H$30)&gt;0,IF(BN$4=EDATE('APA Inputs'!$C$30,'APA Inputs'!$H$30-1),N('APA Inputs'!$G$30),0),0))*IF('APA Inputs'!$I$30="",1,'APA Inputs'!$I$30))</f>
        <v>0</v>
      </c>
      <c r="BO15" s="409" t="n">
        <f aca="false">IF('APA Inputs'!$C$30="",0,(IF(AND(BO$4&gt;='APA Inputs'!$C$30,BO$4&lt;EDATE('APA Inputs'!$C$30,N('APA Inputs'!$D$30))),'APA Inputs'!$J$30,0)+IF(N('APA Inputs'!$H$30)&gt;0,IF(BO$4=EDATE('APA Inputs'!$C$30,'APA Inputs'!$H$30-1),N('APA Inputs'!$G$30),0),0))*IF('APA Inputs'!$I$30="",1,'APA Inputs'!$I$30))</f>
        <v>0</v>
      </c>
      <c r="BP15" s="409" t="n">
        <f aca="false">IF('APA Inputs'!$C$30="",0,(IF(AND(BP$4&gt;='APA Inputs'!$C$30,BP$4&lt;EDATE('APA Inputs'!$C$30,N('APA Inputs'!$D$30))),'APA Inputs'!$J$30,0)+IF(N('APA Inputs'!$H$30)&gt;0,IF(BP$4=EDATE('APA Inputs'!$C$30,'APA Inputs'!$H$30-1),N('APA Inputs'!$G$30),0),0))*IF('APA Inputs'!$I$30="",1,'APA Inputs'!$I$30))</f>
        <v>0</v>
      </c>
      <c r="BQ15" s="409" t="n">
        <f aca="false">IF('APA Inputs'!$C$30="",0,(IF(AND(BQ$4&gt;='APA Inputs'!$C$30,BQ$4&lt;EDATE('APA Inputs'!$C$30,N('APA Inputs'!$D$30))),'APA Inputs'!$J$30,0)+IF(N('APA Inputs'!$H$30)&gt;0,IF(BQ$4=EDATE('APA Inputs'!$C$30,'APA Inputs'!$H$30-1),N('APA Inputs'!$G$30),0),0))*IF('APA Inputs'!$I$30="",1,'APA Inputs'!$I$30))</f>
        <v>0</v>
      </c>
      <c r="BR15" s="409" t="n">
        <f aca="false">IF('APA Inputs'!$C$30="",0,(IF(AND(BR$4&gt;='APA Inputs'!$C$30,BR$4&lt;EDATE('APA Inputs'!$C$30,N('APA Inputs'!$D$30))),'APA Inputs'!$J$30,0)+IF(N('APA Inputs'!$H$30)&gt;0,IF(BR$4=EDATE('APA Inputs'!$C$30,'APA Inputs'!$H$30-1),N('APA Inputs'!$G$30),0),0))*IF('APA Inputs'!$I$30="",1,'APA Inputs'!$I$30))</f>
        <v>0</v>
      </c>
      <c r="BS15" s="409" t="n">
        <f aca="false">IF('APA Inputs'!$C$30="",0,(IF(AND(BS$4&gt;='APA Inputs'!$C$30,BS$4&lt;EDATE('APA Inputs'!$C$30,N('APA Inputs'!$D$30))),'APA Inputs'!$J$30,0)+IF(N('APA Inputs'!$H$30)&gt;0,IF(BS$4=EDATE('APA Inputs'!$C$30,'APA Inputs'!$H$30-1),N('APA Inputs'!$G$30),0),0))*IF('APA Inputs'!$I$30="",1,'APA Inputs'!$I$30))</f>
        <v>0</v>
      </c>
      <c r="BT15" s="409" t="n">
        <f aca="false">IF('APA Inputs'!$C$30="",0,(IF(AND(BT$4&gt;='APA Inputs'!$C$30,BT$4&lt;EDATE('APA Inputs'!$C$30,N('APA Inputs'!$D$30))),'APA Inputs'!$J$30,0)+IF(N('APA Inputs'!$H$30)&gt;0,IF(BT$4=EDATE('APA Inputs'!$C$30,'APA Inputs'!$H$30-1),N('APA Inputs'!$G$30),0),0))*IF('APA Inputs'!$I$30="",1,'APA Inputs'!$I$30))</f>
        <v>0</v>
      </c>
      <c r="BU15" s="409" t="n">
        <f aca="false">IF('APA Inputs'!$C$30="",0,(IF(AND(BU$4&gt;='APA Inputs'!$C$30,BU$4&lt;EDATE('APA Inputs'!$C$30,N('APA Inputs'!$D$30))),'APA Inputs'!$J$30,0)+IF(N('APA Inputs'!$H$30)&gt;0,IF(BU$4=EDATE('APA Inputs'!$C$30,'APA Inputs'!$H$30-1),N('APA Inputs'!$G$30),0),0))*IF('APA Inputs'!$I$30="",1,'APA Inputs'!$I$30))</f>
        <v>0</v>
      </c>
      <c r="BV15" s="409" t="n">
        <f aca="false">IF('APA Inputs'!$C$30="",0,(IF(AND(BV$4&gt;='APA Inputs'!$C$30,BV$4&lt;EDATE('APA Inputs'!$C$30,N('APA Inputs'!$D$30))),'APA Inputs'!$J$30,0)+IF(N('APA Inputs'!$H$30)&gt;0,IF(BV$4=EDATE('APA Inputs'!$C$30,'APA Inputs'!$H$30-1),N('APA Inputs'!$G$30),0),0))*IF('APA Inputs'!$I$30="",1,'APA Inputs'!$I$30))</f>
        <v>0</v>
      </c>
      <c r="BW15" s="409" t="n">
        <f aca="false">IF('APA Inputs'!$C$30="",0,(IF(AND(BW$4&gt;='APA Inputs'!$C$30,BW$4&lt;EDATE('APA Inputs'!$C$30,N('APA Inputs'!$D$30))),'APA Inputs'!$J$30,0)+IF(N('APA Inputs'!$H$30)&gt;0,IF(BW$4=EDATE('APA Inputs'!$C$30,'APA Inputs'!$H$30-1),N('APA Inputs'!$G$30),0),0))*IF('APA Inputs'!$I$30="",1,'APA Inputs'!$I$30))</f>
        <v>0</v>
      </c>
      <c r="BX15" s="409" t="n">
        <f aca="false">IF('APA Inputs'!$C$30="",0,(IF(AND(BX$4&gt;='APA Inputs'!$C$30,BX$4&lt;EDATE('APA Inputs'!$C$30,N('APA Inputs'!$D$30))),'APA Inputs'!$J$30,0)+IF(N('APA Inputs'!$H$30)&gt;0,IF(BX$4=EDATE('APA Inputs'!$C$30,'APA Inputs'!$H$30-1),N('APA Inputs'!$G$30),0),0))*IF('APA Inputs'!$I$30="",1,'APA Inputs'!$I$30))</f>
        <v>0</v>
      </c>
      <c r="BY15" s="409" t="n">
        <f aca="false">IF('APA Inputs'!$C$30="",0,(IF(AND(BY$4&gt;='APA Inputs'!$C$30,BY$4&lt;EDATE('APA Inputs'!$C$30,N('APA Inputs'!$D$30))),'APA Inputs'!$J$30,0)+IF(N('APA Inputs'!$H$30)&gt;0,IF(BY$4=EDATE('APA Inputs'!$C$30,'APA Inputs'!$H$30-1),N('APA Inputs'!$G$30),0),0))*IF('APA Inputs'!$I$30="",1,'APA Inputs'!$I$30))</f>
        <v>0</v>
      </c>
      <c r="BZ15" s="409" t="n">
        <f aca="false">IF('APA Inputs'!$C$30="",0,(IF(AND(BZ$4&gt;='APA Inputs'!$C$30,BZ$4&lt;EDATE('APA Inputs'!$C$30,N('APA Inputs'!$D$30))),'APA Inputs'!$J$30,0)+IF(N('APA Inputs'!$H$30)&gt;0,IF(BZ$4=EDATE('APA Inputs'!$C$30,'APA Inputs'!$H$30-1),N('APA Inputs'!$G$30),0),0))*IF('APA Inputs'!$I$30="",1,'APA Inputs'!$I$30))</f>
        <v>0</v>
      </c>
      <c r="CA15" s="409" t="n">
        <f aca="false">IF('APA Inputs'!$C$30="",0,(IF(AND(CA$4&gt;='APA Inputs'!$C$30,CA$4&lt;EDATE('APA Inputs'!$C$30,N('APA Inputs'!$D$30))),'APA Inputs'!$J$30,0)+IF(N('APA Inputs'!$H$30)&gt;0,IF(CA$4=EDATE('APA Inputs'!$C$30,'APA Inputs'!$H$30-1),N('APA Inputs'!$G$30),0),0))*IF('APA Inputs'!$I$30="",1,'APA Inputs'!$I$30))</f>
        <v>0</v>
      </c>
      <c r="CB15" s="409" t="n">
        <f aca="false">IF('APA Inputs'!$C$30="",0,(IF(AND(CB$4&gt;='APA Inputs'!$C$30,CB$4&lt;EDATE('APA Inputs'!$C$30,N('APA Inputs'!$D$30))),'APA Inputs'!$J$30,0)+IF(N('APA Inputs'!$H$30)&gt;0,IF(CB$4=EDATE('APA Inputs'!$C$30,'APA Inputs'!$H$30-1),N('APA Inputs'!$G$30),0),0))*IF('APA Inputs'!$I$30="",1,'APA Inputs'!$I$30))</f>
        <v>0</v>
      </c>
      <c r="CC15" s="409" t="n">
        <f aca="false">IF('APA Inputs'!$C$30="",0,(IF(AND(CC$4&gt;='APA Inputs'!$C$30,CC$4&lt;EDATE('APA Inputs'!$C$30,N('APA Inputs'!$D$30))),'APA Inputs'!$J$30,0)+IF(N('APA Inputs'!$H$30)&gt;0,IF(CC$4=EDATE('APA Inputs'!$C$30,'APA Inputs'!$H$30-1),N('APA Inputs'!$G$30),0),0))*IF('APA Inputs'!$I$30="",1,'APA Inputs'!$I$30))</f>
        <v>0</v>
      </c>
      <c r="CD15" s="409" t="n">
        <f aca="false">IF('APA Inputs'!$C$30="",0,(IF(AND(CD$4&gt;='APA Inputs'!$C$30,CD$4&lt;EDATE('APA Inputs'!$C$30,N('APA Inputs'!$D$30))),'APA Inputs'!$J$30,0)+IF(N('APA Inputs'!$H$30)&gt;0,IF(CD$4=EDATE('APA Inputs'!$C$30,'APA Inputs'!$H$30-1),N('APA Inputs'!$G$30),0),0))*IF('APA Inputs'!$I$30="",1,'APA Inputs'!$I$30))</f>
        <v>0</v>
      </c>
      <c r="CE15" s="409" t="n">
        <f aca="false">IF('APA Inputs'!$C$30="",0,(IF(AND(CE$4&gt;='APA Inputs'!$C$30,CE$4&lt;EDATE('APA Inputs'!$C$30,N('APA Inputs'!$D$30))),'APA Inputs'!$J$30,0)+IF(N('APA Inputs'!$H$30)&gt;0,IF(CE$4=EDATE('APA Inputs'!$C$30,'APA Inputs'!$H$30-1),N('APA Inputs'!$G$30),0),0))*IF('APA Inputs'!$I$30="",1,'APA Inputs'!$I$30))</f>
        <v>0</v>
      </c>
      <c r="CF15" s="409" t="n">
        <f aca="false">IF('APA Inputs'!$C$30="",0,(IF(AND(CF$4&gt;='APA Inputs'!$C$30,CF$4&lt;EDATE('APA Inputs'!$C$30,N('APA Inputs'!$D$30))),'APA Inputs'!$J$30,0)+IF(N('APA Inputs'!$H$30)&gt;0,IF(CF$4=EDATE('APA Inputs'!$C$30,'APA Inputs'!$H$30-1),N('APA Inputs'!$G$30),0),0))*IF('APA Inputs'!$I$30="",1,'APA Inputs'!$I$30))</f>
        <v>0</v>
      </c>
      <c r="CG15" s="409" t="n">
        <f aca="false">IF('APA Inputs'!$C$30="",0,(IF(AND(CG$4&gt;='APA Inputs'!$C$30,CG$4&lt;EDATE('APA Inputs'!$C$30,N('APA Inputs'!$D$30))),'APA Inputs'!$J$30,0)+IF(N('APA Inputs'!$H$30)&gt;0,IF(CG$4=EDATE('APA Inputs'!$C$30,'APA Inputs'!$H$30-1),N('APA Inputs'!$G$30),0),0))*IF('APA Inputs'!$I$30="",1,'APA Inputs'!$I$30))</f>
        <v>0</v>
      </c>
      <c r="CH15" s="409" t="n">
        <f aca="false">IF('APA Inputs'!$C$30="",0,(IF(AND(CH$4&gt;='APA Inputs'!$C$30,CH$4&lt;EDATE('APA Inputs'!$C$30,N('APA Inputs'!$D$30))),'APA Inputs'!$J$30,0)+IF(N('APA Inputs'!$H$30)&gt;0,IF(CH$4=EDATE('APA Inputs'!$C$30,'APA Inputs'!$H$30-1),N('APA Inputs'!$G$30),0),0))*IF('APA Inputs'!$I$30="",1,'APA Inputs'!$I$30))</f>
        <v>0</v>
      </c>
      <c r="CI15" s="409" t="n">
        <f aca="false">IF('APA Inputs'!$C$30="",0,(IF(AND(CI$4&gt;='APA Inputs'!$C$30,CI$4&lt;EDATE('APA Inputs'!$C$30,N('APA Inputs'!$D$30))),'APA Inputs'!$J$30,0)+IF(N('APA Inputs'!$H$30)&gt;0,IF(CI$4=EDATE('APA Inputs'!$C$30,'APA Inputs'!$H$30-1),N('APA Inputs'!$G$30),0),0))*IF('APA Inputs'!$I$30="",1,'APA Inputs'!$I$30))</f>
        <v>0</v>
      </c>
      <c r="CJ15" s="409" t="n">
        <f aca="false">IF('APA Inputs'!$C$30="",0,(IF(AND(CJ$4&gt;='APA Inputs'!$C$30,CJ$4&lt;EDATE('APA Inputs'!$C$30,N('APA Inputs'!$D$30))),'APA Inputs'!$J$30,0)+IF(N('APA Inputs'!$H$30)&gt;0,IF(CJ$4=EDATE('APA Inputs'!$C$30,'APA Inputs'!$H$30-1),N('APA Inputs'!$G$30),0),0))*IF('APA Inputs'!$I$30="",1,'APA Inputs'!$I$30))</f>
        <v>0</v>
      </c>
      <c r="CK15" s="409" t="n">
        <f aca="false">IF('APA Inputs'!$C$30="",0,(IF(AND(CK$4&gt;='APA Inputs'!$C$30,CK$4&lt;EDATE('APA Inputs'!$C$30,N('APA Inputs'!$D$30))),'APA Inputs'!$J$30,0)+IF(N('APA Inputs'!$H$30)&gt;0,IF(CK$4=EDATE('APA Inputs'!$C$30,'APA Inputs'!$H$30-1),N('APA Inputs'!$G$30),0),0))*IF('APA Inputs'!$I$30="",1,'APA Inputs'!$I$30))</f>
        <v>0</v>
      </c>
      <c r="CL15" s="409" t="n">
        <f aca="false">IF('APA Inputs'!$C$30="",0,(IF(AND(CL$4&gt;='APA Inputs'!$C$30,CL$4&lt;EDATE('APA Inputs'!$C$30,N('APA Inputs'!$D$30))),'APA Inputs'!$J$30,0)+IF(N('APA Inputs'!$H$30)&gt;0,IF(CL$4=EDATE('APA Inputs'!$C$30,'APA Inputs'!$H$30-1),N('APA Inputs'!$G$30),0),0))*IF('APA Inputs'!$I$30="",1,'APA Inputs'!$I$30))</f>
        <v>0</v>
      </c>
      <c r="CM15" s="409" t="n">
        <f aca="false">IF('APA Inputs'!$C$30="",0,(IF(AND(CM$4&gt;='APA Inputs'!$C$30,CM$4&lt;EDATE('APA Inputs'!$C$30,N('APA Inputs'!$D$30))),'APA Inputs'!$J$30,0)+IF(N('APA Inputs'!$H$30)&gt;0,IF(CM$4=EDATE('APA Inputs'!$C$30,'APA Inputs'!$H$30-1),N('APA Inputs'!$G$30),0),0))*IF('APA Inputs'!$I$30="",1,'APA Inputs'!$I$30))</f>
        <v>0</v>
      </c>
      <c r="CN15" s="409" t="n">
        <f aca="false">IF('APA Inputs'!$C$30="",0,(IF(AND(CN$4&gt;='APA Inputs'!$C$30,CN$4&lt;EDATE('APA Inputs'!$C$30,N('APA Inputs'!$D$30))),'APA Inputs'!$J$30,0)+IF(N('APA Inputs'!$H$30)&gt;0,IF(CN$4=EDATE('APA Inputs'!$C$30,'APA Inputs'!$H$30-1),N('APA Inputs'!$G$30),0),0))*IF('APA Inputs'!$I$30="",1,'APA Inputs'!$I$30))</f>
        <v>0</v>
      </c>
      <c r="CO15" s="409" t="n">
        <f aca="false">IF('APA Inputs'!$C$30="",0,(IF(AND(CO$4&gt;='APA Inputs'!$C$30,CO$4&lt;EDATE('APA Inputs'!$C$30,N('APA Inputs'!$D$30))),'APA Inputs'!$J$30,0)+IF(N('APA Inputs'!$H$30)&gt;0,IF(CO$4=EDATE('APA Inputs'!$C$30,'APA Inputs'!$H$30-1),N('APA Inputs'!$G$30),0),0))*IF('APA Inputs'!$I$30="",1,'APA Inputs'!$I$30))</f>
        <v>0</v>
      </c>
      <c r="CP15" s="409" t="n">
        <f aca="false">IF('APA Inputs'!$C$30="",0,(IF(AND(CP$4&gt;='APA Inputs'!$C$30,CP$4&lt;EDATE('APA Inputs'!$C$30,N('APA Inputs'!$D$30))),'APA Inputs'!$J$30,0)+IF(N('APA Inputs'!$H$30)&gt;0,IF(CP$4=EDATE('APA Inputs'!$C$30,'APA Inputs'!$H$30-1),N('APA Inputs'!$G$30),0),0))*IF('APA Inputs'!$I$30="",1,'APA Inputs'!$I$30))</f>
        <v>0</v>
      </c>
      <c r="CQ15" s="409" t="n">
        <f aca="false">IF('APA Inputs'!$C$30="",0,(IF(AND(CQ$4&gt;='APA Inputs'!$C$30,CQ$4&lt;EDATE('APA Inputs'!$C$30,N('APA Inputs'!$D$30))),'APA Inputs'!$J$30,0)+IF(N('APA Inputs'!$H$30)&gt;0,IF(CQ$4=EDATE('APA Inputs'!$C$30,'APA Inputs'!$H$30-1),N('APA Inputs'!$G$30),0),0))*IF('APA Inputs'!$I$30="",1,'APA Inputs'!$I$30))</f>
        <v>0</v>
      </c>
      <c r="CR15" s="409" t="n">
        <f aca="false">IF('APA Inputs'!$C$30="",0,(IF(AND(CR$4&gt;='APA Inputs'!$C$30,CR$4&lt;EDATE('APA Inputs'!$C$30,N('APA Inputs'!$D$30))),'APA Inputs'!$J$30,0)+IF(N('APA Inputs'!$H$30)&gt;0,IF(CR$4=EDATE('APA Inputs'!$C$30,'APA Inputs'!$H$30-1),N('APA Inputs'!$G$30),0),0))*IF('APA Inputs'!$I$30="",1,'APA Inputs'!$I$30))</f>
        <v>0</v>
      </c>
      <c r="CS15" s="409" t="n">
        <f aca="false">IF('APA Inputs'!$C$30="",0,(IF(AND(CS$4&gt;='APA Inputs'!$C$30,CS$4&lt;EDATE('APA Inputs'!$C$30,N('APA Inputs'!$D$30))),'APA Inputs'!$J$30,0)+IF(N('APA Inputs'!$H$30)&gt;0,IF(CS$4=EDATE('APA Inputs'!$C$30,'APA Inputs'!$H$30-1),N('APA Inputs'!$G$30),0),0))*IF('APA Inputs'!$I$30="",1,'APA Inputs'!$I$30))</f>
        <v>0</v>
      </c>
      <c r="CT15" s="409" t="n">
        <f aca="false">IF('APA Inputs'!$C$30="",0,(IF(AND(CT$4&gt;='APA Inputs'!$C$30,CT$4&lt;EDATE('APA Inputs'!$C$30,N('APA Inputs'!$D$30))),'APA Inputs'!$J$30,0)+IF(N('APA Inputs'!$H$30)&gt;0,IF(CT$4=EDATE('APA Inputs'!$C$30,'APA Inputs'!$H$30-1),N('APA Inputs'!$G$30),0),0))*IF('APA Inputs'!$I$30="",1,'APA Inputs'!$I$30))</f>
        <v>0</v>
      </c>
      <c r="CU15" s="409" t="n">
        <f aca="false">IF('APA Inputs'!$C$30="",0,(IF(AND(CU$4&gt;='APA Inputs'!$C$30,CU$4&lt;EDATE('APA Inputs'!$C$30,N('APA Inputs'!$D$30))),'APA Inputs'!$J$30,0)+IF(N('APA Inputs'!$H$30)&gt;0,IF(CU$4=EDATE('APA Inputs'!$C$30,'APA Inputs'!$H$30-1),N('APA Inputs'!$G$30),0),0))*IF('APA Inputs'!$I$30="",1,'APA Inputs'!$I$30))</f>
        <v>0</v>
      </c>
      <c r="CV15" s="409" t="n">
        <f aca="false">IF('APA Inputs'!$C$30="",0,(IF(AND(CV$4&gt;='APA Inputs'!$C$30,CV$4&lt;EDATE('APA Inputs'!$C$30,N('APA Inputs'!$D$30))),'APA Inputs'!$J$30,0)+IF(N('APA Inputs'!$H$30)&gt;0,IF(CV$4=EDATE('APA Inputs'!$C$30,'APA Inputs'!$H$30-1),N('APA Inputs'!$G$30),0),0))*IF('APA Inputs'!$I$30="",1,'APA Inputs'!$I$30))</f>
        <v>0</v>
      </c>
      <c r="CW15" s="409" t="n">
        <f aca="false">IF('APA Inputs'!$C$30="",0,(IF(AND(CW$4&gt;='APA Inputs'!$C$30,CW$4&lt;EDATE('APA Inputs'!$C$30,N('APA Inputs'!$D$30))),'APA Inputs'!$J$30,0)+IF(N('APA Inputs'!$H$30)&gt;0,IF(CW$4=EDATE('APA Inputs'!$C$30,'APA Inputs'!$H$30-1),N('APA Inputs'!$G$30),0),0))*IF('APA Inputs'!$I$30="",1,'APA Inputs'!$I$30))</f>
        <v>0</v>
      </c>
      <c r="CX15" s="409" t="n">
        <f aca="false">IF('APA Inputs'!$C$30="",0,(IF(AND(CX$4&gt;='APA Inputs'!$C$30,CX$4&lt;EDATE('APA Inputs'!$C$30,N('APA Inputs'!$D$30))),'APA Inputs'!$J$30,0)+IF(N('APA Inputs'!$H$30)&gt;0,IF(CX$4=EDATE('APA Inputs'!$C$30,'APA Inputs'!$H$30-1),N('APA Inputs'!$G$30),0),0))*IF('APA Inputs'!$I$30="",1,'APA Inputs'!$I$30))</f>
        <v>0</v>
      </c>
      <c r="CY15" s="409" t="n">
        <f aca="false">IF('APA Inputs'!$C$30="",0,(IF(AND(CY$4&gt;='APA Inputs'!$C$30,CY$4&lt;EDATE('APA Inputs'!$C$30,N('APA Inputs'!$D$30))),'APA Inputs'!$J$30,0)+IF(N('APA Inputs'!$H$30)&gt;0,IF(CY$4=EDATE('APA Inputs'!$C$30,'APA Inputs'!$H$30-1),N('APA Inputs'!$G$30),0),0))*IF('APA Inputs'!$I$30="",1,'APA Inputs'!$I$30))</f>
        <v>0</v>
      </c>
      <c r="CZ15" s="409" t="n">
        <f aca="false">IF('APA Inputs'!$C$30="",0,(IF(AND(CZ$4&gt;='APA Inputs'!$C$30,CZ$4&lt;EDATE('APA Inputs'!$C$30,N('APA Inputs'!$D$30))),'APA Inputs'!$J$30,0)+IF(N('APA Inputs'!$H$30)&gt;0,IF(CZ$4=EDATE('APA Inputs'!$C$30,'APA Inputs'!$H$30-1),N('APA Inputs'!$G$30),0),0))*IF('APA Inputs'!$I$30="",1,'APA Inputs'!$I$30))</f>
        <v>0</v>
      </c>
      <c r="DA15" s="409" t="n">
        <f aca="false">IF('APA Inputs'!$C$30="",0,(IF(AND(DA$4&gt;='APA Inputs'!$C$30,DA$4&lt;EDATE('APA Inputs'!$C$30,N('APA Inputs'!$D$30))),'APA Inputs'!$J$30,0)+IF(N('APA Inputs'!$H$30)&gt;0,IF(DA$4=EDATE('APA Inputs'!$C$30,'APA Inputs'!$H$30-1),N('APA Inputs'!$G$30),0),0))*IF('APA Inputs'!$I$30="",1,'APA Inputs'!$I$30))</f>
        <v>0</v>
      </c>
      <c r="DB15" s="409" t="n">
        <f aca="false">IF('APA Inputs'!$C$30="",0,(IF(AND(DB$4&gt;='APA Inputs'!$C$30,DB$4&lt;EDATE('APA Inputs'!$C$30,N('APA Inputs'!$D$30))),'APA Inputs'!$J$30,0)+IF(N('APA Inputs'!$H$30)&gt;0,IF(DB$4=EDATE('APA Inputs'!$C$30,'APA Inputs'!$H$30-1),N('APA Inputs'!$G$30),0),0))*IF('APA Inputs'!$I$30="",1,'APA Inputs'!$I$30))</f>
        <v>0</v>
      </c>
      <c r="DC15" s="409" t="n">
        <f aca="false">IF('APA Inputs'!$C$30="",0,(IF(AND(DC$4&gt;='APA Inputs'!$C$30,DC$4&lt;EDATE('APA Inputs'!$C$30,N('APA Inputs'!$D$30))),'APA Inputs'!$J$30,0)+IF(N('APA Inputs'!$H$30)&gt;0,IF(DC$4=EDATE('APA Inputs'!$C$30,'APA Inputs'!$H$30-1),N('APA Inputs'!$G$30),0),0))*IF('APA Inputs'!$I$30="",1,'APA Inputs'!$I$30))</f>
        <v>0</v>
      </c>
      <c r="DD15" s="409" t="n">
        <f aca="false">IF('APA Inputs'!$C$30="",0,(IF(AND(DD$4&gt;='APA Inputs'!$C$30,DD$4&lt;EDATE('APA Inputs'!$C$30,N('APA Inputs'!$D$30))),'APA Inputs'!$J$30,0)+IF(N('APA Inputs'!$H$30)&gt;0,IF(DD$4=EDATE('APA Inputs'!$C$30,'APA Inputs'!$H$30-1),N('APA Inputs'!$G$30),0),0))*IF('APA Inputs'!$I$30="",1,'APA Inputs'!$I$30))</f>
        <v>0</v>
      </c>
      <c r="DE15" s="409"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09" t="n">
        <f aca="false">IF('APA Inputs'!$C$31="",0,(IF(AND(B$4&gt;='APA Inputs'!$C$31,B$4&lt;EDATE('APA Inputs'!$C$31,N('APA Inputs'!$D$31))),'APA Inputs'!$J$31,0)+IF(N('APA Inputs'!$H$31)&gt;0,IF(B$4=EDATE('APA Inputs'!$C$31,'APA Inputs'!$H$31-1),N('APA Inputs'!$G$31),0),0))*IF('APA Inputs'!$I$31="",1,'APA Inputs'!$I$31))</f>
        <v>0</v>
      </c>
      <c r="C16" s="409" t="n">
        <f aca="false">IF('APA Inputs'!$C$31="",0,(IF(AND(C$4&gt;='APA Inputs'!$C$31,C$4&lt;EDATE('APA Inputs'!$C$31,N('APA Inputs'!$D$31))),'APA Inputs'!$J$31,0)+IF(N('APA Inputs'!$H$31)&gt;0,IF(C$4=EDATE('APA Inputs'!$C$31,'APA Inputs'!$H$31-1),N('APA Inputs'!$G$31),0),0))*IF('APA Inputs'!$I$31="",1,'APA Inputs'!$I$31))</f>
        <v>0</v>
      </c>
      <c r="D16" s="409" t="n">
        <f aca="false">IF('APA Inputs'!$C$31="",0,(IF(AND(D$4&gt;='APA Inputs'!$C$31,D$4&lt;EDATE('APA Inputs'!$C$31,N('APA Inputs'!$D$31))),'APA Inputs'!$J$31,0)+IF(N('APA Inputs'!$H$31)&gt;0,IF(D$4=EDATE('APA Inputs'!$C$31,'APA Inputs'!$H$31-1),N('APA Inputs'!$G$31),0),0))*IF('APA Inputs'!$I$31="",1,'APA Inputs'!$I$31))</f>
        <v>0</v>
      </c>
      <c r="E16" s="409" t="n">
        <f aca="false">IF('APA Inputs'!$C$31="",0,(IF(AND(E$4&gt;='APA Inputs'!$C$31,E$4&lt;EDATE('APA Inputs'!$C$31,N('APA Inputs'!$D$31))),'APA Inputs'!$J$31,0)+IF(N('APA Inputs'!$H$31)&gt;0,IF(E$4=EDATE('APA Inputs'!$C$31,'APA Inputs'!$H$31-1),N('APA Inputs'!$G$31),0),0))*IF('APA Inputs'!$I$31="",1,'APA Inputs'!$I$31))</f>
        <v>0</v>
      </c>
      <c r="F16" s="409" t="n">
        <f aca="false">IF('APA Inputs'!$C$31="",0,(IF(AND(F$4&gt;='APA Inputs'!$C$31,F$4&lt;EDATE('APA Inputs'!$C$31,N('APA Inputs'!$D$31))),'APA Inputs'!$J$31,0)+IF(N('APA Inputs'!$H$31)&gt;0,IF(F$4=EDATE('APA Inputs'!$C$31,'APA Inputs'!$H$31-1),N('APA Inputs'!$G$31),0),0))*IF('APA Inputs'!$I$31="",1,'APA Inputs'!$I$31))</f>
        <v>0</v>
      </c>
      <c r="G16" s="409" t="n">
        <f aca="false">IF('APA Inputs'!$C$31="",0,(IF(AND(G$4&gt;='APA Inputs'!$C$31,G$4&lt;EDATE('APA Inputs'!$C$31,N('APA Inputs'!$D$31))),'APA Inputs'!$J$31,0)+IF(N('APA Inputs'!$H$31)&gt;0,IF(G$4=EDATE('APA Inputs'!$C$31,'APA Inputs'!$H$31-1),N('APA Inputs'!$G$31),0),0))*IF('APA Inputs'!$I$31="",1,'APA Inputs'!$I$31))</f>
        <v>0</v>
      </c>
      <c r="H16" s="409" t="n">
        <f aca="false">IF('APA Inputs'!$C$31="",0,(IF(AND(H$4&gt;='APA Inputs'!$C$31,H$4&lt;EDATE('APA Inputs'!$C$31,N('APA Inputs'!$D$31))),'APA Inputs'!$J$31,0)+IF(N('APA Inputs'!$H$31)&gt;0,IF(H$4=EDATE('APA Inputs'!$C$31,'APA Inputs'!$H$31-1),N('APA Inputs'!$G$31),0),0))*IF('APA Inputs'!$I$31="",1,'APA Inputs'!$I$31))</f>
        <v>0</v>
      </c>
      <c r="I16" s="409" t="n">
        <f aca="false">IF('APA Inputs'!$C$31="",0,(IF(AND(I$4&gt;='APA Inputs'!$C$31,I$4&lt;EDATE('APA Inputs'!$C$31,N('APA Inputs'!$D$31))),'APA Inputs'!$J$31,0)+IF(N('APA Inputs'!$H$31)&gt;0,IF(I$4=EDATE('APA Inputs'!$C$31,'APA Inputs'!$H$31-1),N('APA Inputs'!$G$31),0),0))*IF('APA Inputs'!$I$31="",1,'APA Inputs'!$I$31))</f>
        <v>0</v>
      </c>
      <c r="J16" s="409" t="n">
        <f aca="false">IF('APA Inputs'!$C$31="",0,(IF(AND(J$4&gt;='APA Inputs'!$C$31,J$4&lt;EDATE('APA Inputs'!$C$31,N('APA Inputs'!$D$31))),'APA Inputs'!$J$31,0)+IF(N('APA Inputs'!$H$31)&gt;0,IF(J$4=EDATE('APA Inputs'!$C$31,'APA Inputs'!$H$31-1),N('APA Inputs'!$G$31),0),0))*IF('APA Inputs'!$I$31="",1,'APA Inputs'!$I$31))</f>
        <v>0</v>
      </c>
      <c r="K16" s="409" t="n">
        <f aca="false">IF('APA Inputs'!$C$31="",0,(IF(AND(K$4&gt;='APA Inputs'!$C$31,K$4&lt;EDATE('APA Inputs'!$C$31,N('APA Inputs'!$D$31))),'APA Inputs'!$J$31,0)+IF(N('APA Inputs'!$H$31)&gt;0,IF(K$4=EDATE('APA Inputs'!$C$31,'APA Inputs'!$H$31-1),N('APA Inputs'!$G$31),0),0))*IF('APA Inputs'!$I$31="",1,'APA Inputs'!$I$31))</f>
        <v>0</v>
      </c>
      <c r="L16" s="409" t="n">
        <f aca="false">IF('APA Inputs'!$C$31="",0,(IF(AND(L$4&gt;='APA Inputs'!$C$31,L$4&lt;EDATE('APA Inputs'!$C$31,N('APA Inputs'!$D$31))),'APA Inputs'!$J$31,0)+IF(N('APA Inputs'!$H$31)&gt;0,IF(L$4=EDATE('APA Inputs'!$C$31,'APA Inputs'!$H$31-1),N('APA Inputs'!$G$31),0),0))*IF('APA Inputs'!$I$31="",1,'APA Inputs'!$I$31))</f>
        <v>0</v>
      </c>
      <c r="M16" s="409" t="n">
        <f aca="false">IF('APA Inputs'!$C$31="",0,(IF(AND(M$4&gt;='APA Inputs'!$C$31,M$4&lt;EDATE('APA Inputs'!$C$31,N('APA Inputs'!$D$31))),'APA Inputs'!$J$31,0)+IF(N('APA Inputs'!$H$31)&gt;0,IF(M$4=EDATE('APA Inputs'!$C$31,'APA Inputs'!$H$31-1),N('APA Inputs'!$G$31),0),0))*IF('APA Inputs'!$I$31="",1,'APA Inputs'!$I$31))</f>
        <v>0</v>
      </c>
      <c r="N16" s="409" t="n">
        <f aca="false">IF('APA Inputs'!$C$31="",0,(IF(AND(N$4&gt;='APA Inputs'!$C$31,N$4&lt;EDATE('APA Inputs'!$C$31,N('APA Inputs'!$D$31))),'APA Inputs'!$J$31,0)+IF(N('APA Inputs'!$H$31)&gt;0,IF(N$4=EDATE('APA Inputs'!$C$31,'APA Inputs'!$H$31-1),N('APA Inputs'!$G$31),0),0))*IF('APA Inputs'!$I$31="",1,'APA Inputs'!$I$31))</f>
        <v>0</v>
      </c>
      <c r="O16" s="409" t="n">
        <f aca="false">IF('APA Inputs'!$C$31="",0,(IF(AND(O$4&gt;='APA Inputs'!$C$31,O$4&lt;EDATE('APA Inputs'!$C$31,N('APA Inputs'!$D$31))),'APA Inputs'!$J$31,0)+IF(N('APA Inputs'!$H$31)&gt;0,IF(O$4=EDATE('APA Inputs'!$C$31,'APA Inputs'!$H$31-1),N('APA Inputs'!$G$31),0),0))*IF('APA Inputs'!$I$31="",1,'APA Inputs'!$I$31))</f>
        <v>0</v>
      </c>
      <c r="P16" s="409" t="n">
        <f aca="false">IF('APA Inputs'!$C$31="",0,(IF(AND(P$4&gt;='APA Inputs'!$C$31,P$4&lt;EDATE('APA Inputs'!$C$31,N('APA Inputs'!$D$31))),'APA Inputs'!$J$31,0)+IF(N('APA Inputs'!$H$31)&gt;0,IF(P$4=EDATE('APA Inputs'!$C$31,'APA Inputs'!$H$31-1),N('APA Inputs'!$G$31),0),0))*IF('APA Inputs'!$I$31="",1,'APA Inputs'!$I$31))</f>
        <v>0</v>
      </c>
      <c r="Q16" s="409" t="n">
        <f aca="false">IF('APA Inputs'!$C$31="",0,(IF(AND(Q$4&gt;='APA Inputs'!$C$31,Q$4&lt;EDATE('APA Inputs'!$C$31,N('APA Inputs'!$D$31))),'APA Inputs'!$J$31,0)+IF(N('APA Inputs'!$H$31)&gt;0,IF(Q$4=EDATE('APA Inputs'!$C$31,'APA Inputs'!$H$31-1),N('APA Inputs'!$G$31),0),0))*IF('APA Inputs'!$I$31="",1,'APA Inputs'!$I$31))</f>
        <v>0</v>
      </c>
      <c r="R16" s="409" t="n">
        <f aca="false">IF('APA Inputs'!$C$31="",0,(IF(AND(R$4&gt;='APA Inputs'!$C$31,R$4&lt;EDATE('APA Inputs'!$C$31,N('APA Inputs'!$D$31))),'APA Inputs'!$J$31,0)+IF(N('APA Inputs'!$H$31)&gt;0,IF(R$4=EDATE('APA Inputs'!$C$31,'APA Inputs'!$H$31-1),N('APA Inputs'!$G$31),0),0))*IF('APA Inputs'!$I$31="",1,'APA Inputs'!$I$31))</f>
        <v>0</v>
      </c>
      <c r="S16" s="409" t="n">
        <f aca="false">IF('APA Inputs'!$C$31="",0,(IF(AND(S$4&gt;='APA Inputs'!$C$31,S$4&lt;EDATE('APA Inputs'!$C$31,N('APA Inputs'!$D$31))),'APA Inputs'!$J$31,0)+IF(N('APA Inputs'!$H$31)&gt;0,IF(S$4=EDATE('APA Inputs'!$C$31,'APA Inputs'!$H$31-1),N('APA Inputs'!$G$31),0),0))*IF('APA Inputs'!$I$31="",1,'APA Inputs'!$I$31))</f>
        <v>0</v>
      </c>
      <c r="T16" s="409" t="n">
        <f aca="false">IF('APA Inputs'!$C$31="",0,(IF(AND(T$4&gt;='APA Inputs'!$C$31,T$4&lt;EDATE('APA Inputs'!$C$31,N('APA Inputs'!$D$31))),'APA Inputs'!$J$31,0)+IF(N('APA Inputs'!$H$31)&gt;0,IF(T$4=EDATE('APA Inputs'!$C$31,'APA Inputs'!$H$31-1),N('APA Inputs'!$G$31),0),0))*IF('APA Inputs'!$I$31="",1,'APA Inputs'!$I$31))</f>
        <v>0</v>
      </c>
      <c r="U16" s="409" t="n">
        <f aca="false">IF('APA Inputs'!$C$31="",0,(IF(AND(U$4&gt;='APA Inputs'!$C$31,U$4&lt;EDATE('APA Inputs'!$C$31,N('APA Inputs'!$D$31))),'APA Inputs'!$J$31,0)+IF(N('APA Inputs'!$H$31)&gt;0,IF(U$4=EDATE('APA Inputs'!$C$31,'APA Inputs'!$H$31-1),N('APA Inputs'!$G$31),0),0))*IF('APA Inputs'!$I$31="",1,'APA Inputs'!$I$31))</f>
        <v>0</v>
      </c>
      <c r="V16" s="409" t="n">
        <f aca="false">IF('APA Inputs'!$C$31="",0,(IF(AND(V$4&gt;='APA Inputs'!$C$31,V$4&lt;EDATE('APA Inputs'!$C$31,N('APA Inputs'!$D$31))),'APA Inputs'!$J$31,0)+IF(N('APA Inputs'!$H$31)&gt;0,IF(V$4=EDATE('APA Inputs'!$C$31,'APA Inputs'!$H$31-1),N('APA Inputs'!$G$31),0),0))*IF('APA Inputs'!$I$31="",1,'APA Inputs'!$I$31))</f>
        <v>0</v>
      </c>
      <c r="W16" s="409" t="n">
        <f aca="false">IF('APA Inputs'!$C$31="",0,(IF(AND(W$4&gt;='APA Inputs'!$C$31,W$4&lt;EDATE('APA Inputs'!$C$31,N('APA Inputs'!$D$31))),'APA Inputs'!$J$31,0)+IF(N('APA Inputs'!$H$31)&gt;0,IF(W$4=EDATE('APA Inputs'!$C$31,'APA Inputs'!$H$31-1),N('APA Inputs'!$G$31),0),0))*IF('APA Inputs'!$I$31="",1,'APA Inputs'!$I$31))</f>
        <v>0</v>
      </c>
      <c r="X16" s="409" t="n">
        <f aca="false">IF('APA Inputs'!$C$31="",0,(IF(AND(X$4&gt;='APA Inputs'!$C$31,X$4&lt;EDATE('APA Inputs'!$C$31,N('APA Inputs'!$D$31))),'APA Inputs'!$J$31,0)+IF(N('APA Inputs'!$H$31)&gt;0,IF(X$4=EDATE('APA Inputs'!$C$31,'APA Inputs'!$H$31-1),N('APA Inputs'!$G$31),0),0))*IF('APA Inputs'!$I$31="",1,'APA Inputs'!$I$31))</f>
        <v>0</v>
      </c>
      <c r="Y16" s="409" t="n">
        <f aca="false">IF('APA Inputs'!$C$31="",0,(IF(AND(Y$4&gt;='APA Inputs'!$C$31,Y$4&lt;EDATE('APA Inputs'!$C$31,N('APA Inputs'!$D$31))),'APA Inputs'!$J$31,0)+IF(N('APA Inputs'!$H$31)&gt;0,IF(Y$4=EDATE('APA Inputs'!$C$31,'APA Inputs'!$H$31-1),N('APA Inputs'!$G$31),0),0))*IF('APA Inputs'!$I$31="",1,'APA Inputs'!$I$31))</f>
        <v>0</v>
      </c>
      <c r="Z16" s="409" t="n">
        <f aca="false">IF('APA Inputs'!$C$31="",0,(IF(AND(Z$4&gt;='APA Inputs'!$C$31,Z$4&lt;EDATE('APA Inputs'!$C$31,N('APA Inputs'!$D$31))),'APA Inputs'!$J$31,0)+IF(N('APA Inputs'!$H$31)&gt;0,IF(Z$4=EDATE('APA Inputs'!$C$31,'APA Inputs'!$H$31-1),N('APA Inputs'!$G$31),0),0))*IF('APA Inputs'!$I$31="",1,'APA Inputs'!$I$31))</f>
        <v>0</v>
      </c>
      <c r="AA16" s="409" t="n">
        <f aca="false">IF('APA Inputs'!$C$31="",0,(IF(AND(AA$4&gt;='APA Inputs'!$C$31,AA$4&lt;EDATE('APA Inputs'!$C$31,N('APA Inputs'!$D$31))),'APA Inputs'!$J$31,0)+IF(N('APA Inputs'!$H$31)&gt;0,IF(AA$4=EDATE('APA Inputs'!$C$31,'APA Inputs'!$H$31-1),N('APA Inputs'!$G$31),0),0))*IF('APA Inputs'!$I$31="",1,'APA Inputs'!$I$31))</f>
        <v>0</v>
      </c>
      <c r="AB16" s="409" t="n">
        <f aca="false">IF('APA Inputs'!$C$31="",0,(IF(AND(AB$4&gt;='APA Inputs'!$C$31,AB$4&lt;EDATE('APA Inputs'!$C$31,N('APA Inputs'!$D$31))),'APA Inputs'!$J$31,0)+IF(N('APA Inputs'!$H$31)&gt;0,IF(AB$4=EDATE('APA Inputs'!$C$31,'APA Inputs'!$H$31-1),N('APA Inputs'!$G$31),0),0))*IF('APA Inputs'!$I$31="",1,'APA Inputs'!$I$31))</f>
        <v>0</v>
      </c>
      <c r="AC16" s="409" t="n">
        <f aca="false">IF('APA Inputs'!$C$31="",0,(IF(AND(AC$4&gt;='APA Inputs'!$C$31,AC$4&lt;EDATE('APA Inputs'!$C$31,N('APA Inputs'!$D$31))),'APA Inputs'!$J$31,0)+IF(N('APA Inputs'!$H$31)&gt;0,IF(AC$4=EDATE('APA Inputs'!$C$31,'APA Inputs'!$H$31-1),N('APA Inputs'!$G$31),0),0))*IF('APA Inputs'!$I$31="",1,'APA Inputs'!$I$31))</f>
        <v>0</v>
      </c>
      <c r="AD16" s="409" t="n">
        <f aca="false">IF('APA Inputs'!$C$31="",0,(IF(AND(AD$4&gt;='APA Inputs'!$C$31,AD$4&lt;EDATE('APA Inputs'!$C$31,N('APA Inputs'!$D$31))),'APA Inputs'!$J$31,0)+IF(N('APA Inputs'!$H$31)&gt;0,IF(AD$4=EDATE('APA Inputs'!$C$31,'APA Inputs'!$H$31-1),N('APA Inputs'!$G$31),0),0))*IF('APA Inputs'!$I$31="",1,'APA Inputs'!$I$31))</f>
        <v>0</v>
      </c>
      <c r="AE16" s="409" t="n">
        <f aca="false">IF('APA Inputs'!$C$31="",0,(IF(AND(AE$4&gt;='APA Inputs'!$C$31,AE$4&lt;EDATE('APA Inputs'!$C$31,N('APA Inputs'!$D$31))),'APA Inputs'!$J$31,0)+IF(N('APA Inputs'!$H$31)&gt;0,IF(AE$4=EDATE('APA Inputs'!$C$31,'APA Inputs'!$H$31-1),N('APA Inputs'!$G$31),0),0))*IF('APA Inputs'!$I$31="",1,'APA Inputs'!$I$31))</f>
        <v>0</v>
      </c>
      <c r="AF16" s="409" t="n">
        <f aca="false">IF('APA Inputs'!$C$31="",0,(IF(AND(AF$4&gt;='APA Inputs'!$C$31,AF$4&lt;EDATE('APA Inputs'!$C$31,N('APA Inputs'!$D$31))),'APA Inputs'!$J$31,0)+IF(N('APA Inputs'!$H$31)&gt;0,IF(AF$4=EDATE('APA Inputs'!$C$31,'APA Inputs'!$H$31-1),N('APA Inputs'!$G$31),0),0))*IF('APA Inputs'!$I$31="",1,'APA Inputs'!$I$31))</f>
        <v>0</v>
      </c>
      <c r="AG16" s="409" t="n">
        <f aca="false">IF('APA Inputs'!$C$31="",0,(IF(AND(AG$4&gt;='APA Inputs'!$C$31,AG$4&lt;EDATE('APA Inputs'!$C$31,N('APA Inputs'!$D$31))),'APA Inputs'!$J$31,0)+IF(N('APA Inputs'!$H$31)&gt;0,IF(AG$4=EDATE('APA Inputs'!$C$31,'APA Inputs'!$H$31-1),N('APA Inputs'!$G$31),0),0))*IF('APA Inputs'!$I$31="",1,'APA Inputs'!$I$31))</f>
        <v>0</v>
      </c>
      <c r="AH16" s="409" t="n">
        <f aca="false">IF('APA Inputs'!$C$31="",0,(IF(AND(AH$4&gt;='APA Inputs'!$C$31,AH$4&lt;EDATE('APA Inputs'!$C$31,N('APA Inputs'!$D$31))),'APA Inputs'!$J$31,0)+IF(N('APA Inputs'!$H$31)&gt;0,IF(AH$4=EDATE('APA Inputs'!$C$31,'APA Inputs'!$H$31-1),N('APA Inputs'!$G$31),0),0))*IF('APA Inputs'!$I$31="",1,'APA Inputs'!$I$31))</f>
        <v>0</v>
      </c>
      <c r="AI16" s="409" t="n">
        <f aca="false">IF('APA Inputs'!$C$31="",0,(IF(AND(AI$4&gt;='APA Inputs'!$C$31,AI$4&lt;EDATE('APA Inputs'!$C$31,N('APA Inputs'!$D$31))),'APA Inputs'!$J$31,0)+IF(N('APA Inputs'!$H$31)&gt;0,IF(AI$4=EDATE('APA Inputs'!$C$31,'APA Inputs'!$H$31-1),N('APA Inputs'!$G$31),0),0))*IF('APA Inputs'!$I$31="",1,'APA Inputs'!$I$31))</f>
        <v>0</v>
      </c>
      <c r="AJ16" s="409" t="n">
        <f aca="false">IF('APA Inputs'!$C$31="",0,(IF(AND(AJ$4&gt;='APA Inputs'!$C$31,AJ$4&lt;EDATE('APA Inputs'!$C$31,N('APA Inputs'!$D$31))),'APA Inputs'!$J$31,0)+IF(N('APA Inputs'!$H$31)&gt;0,IF(AJ$4=EDATE('APA Inputs'!$C$31,'APA Inputs'!$H$31-1),N('APA Inputs'!$G$31),0),0))*IF('APA Inputs'!$I$31="",1,'APA Inputs'!$I$31))</f>
        <v>0</v>
      </c>
      <c r="AK16" s="409" t="n">
        <f aca="false">IF('APA Inputs'!$C$31="",0,(IF(AND(AK$4&gt;='APA Inputs'!$C$31,AK$4&lt;EDATE('APA Inputs'!$C$31,N('APA Inputs'!$D$31))),'APA Inputs'!$J$31,0)+IF(N('APA Inputs'!$H$31)&gt;0,IF(AK$4=EDATE('APA Inputs'!$C$31,'APA Inputs'!$H$31-1),N('APA Inputs'!$G$31),0),0))*IF('APA Inputs'!$I$31="",1,'APA Inputs'!$I$31))</f>
        <v>0</v>
      </c>
      <c r="AL16" s="409" t="n">
        <f aca="false">IF('APA Inputs'!$C$31="",0,(IF(AND(AL$4&gt;='APA Inputs'!$C$31,AL$4&lt;EDATE('APA Inputs'!$C$31,N('APA Inputs'!$D$31))),'APA Inputs'!$J$31,0)+IF(N('APA Inputs'!$H$31)&gt;0,IF(AL$4=EDATE('APA Inputs'!$C$31,'APA Inputs'!$H$31-1),N('APA Inputs'!$G$31),0),0))*IF('APA Inputs'!$I$31="",1,'APA Inputs'!$I$31))</f>
        <v>0</v>
      </c>
      <c r="AM16" s="409" t="n">
        <f aca="false">IF('APA Inputs'!$C$31="",0,(IF(AND(AM$4&gt;='APA Inputs'!$C$31,AM$4&lt;EDATE('APA Inputs'!$C$31,N('APA Inputs'!$D$31))),'APA Inputs'!$J$31,0)+IF(N('APA Inputs'!$H$31)&gt;0,IF(AM$4=EDATE('APA Inputs'!$C$31,'APA Inputs'!$H$31-1),N('APA Inputs'!$G$31),0),0))*IF('APA Inputs'!$I$31="",1,'APA Inputs'!$I$31))</f>
        <v>0</v>
      </c>
      <c r="AN16" s="409" t="n">
        <f aca="false">IF('APA Inputs'!$C$31="",0,(IF(AND(AN$4&gt;='APA Inputs'!$C$31,AN$4&lt;EDATE('APA Inputs'!$C$31,N('APA Inputs'!$D$31))),'APA Inputs'!$J$31,0)+IF(N('APA Inputs'!$H$31)&gt;0,IF(AN$4=EDATE('APA Inputs'!$C$31,'APA Inputs'!$H$31-1),N('APA Inputs'!$G$31),0),0))*IF('APA Inputs'!$I$31="",1,'APA Inputs'!$I$31))</f>
        <v>0</v>
      </c>
      <c r="AO16" s="409" t="n">
        <f aca="false">IF('APA Inputs'!$C$31="",0,(IF(AND(AO$4&gt;='APA Inputs'!$C$31,AO$4&lt;EDATE('APA Inputs'!$C$31,N('APA Inputs'!$D$31))),'APA Inputs'!$J$31,0)+IF(N('APA Inputs'!$H$31)&gt;0,IF(AO$4=EDATE('APA Inputs'!$C$31,'APA Inputs'!$H$31-1),N('APA Inputs'!$G$31),0),0))*IF('APA Inputs'!$I$31="",1,'APA Inputs'!$I$31))</f>
        <v>0</v>
      </c>
      <c r="AP16" s="409" t="n">
        <f aca="false">IF('APA Inputs'!$C$31="",0,(IF(AND(AP$4&gt;='APA Inputs'!$C$31,AP$4&lt;EDATE('APA Inputs'!$C$31,N('APA Inputs'!$D$31))),'APA Inputs'!$J$31,0)+IF(N('APA Inputs'!$H$31)&gt;0,IF(AP$4=EDATE('APA Inputs'!$C$31,'APA Inputs'!$H$31-1),N('APA Inputs'!$G$31),0),0))*IF('APA Inputs'!$I$31="",1,'APA Inputs'!$I$31))</f>
        <v>0</v>
      </c>
      <c r="AQ16" s="409" t="n">
        <f aca="false">IF('APA Inputs'!$C$31="",0,(IF(AND(AQ$4&gt;='APA Inputs'!$C$31,AQ$4&lt;EDATE('APA Inputs'!$C$31,N('APA Inputs'!$D$31))),'APA Inputs'!$J$31,0)+IF(N('APA Inputs'!$H$31)&gt;0,IF(AQ$4=EDATE('APA Inputs'!$C$31,'APA Inputs'!$H$31-1),N('APA Inputs'!$G$31),0),0))*IF('APA Inputs'!$I$31="",1,'APA Inputs'!$I$31))</f>
        <v>0</v>
      </c>
      <c r="AR16" s="409" t="n">
        <f aca="false">IF('APA Inputs'!$C$31="",0,(IF(AND(AR$4&gt;='APA Inputs'!$C$31,AR$4&lt;EDATE('APA Inputs'!$C$31,N('APA Inputs'!$D$31))),'APA Inputs'!$J$31,0)+IF(N('APA Inputs'!$H$31)&gt;0,IF(AR$4=EDATE('APA Inputs'!$C$31,'APA Inputs'!$H$31-1),N('APA Inputs'!$G$31),0),0))*IF('APA Inputs'!$I$31="",1,'APA Inputs'!$I$31))</f>
        <v>0</v>
      </c>
      <c r="AS16" s="409" t="n">
        <f aca="false">IF('APA Inputs'!$C$31="",0,(IF(AND(AS$4&gt;='APA Inputs'!$C$31,AS$4&lt;EDATE('APA Inputs'!$C$31,N('APA Inputs'!$D$31))),'APA Inputs'!$J$31,0)+IF(N('APA Inputs'!$H$31)&gt;0,IF(AS$4=EDATE('APA Inputs'!$C$31,'APA Inputs'!$H$31-1),N('APA Inputs'!$G$31),0),0))*IF('APA Inputs'!$I$31="",1,'APA Inputs'!$I$31))</f>
        <v>0</v>
      </c>
      <c r="AT16" s="409" t="n">
        <f aca="false">IF('APA Inputs'!$C$31="",0,(IF(AND(AT$4&gt;='APA Inputs'!$C$31,AT$4&lt;EDATE('APA Inputs'!$C$31,N('APA Inputs'!$D$31))),'APA Inputs'!$J$31,0)+IF(N('APA Inputs'!$H$31)&gt;0,IF(AT$4=EDATE('APA Inputs'!$C$31,'APA Inputs'!$H$31-1),N('APA Inputs'!$G$31),0),0))*IF('APA Inputs'!$I$31="",1,'APA Inputs'!$I$31))</f>
        <v>0</v>
      </c>
      <c r="AU16" s="409" t="n">
        <f aca="false">IF('APA Inputs'!$C$31="",0,(IF(AND(AU$4&gt;='APA Inputs'!$C$31,AU$4&lt;EDATE('APA Inputs'!$C$31,N('APA Inputs'!$D$31))),'APA Inputs'!$J$31,0)+IF(N('APA Inputs'!$H$31)&gt;0,IF(AU$4=EDATE('APA Inputs'!$C$31,'APA Inputs'!$H$31-1),N('APA Inputs'!$G$31),0),0))*IF('APA Inputs'!$I$31="",1,'APA Inputs'!$I$31))</f>
        <v>0</v>
      </c>
      <c r="AV16" s="409" t="n">
        <f aca="false">IF('APA Inputs'!$C$31="",0,(IF(AND(AV$4&gt;='APA Inputs'!$C$31,AV$4&lt;EDATE('APA Inputs'!$C$31,N('APA Inputs'!$D$31))),'APA Inputs'!$J$31,0)+IF(N('APA Inputs'!$H$31)&gt;0,IF(AV$4=EDATE('APA Inputs'!$C$31,'APA Inputs'!$H$31-1),N('APA Inputs'!$G$31),0),0))*IF('APA Inputs'!$I$31="",1,'APA Inputs'!$I$31))</f>
        <v>0</v>
      </c>
      <c r="AW16" s="409" t="n">
        <f aca="false">IF('APA Inputs'!$C$31="",0,(IF(AND(AW$4&gt;='APA Inputs'!$C$31,AW$4&lt;EDATE('APA Inputs'!$C$31,N('APA Inputs'!$D$31))),'APA Inputs'!$J$31,0)+IF(N('APA Inputs'!$H$31)&gt;0,IF(AW$4=EDATE('APA Inputs'!$C$31,'APA Inputs'!$H$31-1),N('APA Inputs'!$G$31),0),0))*IF('APA Inputs'!$I$31="",1,'APA Inputs'!$I$31))</f>
        <v>0</v>
      </c>
      <c r="AX16" s="409" t="n">
        <f aca="false">IF('APA Inputs'!$C$31="",0,(IF(AND(AX$4&gt;='APA Inputs'!$C$31,AX$4&lt;EDATE('APA Inputs'!$C$31,N('APA Inputs'!$D$31))),'APA Inputs'!$J$31,0)+IF(N('APA Inputs'!$H$31)&gt;0,IF(AX$4=EDATE('APA Inputs'!$C$31,'APA Inputs'!$H$31-1),N('APA Inputs'!$G$31),0),0))*IF('APA Inputs'!$I$31="",1,'APA Inputs'!$I$31))</f>
        <v>0</v>
      </c>
      <c r="AY16" s="409" t="n">
        <f aca="false">IF('APA Inputs'!$C$31="",0,(IF(AND(AY$4&gt;='APA Inputs'!$C$31,AY$4&lt;EDATE('APA Inputs'!$C$31,N('APA Inputs'!$D$31))),'APA Inputs'!$J$31,0)+IF(N('APA Inputs'!$H$31)&gt;0,IF(AY$4=EDATE('APA Inputs'!$C$31,'APA Inputs'!$H$31-1),N('APA Inputs'!$G$31),0),0))*IF('APA Inputs'!$I$31="",1,'APA Inputs'!$I$31))</f>
        <v>0</v>
      </c>
      <c r="AZ16" s="409" t="n">
        <f aca="false">IF('APA Inputs'!$C$31="",0,(IF(AND(AZ$4&gt;='APA Inputs'!$C$31,AZ$4&lt;EDATE('APA Inputs'!$C$31,N('APA Inputs'!$D$31))),'APA Inputs'!$J$31,0)+IF(N('APA Inputs'!$H$31)&gt;0,IF(AZ$4=EDATE('APA Inputs'!$C$31,'APA Inputs'!$H$31-1),N('APA Inputs'!$G$31),0),0))*IF('APA Inputs'!$I$31="",1,'APA Inputs'!$I$31))</f>
        <v>0</v>
      </c>
      <c r="BA16" s="409" t="n">
        <f aca="false">IF('APA Inputs'!$C$31="",0,(IF(AND(BA$4&gt;='APA Inputs'!$C$31,BA$4&lt;EDATE('APA Inputs'!$C$31,N('APA Inputs'!$D$31))),'APA Inputs'!$J$31,0)+IF(N('APA Inputs'!$H$31)&gt;0,IF(BA$4=EDATE('APA Inputs'!$C$31,'APA Inputs'!$H$31-1),N('APA Inputs'!$G$31),0),0))*IF('APA Inputs'!$I$31="",1,'APA Inputs'!$I$31))</f>
        <v>0</v>
      </c>
      <c r="BB16" s="409" t="n">
        <f aca="false">IF('APA Inputs'!$C$31="",0,(IF(AND(BB$4&gt;='APA Inputs'!$C$31,BB$4&lt;EDATE('APA Inputs'!$C$31,N('APA Inputs'!$D$31))),'APA Inputs'!$J$31,0)+IF(N('APA Inputs'!$H$31)&gt;0,IF(BB$4=EDATE('APA Inputs'!$C$31,'APA Inputs'!$H$31-1),N('APA Inputs'!$G$31),0),0))*IF('APA Inputs'!$I$31="",1,'APA Inputs'!$I$31))</f>
        <v>0</v>
      </c>
      <c r="BC16" s="409" t="n">
        <f aca="false">IF('APA Inputs'!$C$31="",0,(IF(AND(BC$4&gt;='APA Inputs'!$C$31,BC$4&lt;EDATE('APA Inputs'!$C$31,N('APA Inputs'!$D$31))),'APA Inputs'!$J$31,0)+IF(N('APA Inputs'!$H$31)&gt;0,IF(BC$4=EDATE('APA Inputs'!$C$31,'APA Inputs'!$H$31-1),N('APA Inputs'!$G$31),0),0))*IF('APA Inputs'!$I$31="",1,'APA Inputs'!$I$31))</f>
        <v>0</v>
      </c>
      <c r="BD16" s="409" t="n">
        <f aca="false">IF('APA Inputs'!$C$31="",0,(IF(AND(BD$4&gt;='APA Inputs'!$C$31,BD$4&lt;EDATE('APA Inputs'!$C$31,N('APA Inputs'!$D$31))),'APA Inputs'!$J$31,0)+IF(N('APA Inputs'!$H$31)&gt;0,IF(BD$4=EDATE('APA Inputs'!$C$31,'APA Inputs'!$H$31-1),N('APA Inputs'!$G$31),0),0))*IF('APA Inputs'!$I$31="",1,'APA Inputs'!$I$31))</f>
        <v>0</v>
      </c>
      <c r="BE16" s="409" t="n">
        <f aca="false">IF('APA Inputs'!$C$31="",0,(IF(AND(BE$4&gt;='APA Inputs'!$C$31,BE$4&lt;EDATE('APA Inputs'!$C$31,N('APA Inputs'!$D$31))),'APA Inputs'!$J$31,0)+IF(N('APA Inputs'!$H$31)&gt;0,IF(BE$4=EDATE('APA Inputs'!$C$31,'APA Inputs'!$H$31-1),N('APA Inputs'!$G$31),0),0))*IF('APA Inputs'!$I$31="",1,'APA Inputs'!$I$31))</f>
        <v>0</v>
      </c>
      <c r="BF16" s="409" t="n">
        <f aca="false">IF('APA Inputs'!$C$31="",0,(IF(AND(BF$4&gt;='APA Inputs'!$C$31,BF$4&lt;EDATE('APA Inputs'!$C$31,N('APA Inputs'!$D$31))),'APA Inputs'!$J$31,0)+IF(N('APA Inputs'!$H$31)&gt;0,IF(BF$4=EDATE('APA Inputs'!$C$31,'APA Inputs'!$H$31-1),N('APA Inputs'!$G$31),0),0))*IF('APA Inputs'!$I$31="",1,'APA Inputs'!$I$31))</f>
        <v>0</v>
      </c>
      <c r="BG16" s="409" t="n">
        <f aca="false">IF('APA Inputs'!$C$31="",0,(IF(AND(BG$4&gt;='APA Inputs'!$C$31,BG$4&lt;EDATE('APA Inputs'!$C$31,N('APA Inputs'!$D$31))),'APA Inputs'!$J$31,0)+IF(N('APA Inputs'!$H$31)&gt;0,IF(BG$4=EDATE('APA Inputs'!$C$31,'APA Inputs'!$H$31-1),N('APA Inputs'!$G$31),0),0))*IF('APA Inputs'!$I$31="",1,'APA Inputs'!$I$31))</f>
        <v>0</v>
      </c>
      <c r="BH16" s="409" t="n">
        <f aca="false">IF('APA Inputs'!$C$31="",0,(IF(AND(BH$4&gt;='APA Inputs'!$C$31,BH$4&lt;EDATE('APA Inputs'!$C$31,N('APA Inputs'!$D$31))),'APA Inputs'!$J$31,0)+IF(N('APA Inputs'!$H$31)&gt;0,IF(BH$4=EDATE('APA Inputs'!$C$31,'APA Inputs'!$H$31-1),N('APA Inputs'!$G$31),0),0))*IF('APA Inputs'!$I$31="",1,'APA Inputs'!$I$31))</f>
        <v>0</v>
      </c>
      <c r="BI16" s="409" t="n">
        <f aca="false">IF('APA Inputs'!$C$31="",0,(IF(AND(BI$4&gt;='APA Inputs'!$C$31,BI$4&lt;EDATE('APA Inputs'!$C$31,N('APA Inputs'!$D$31))),'APA Inputs'!$J$31,0)+IF(N('APA Inputs'!$H$31)&gt;0,IF(BI$4=EDATE('APA Inputs'!$C$31,'APA Inputs'!$H$31-1),N('APA Inputs'!$G$31),0),0))*IF('APA Inputs'!$I$31="",1,'APA Inputs'!$I$31))</f>
        <v>0</v>
      </c>
      <c r="BJ16" s="409" t="n">
        <f aca="false">IF('APA Inputs'!$C$31="",0,(IF(AND(BJ$4&gt;='APA Inputs'!$C$31,BJ$4&lt;EDATE('APA Inputs'!$C$31,N('APA Inputs'!$D$31))),'APA Inputs'!$J$31,0)+IF(N('APA Inputs'!$H$31)&gt;0,IF(BJ$4=EDATE('APA Inputs'!$C$31,'APA Inputs'!$H$31-1),N('APA Inputs'!$G$31),0),0))*IF('APA Inputs'!$I$31="",1,'APA Inputs'!$I$31))</f>
        <v>0</v>
      </c>
      <c r="BK16" s="409" t="n">
        <f aca="false">IF('APA Inputs'!$C$31="",0,(IF(AND(BK$4&gt;='APA Inputs'!$C$31,BK$4&lt;EDATE('APA Inputs'!$C$31,N('APA Inputs'!$D$31))),'APA Inputs'!$J$31,0)+IF(N('APA Inputs'!$H$31)&gt;0,IF(BK$4=EDATE('APA Inputs'!$C$31,'APA Inputs'!$H$31-1),N('APA Inputs'!$G$31),0),0))*IF('APA Inputs'!$I$31="",1,'APA Inputs'!$I$31))</f>
        <v>0</v>
      </c>
      <c r="BL16" s="409" t="n">
        <f aca="false">IF('APA Inputs'!$C$31="",0,(IF(AND(BL$4&gt;='APA Inputs'!$C$31,BL$4&lt;EDATE('APA Inputs'!$C$31,N('APA Inputs'!$D$31))),'APA Inputs'!$J$31,0)+IF(N('APA Inputs'!$H$31)&gt;0,IF(BL$4=EDATE('APA Inputs'!$C$31,'APA Inputs'!$H$31-1),N('APA Inputs'!$G$31),0),0))*IF('APA Inputs'!$I$31="",1,'APA Inputs'!$I$31))</f>
        <v>0</v>
      </c>
      <c r="BM16" s="409" t="n">
        <f aca="false">IF('APA Inputs'!$C$31="",0,(IF(AND(BM$4&gt;='APA Inputs'!$C$31,BM$4&lt;EDATE('APA Inputs'!$C$31,N('APA Inputs'!$D$31))),'APA Inputs'!$J$31,0)+IF(N('APA Inputs'!$H$31)&gt;0,IF(BM$4=EDATE('APA Inputs'!$C$31,'APA Inputs'!$H$31-1),N('APA Inputs'!$G$31),0),0))*IF('APA Inputs'!$I$31="",1,'APA Inputs'!$I$31))</f>
        <v>0</v>
      </c>
      <c r="BN16" s="409" t="n">
        <f aca="false">IF('APA Inputs'!$C$31="",0,(IF(AND(BN$4&gt;='APA Inputs'!$C$31,BN$4&lt;EDATE('APA Inputs'!$C$31,N('APA Inputs'!$D$31))),'APA Inputs'!$J$31,0)+IF(N('APA Inputs'!$H$31)&gt;0,IF(BN$4=EDATE('APA Inputs'!$C$31,'APA Inputs'!$H$31-1),N('APA Inputs'!$G$31),0),0))*IF('APA Inputs'!$I$31="",1,'APA Inputs'!$I$31))</f>
        <v>0</v>
      </c>
      <c r="BO16" s="409" t="n">
        <f aca="false">IF('APA Inputs'!$C$31="",0,(IF(AND(BO$4&gt;='APA Inputs'!$C$31,BO$4&lt;EDATE('APA Inputs'!$C$31,N('APA Inputs'!$D$31))),'APA Inputs'!$J$31,0)+IF(N('APA Inputs'!$H$31)&gt;0,IF(BO$4=EDATE('APA Inputs'!$C$31,'APA Inputs'!$H$31-1),N('APA Inputs'!$G$31),0),0))*IF('APA Inputs'!$I$31="",1,'APA Inputs'!$I$31))</f>
        <v>0</v>
      </c>
      <c r="BP16" s="409" t="n">
        <f aca="false">IF('APA Inputs'!$C$31="",0,(IF(AND(BP$4&gt;='APA Inputs'!$C$31,BP$4&lt;EDATE('APA Inputs'!$C$31,N('APA Inputs'!$D$31))),'APA Inputs'!$J$31,0)+IF(N('APA Inputs'!$H$31)&gt;0,IF(BP$4=EDATE('APA Inputs'!$C$31,'APA Inputs'!$H$31-1),N('APA Inputs'!$G$31),0),0))*IF('APA Inputs'!$I$31="",1,'APA Inputs'!$I$31))</f>
        <v>0</v>
      </c>
      <c r="BQ16" s="409" t="n">
        <f aca="false">IF('APA Inputs'!$C$31="",0,(IF(AND(BQ$4&gt;='APA Inputs'!$C$31,BQ$4&lt;EDATE('APA Inputs'!$C$31,N('APA Inputs'!$D$31))),'APA Inputs'!$J$31,0)+IF(N('APA Inputs'!$H$31)&gt;0,IF(BQ$4=EDATE('APA Inputs'!$C$31,'APA Inputs'!$H$31-1),N('APA Inputs'!$G$31),0),0))*IF('APA Inputs'!$I$31="",1,'APA Inputs'!$I$31))</f>
        <v>0</v>
      </c>
      <c r="BR16" s="409" t="n">
        <f aca="false">IF('APA Inputs'!$C$31="",0,(IF(AND(BR$4&gt;='APA Inputs'!$C$31,BR$4&lt;EDATE('APA Inputs'!$C$31,N('APA Inputs'!$D$31))),'APA Inputs'!$J$31,0)+IF(N('APA Inputs'!$H$31)&gt;0,IF(BR$4=EDATE('APA Inputs'!$C$31,'APA Inputs'!$H$31-1),N('APA Inputs'!$G$31),0),0))*IF('APA Inputs'!$I$31="",1,'APA Inputs'!$I$31))</f>
        <v>0</v>
      </c>
      <c r="BS16" s="409" t="n">
        <f aca="false">IF('APA Inputs'!$C$31="",0,(IF(AND(BS$4&gt;='APA Inputs'!$C$31,BS$4&lt;EDATE('APA Inputs'!$C$31,N('APA Inputs'!$D$31))),'APA Inputs'!$J$31,0)+IF(N('APA Inputs'!$H$31)&gt;0,IF(BS$4=EDATE('APA Inputs'!$C$31,'APA Inputs'!$H$31-1),N('APA Inputs'!$G$31),0),0))*IF('APA Inputs'!$I$31="",1,'APA Inputs'!$I$31))</f>
        <v>0</v>
      </c>
      <c r="BT16" s="409" t="n">
        <f aca="false">IF('APA Inputs'!$C$31="",0,(IF(AND(BT$4&gt;='APA Inputs'!$C$31,BT$4&lt;EDATE('APA Inputs'!$C$31,N('APA Inputs'!$D$31))),'APA Inputs'!$J$31,0)+IF(N('APA Inputs'!$H$31)&gt;0,IF(BT$4=EDATE('APA Inputs'!$C$31,'APA Inputs'!$H$31-1),N('APA Inputs'!$G$31),0),0))*IF('APA Inputs'!$I$31="",1,'APA Inputs'!$I$31))</f>
        <v>0</v>
      </c>
      <c r="BU16" s="409" t="n">
        <f aca="false">IF('APA Inputs'!$C$31="",0,(IF(AND(BU$4&gt;='APA Inputs'!$C$31,BU$4&lt;EDATE('APA Inputs'!$C$31,N('APA Inputs'!$D$31))),'APA Inputs'!$J$31,0)+IF(N('APA Inputs'!$H$31)&gt;0,IF(BU$4=EDATE('APA Inputs'!$C$31,'APA Inputs'!$H$31-1),N('APA Inputs'!$G$31),0),0))*IF('APA Inputs'!$I$31="",1,'APA Inputs'!$I$31))</f>
        <v>0</v>
      </c>
      <c r="BV16" s="409" t="n">
        <f aca="false">IF('APA Inputs'!$C$31="",0,(IF(AND(BV$4&gt;='APA Inputs'!$C$31,BV$4&lt;EDATE('APA Inputs'!$C$31,N('APA Inputs'!$D$31))),'APA Inputs'!$J$31,0)+IF(N('APA Inputs'!$H$31)&gt;0,IF(BV$4=EDATE('APA Inputs'!$C$31,'APA Inputs'!$H$31-1),N('APA Inputs'!$G$31),0),0))*IF('APA Inputs'!$I$31="",1,'APA Inputs'!$I$31))</f>
        <v>0</v>
      </c>
      <c r="BW16" s="409" t="n">
        <f aca="false">IF('APA Inputs'!$C$31="",0,(IF(AND(BW$4&gt;='APA Inputs'!$C$31,BW$4&lt;EDATE('APA Inputs'!$C$31,N('APA Inputs'!$D$31))),'APA Inputs'!$J$31,0)+IF(N('APA Inputs'!$H$31)&gt;0,IF(BW$4=EDATE('APA Inputs'!$C$31,'APA Inputs'!$H$31-1),N('APA Inputs'!$G$31),0),0))*IF('APA Inputs'!$I$31="",1,'APA Inputs'!$I$31))</f>
        <v>0</v>
      </c>
      <c r="BX16" s="409" t="n">
        <f aca="false">IF('APA Inputs'!$C$31="",0,(IF(AND(BX$4&gt;='APA Inputs'!$C$31,BX$4&lt;EDATE('APA Inputs'!$C$31,N('APA Inputs'!$D$31))),'APA Inputs'!$J$31,0)+IF(N('APA Inputs'!$H$31)&gt;0,IF(BX$4=EDATE('APA Inputs'!$C$31,'APA Inputs'!$H$31-1),N('APA Inputs'!$G$31),0),0))*IF('APA Inputs'!$I$31="",1,'APA Inputs'!$I$31))</f>
        <v>0</v>
      </c>
      <c r="BY16" s="409" t="n">
        <f aca="false">IF('APA Inputs'!$C$31="",0,(IF(AND(BY$4&gt;='APA Inputs'!$C$31,BY$4&lt;EDATE('APA Inputs'!$C$31,N('APA Inputs'!$D$31))),'APA Inputs'!$J$31,0)+IF(N('APA Inputs'!$H$31)&gt;0,IF(BY$4=EDATE('APA Inputs'!$C$31,'APA Inputs'!$H$31-1),N('APA Inputs'!$G$31),0),0))*IF('APA Inputs'!$I$31="",1,'APA Inputs'!$I$31))</f>
        <v>0</v>
      </c>
      <c r="BZ16" s="409" t="n">
        <f aca="false">IF('APA Inputs'!$C$31="",0,(IF(AND(BZ$4&gt;='APA Inputs'!$C$31,BZ$4&lt;EDATE('APA Inputs'!$C$31,N('APA Inputs'!$D$31))),'APA Inputs'!$J$31,0)+IF(N('APA Inputs'!$H$31)&gt;0,IF(BZ$4=EDATE('APA Inputs'!$C$31,'APA Inputs'!$H$31-1),N('APA Inputs'!$G$31),0),0))*IF('APA Inputs'!$I$31="",1,'APA Inputs'!$I$31))</f>
        <v>0</v>
      </c>
      <c r="CA16" s="409" t="n">
        <f aca="false">IF('APA Inputs'!$C$31="",0,(IF(AND(CA$4&gt;='APA Inputs'!$C$31,CA$4&lt;EDATE('APA Inputs'!$C$31,N('APA Inputs'!$D$31))),'APA Inputs'!$J$31,0)+IF(N('APA Inputs'!$H$31)&gt;0,IF(CA$4=EDATE('APA Inputs'!$C$31,'APA Inputs'!$H$31-1),N('APA Inputs'!$G$31),0),0))*IF('APA Inputs'!$I$31="",1,'APA Inputs'!$I$31))</f>
        <v>0</v>
      </c>
      <c r="CB16" s="409" t="n">
        <f aca="false">IF('APA Inputs'!$C$31="",0,(IF(AND(CB$4&gt;='APA Inputs'!$C$31,CB$4&lt;EDATE('APA Inputs'!$C$31,N('APA Inputs'!$D$31))),'APA Inputs'!$J$31,0)+IF(N('APA Inputs'!$H$31)&gt;0,IF(CB$4=EDATE('APA Inputs'!$C$31,'APA Inputs'!$H$31-1),N('APA Inputs'!$G$31),0),0))*IF('APA Inputs'!$I$31="",1,'APA Inputs'!$I$31))</f>
        <v>0</v>
      </c>
      <c r="CC16" s="409" t="n">
        <f aca="false">IF('APA Inputs'!$C$31="",0,(IF(AND(CC$4&gt;='APA Inputs'!$C$31,CC$4&lt;EDATE('APA Inputs'!$C$31,N('APA Inputs'!$D$31))),'APA Inputs'!$J$31,0)+IF(N('APA Inputs'!$H$31)&gt;0,IF(CC$4=EDATE('APA Inputs'!$C$31,'APA Inputs'!$H$31-1),N('APA Inputs'!$G$31),0),0))*IF('APA Inputs'!$I$31="",1,'APA Inputs'!$I$31))</f>
        <v>0</v>
      </c>
      <c r="CD16" s="409" t="n">
        <f aca="false">IF('APA Inputs'!$C$31="",0,(IF(AND(CD$4&gt;='APA Inputs'!$C$31,CD$4&lt;EDATE('APA Inputs'!$C$31,N('APA Inputs'!$D$31))),'APA Inputs'!$J$31,0)+IF(N('APA Inputs'!$H$31)&gt;0,IF(CD$4=EDATE('APA Inputs'!$C$31,'APA Inputs'!$H$31-1),N('APA Inputs'!$G$31),0),0))*IF('APA Inputs'!$I$31="",1,'APA Inputs'!$I$31))</f>
        <v>0</v>
      </c>
      <c r="CE16" s="409" t="n">
        <f aca="false">IF('APA Inputs'!$C$31="",0,(IF(AND(CE$4&gt;='APA Inputs'!$C$31,CE$4&lt;EDATE('APA Inputs'!$C$31,N('APA Inputs'!$D$31))),'APA Inputs'!$J$31,0)+IF(N('APA Inputs'!$H$31)&gt;0,IF(CE$4=EDATE('APA Inputs'!$C$31,'APA Inputs'!$H$31-1),N('APA Inputs'!$G$31),0),0))*IF('APA Inputs'!$I$31="",1,'APA Inputs'!$I$31))</f>
        <v>0</v>
      </c>
      <c r="CF16" s="409" t="n">
        <f aca="false">IF('APA Inputs'!$C$31="",0,(IF(AND(CF$4&gt;='APA Inputs'!$C$31,CF$4&lt;EDATE('APA Inputs'!$C$31,N('APA Inputs'!$D$31))),'APA Inputs'!$J$31,0)+IF(N('APA Inputs'!$H$31)&gt;0,IF(CF$4=EDATE('APA Inputs'!$C$31,'APA Inputs'!$H$31-1),N('APA Inputs'!$G$31),0),0))*IF('APA Inputs'!$I$31="",1,'APA Inputs'!$I$31))</f>
        <v>0</v>
      </c>
      <c r="CG16" s="409" t="n">
        <f aca="false">IF('APA Inputs'!$C$31="",0,(IF(AND(CG$4&gt;='APA Inputs'!$C$31,CG$4&lt;EDATE('APA Inputs'!$C$31,N('APA Inputs'!$D$31))),'APA Inputs'!$J$31,0)+IF(N('APA Inputs'!$H$31)&gt;0,IF(CG$4=EDATE('APA Inputs'!$C$31,'APA Inputs'!$H$31-1),N('APA Inputs'!$G$31),0),0))*IF('APA Inputs'!$I$31="",1,'APA Inputs'!$I$31))</f>
        <v>0</v>
      </c>
      <c r="CH16" s="409" t="n">
        <f aca="false">IF('APA Inputs'!$C$31="",0,(IF(AND(CH$4&gt;='APA Inputs'!$C$31,CH$4&lt;EDATE('APA Inputs'!$C$31,N('APA Inputs'!$D$31))),'APA Inputs'!$J$31,0)+IF(N('APA Inputs'!$H$31)&gt;0,IF(CH$4=EDATE('APA Inputs'!$C$31,'APA Inputs'!$H$31-1),N('APA Inputs'!$G$31),0),0))*IF('APA Inputs'!$I$31="",1,'APA Inputs'!$I$31))</f>
        <v>0</v>
      </c>
      <c r="CI16" s="409" t="n">
        <f aca="false">IF('APA Inputs'!$C$31="",0,(IF(AND(CI$4&gt;='APA Inputs'!$C$31,CI$4&lt;EDATE('APA Inputs'!$C$31,N('APA Inputs'!$D$31))),'APA Inputs'!$J$31,0)+IF(N('APA Inputs'!$H$31)&gt;0,IF(CI$4=EDATE('APA Inputs'!$C$31,'APA Inputs'!$H$31-1),N('APA Inputs'!$G$31),0),0))*IF('APA Inputs'!$I$31="",1,'APA Inputs'!$I$31))</f>
        <v>0</v>
      </c>
      <c r="CJ16" s="409" t="n">
        <f aca="false">IF('APA Inputs'!$C$31="",0,(IF(AND(CJ$4&gt;='APA Inputs'!$C$31,CJ$4&lt;EDATE('APA Inputs'!$C$31,N('APA Inputs'!$D$31))),'APA Inputs'!$J$31,0)+IF(N('APA Inputs'!$H$31)&gt;0,IF(CJ$4=EDATE('APA Inputs'!$C$31,'APA Inputs'!$H$31-1),N('APA Inputs'!$G$31),0),0))*IF('APA Inputs'!$I$31="",1,'APA Inputs'!$I$31))</f>
        <v>0</v>
      </c>
      <c r="CK16" s="409" t="n">
        <f aca="false">IF('APA Inputs'!$C$31="",0,(IF(AND(CK$4&gt;='APA Inputs'!$C$31,CK$4&lt;EDATE('APA Inputs'!$C$31,N('APA Inputs'!$D$31))),'APA Inputs'!$J$31,0)+IF(N('APA Inputs'!$H$31)&gt;0,IF(CK$4=EDATE('APA Inputs'!$C$31,'APA Inputs'!$H$31-1),N('APA Inputs'!$G$31),0),0))*IF('APA Inputs'!$I$31="",1,'APA Inputs'!$I$31))</f>
        <v>0</v>
      </c>
      <c r="CL16" s="409" t="n">
        <f aca="false">IF('APA Inputs'!$C$31="",0,(IF(AND(CL$4&gt;='APA Inputs'!$C$31,CL$4&lt;EDATE('APA Inputs'!$C$31,N('APA Inputs'!$D$31))),'APA Inputs'!$J$31,0)+IF(N('APA Inputs'!$H$31)&gt;0,IF(CL$4=EDATE('APA Inputs'!$C$31,'APA Inputs'!$H$31-1),N('APA Inputs'!$G$31),0),0))*IF('APA Inputs'!$I$31="",1,'APA Inputs'!$I$31))</f>
        <v>0</v>
      </c>
      <c r="CM16" s="409" t="n">
        <f aca="false">IF('APA Inputs'!$C$31="",0,(IF(AND(CM$4&gt;='APA Inputs'!$C$31,CM$4&lt;EDATE('APA Inputs'!$C$31,N('APA Inputs'!$D$31))),'APA Inputs'!$J$31,0)+IF(N('APA Inputs'!$H$31)&gt;0,IF(CM$4=EDATE('APA Inputs'!$C$31,'APA Inputs'!$H$31-1),N('APA Inputs'!$G$31),0),0))*IF('APA Inputs'!$I$31="",1,'APA Inputs'!$I$31))</f>
        <v>0</v>
      </c>
      <c r="CN16" s="409" t="n">
        <f aca="false">IF('APA Inputs'!$C$31="",0,(IF(AND(CN$4&gt;='APA Inputs'!$C$31,CN$4&lt;EDATE('APA Inputs'!$C$31,N('APA Inputs'!$D$31))),'APA Inputs'!$J$31,0)+IF(N('APA Inputs'!$H$31)&gt;0,IF(CN$4=EDATE('APA Inputs'!$C$31,'APA Inputs'!$H$31-1),N('APA Inputs'!$G$31),0),0))*IF('APA Inputs'!$I$31="",1,'APA Inputs'!$I$31))</f>
        <v>0</v>
      </c>
      <c r="CO16" s="409" t="n">
        <f aca="false">IF('APA Inputs'!$C$31="",0,(IF(AND(CO$4&gt;='APA Inputs'!$C$31,CO$4&lt;EDATE('APA Inputs'!$C$31,N('APA Inputs'!$D$31))),'APA Inputs'!$J$31,0)+IF(N('APA Inputs'!$H$31)&gt;0,IF(CO$4=EDATE('APA Inputs'!$C$31,'APA Inputs'!$H$31-1),N('APA Inputs'!$G$31),0),0))*IF('APA Inputs'!$I$31="",1,'APA Inputs'!$I$31))</f>
        <v>0</v>
      </c>
      <c r="CP16" s="409" t="n">
        <f aca="false">IF('APA Inputs'!$C$31="",0,(IF(AND(CP$4&gt;='APA Inputs'!$C$31,CP$4&lt;EDATE('APA Inputs'!$C$31,N('APA Inputs'!$D$31))),'APA Inputs'!$J$31,0)+IF(N('APA Inputs'!$H$31)&gt;0,IF(CP$4=EDATE('APA Inputs'!$C$31,'APA Inputs'!$H$31-1),N('APA Inputs'!$G$31),0),0))*IF('APA Inputs'!$I$31="",1,'APA Inputs'!$I$31))</f>
        <v>0</v>
      </c>
      <c r="CQ16" s="409" t="n">
        <f aca="false">IF('APA Inputs'!$C$31="",0,(IF(AND(CQ$4&gt;='APA Inputs'!$C$31,CQ$4&lt;EDATE('APA Inputs'!$C$31,N('APA Inputs'!$D$31))),'APA Inputs'!$J$31,0)+IF(N('APA Inputs'!$H$31)&gt;0,IF(CQ$4=EDATE('APA Inputs'!$C$31,'APA Inputs'!$H$31-1),N('APA Inputs'!$G$31),0),0))*IF('APA Inputs'!$I$31="",1,'APA Inputs'!$I$31))</f>
        <v>0</v>
      </c>
      <c r="CR16" s="409" t="n">
        <f aca="false">IF('APA Inputs'!$C$31="",0,(IF(AND(CR$4&gt;='APA Inputs'!$C$31,CR$4&lt;EDATE('APA Inputs'!$C$31,N('APA Inputs'!$D$31))),'APA Inputs'!$J$31,0)+IF(N('APA Inputs'!$H$31)&gt;0,IF(CR$4=EDATE('APA Inputs'!$C$31,'APA Inputs'!$H$31-1),N('APA Inputs'!$G$31),0),0))*IF('APA Inputs'!$I$31="",1,'APA Inputs'!$I$31))</f>
        <v>0</v>
      </c>
      <c r="CS16" s="409" t="n">
        <f aca="false">IF('APA Inputs'!$C$31="",0,(IF(AND(CS$4&gt;='APA Inputs'!$C$31,CS$4&lt;EDATE('APA Inputs'!$C$31,N('APA Inputs'!$D$31))),'APA Inputs'!$J$31,0)+IF(N('APA Inputs'!$H$31)&gt;0,IF(CS$4=EDATE('APA Inputs'!$C$31,'APA Inputs'!$H$31-1),N('APA Inputs'!$G$31),0),0))*IF('APA Inputs'!$I$31="",1,'APA Inputs'!$I$31))</f>
        <v>0</v>
      </c>
      <c r="CT16" s="409" t="n">
        <f aca="false">IF('APA Inputs'!$C$31="",0,(IF(AND(CT$4&gt;='APA Inputs'!$C$31,CT$4&lt;EDATE('APA Inputs'!$C$31,N('APA Inputs'!$D$31))),'APA Inputs'!$J$31,0)+IF(N('APA Inputs'!$H$31)&gt;0,IF(CT$4=EDATE('APA Inputs'!$C$31,'APA Inputs'!$H$31-1),N('APA Inputs'!$G$31),0),0))*IF('APA Inputs'!$I$31="",1,'APA Inputs'!$I$31))</f>
        <v>0</v>
      </c>
      <c r="CU16" s="409" t="n">
        <f aca="false">IF('APA Inputs'!$C$31="",0,(IF(AND(CU$4&gt;='APA Inputs'!$C$31,CU$4&lt;EDATE('APA Inputs'!$C$31,N('APA Inputs'!$D$31))),'APA Inputs'!$J$31,0)+IF(N('APA Inputs'!$H$31)&gt;0,IF(CU$4=EDATE('APA Inputs'!$C$31,'APA Inputs'!$H$31-1),N('APA Inputs'!$G$31),0),0))*IF('APA Inputs'!$I$31="",1,'APA Inputs'!$I$31))</f>
        <v>0</v>
      </c>
      <c r="CV16" s="409" t="n">
        <f aca="false">IF('APA Inputs'!$C$31="",0,(IF(AND(CV$4&gt;='APA Inputs'!$C$31,CV$4&lt;EDATE('APA Inputs'!$C$31,N('APA Inputs'!$D$31))),'APA Inputs'!$J$31,0)+IF(N('APA Inputs'!$H$31)&gt;0,IF(CV$4=EDATE('APA Inputs'!$C$31,'APA Inputs'!$H$31-1),N('APA Inputs'!$G$31),0),0))*IF('APA Inputs'!$I$31="",1,'APA Inputs'!$I$31))</f>
        <v>0</v>
      </c>
      <c r="CW16" s="409" t="n">
        <f aca="false">IF('APA Inputs'!$C$31="",0,(IF(AND(CW$4&gt;='APA Inputs'!$C$31,CW$4&lt;EDATE('APA Inputs'!$C$31,N('APA Inputs'!$D$31))),'APA Inputs'!$J$31,0)+IF(N('APA Inputs'!$H$31)&gt;0,IF(CW$4=EDATE('APA Inputs'!$C$31,'APA Inputs'!$H$31-1),N('APA Inputs'!$G$31),0),0))*IF('APA Inputs'!$I$31="",1,'APA Inputs'!$I$31))</f>
        <v>0</v>
      </c>
      <c r="CX16" s="409" t="n">
        <f aca="false">IF('APA Inputs'!$C$31="",0,(IF(AND(CX$4&gt;='APA Inputs'!$C$31,CX$4&lt;EDATE('APA Inputs'!$C$31,N('APA Inputs'!$D$31))),'APA Inputs'!$J$31,0)+IF(N('APA Inputs'!$H$31)&gt;0,IF(CX$4=EDATE('APA Inputs'!$C$31,'APA Inputs'!$H$31-1),N('APA Inputs'!$G$31),0),0))*IF('APA Inputs'!$I$31="",1,'APA Inputs'!$I$31))</f>
        <v>0</v>
      </c>
      <c r="CY16" s="409" t="n">
        <f aca="false">IF('APA Inputs'!$C$31="",0,(IF(AND(CY$4&gt;='APA Inputs'!$C$31,CY$4&lt;EDATE('APA Inputs'!$C$31,N('APA Inputs'!$D$31))),'APA Inputs'!$J$31,0)+IF(N('APA Inputs'!$H$31)&gt;0,IF(CY$4=EDATE('APA Inputs'!$C$31,'APA Inputs'!$H$31-1),N('APA Inputs'!$G$31),0),0))*IF('APA Inputs'!$I$31="",1,'APA Inputs'!$I$31))</f>
        <v>0</v>
      </c>
      <c r="CZ16" s="409" t="n">
        <f aca="false">IF('APA Inputs'!$C$31="",0,(IF(AND(CZ$4&gt;='APA Inputs'!$C$31,CZ$4&lt;EDATE('APA Inputs'!$C$31,N('APA Inputs'!$D$31))),'APA Inputs'!$J$31,0)+IF(N('APA Inputs'!$H$31)&gt;0,IF(CZ$4=EDATE('APA Inputs'!$C$31,'APA Inputs'!$H$31-1),N('APA Inputs'!$G$31),0),0))*IF('APA Inputs'!$I$31="",1,'APA Inputs'!$I$31))</f>
        <v>0</v>
      </c>
      <c r="DA16" s="409" t="n">
        <f aca="false">IF('APA Inputs'!$C$31="",0,(IF(AND(DA$4&gt;='APA Inputs'!$C$31,DA$4&lt;EDATE('APA Inputs'!$C$31,N('APA Inputs'!$D$31))),'APA Inputs'!$J$31,0)+IF(N('APA Inputs'!$H$31)&gt;0,IF(DA$4=EDATE('APA Inputs'!$C$31,'APA Inputs'!$H$31-1),N('APA Inputs'!$G$31),0),0))*IF('APA Inputs'!$I$31="",1,'APA Inputs'!$I$31))</f>
        <v>0</v>
      </c>
      <c r="DB16" s="409" t="n">
        <f aca="false">IF('APA Inputs'!$C$31="",0,(IF(AND(DB$4&gt;='APA Inputs'!$C$31,DB$4&lt;EDATE('APA Inputs'!$C$31,N('APA Inputs'!$D$31))),'APA Inputs'!$J$31,0)+IF(N('APA Inputs'!$H$31)&gt;0,IF(DB$4=EDATE('APA Inputs'!$C$31,'APA Inputs'!$H$31-1),N('APA Inputs'!$G$31),0),0))*IF('APA Inputs'!$I$31="",1,'APA Inputs'!$I$31))</f>
        <v>0</v>
      </c>
      <c r="DC16" s="409" t="n">
        <f aca="false">IF('APA Inputs'!$C$31="",0,(IF(AND(DC$4&gt;='APA Inputs'!$C$31,DC$4&lt;EDATE('APA Inputs'!$C$31,N('APA Inputs'!$D$31))),'APA Inputs'!$J$31,0)+IF(N('APA Inputs'!$H$31)&gt;0,IF(DC$4=EDATE('APA Inputs'!$C$31,'APA Inputs'!$H$31-1),N('APA Inputs'!$G$31),0),0))*IF('APA Inputs'!$I$31="",1,'APA Inputs'!$I$31))</f>
        <v>0</v>
      </c>
      <c r="DD16" s="409" t="n">
        <f aca="false">IF('APA Inputs'!$C$31="",0,(IF(AND(DD$4&gt;='APA Inputs'!$C$31,DD$4&lt;EDATE('APA Inputs'!$C$31,N('APA Inputs'!$D$31))),'APA Inputs'!$J$31,0)+IF(N('APA Inputs'!$H$31)&gt;0,IF(DD$4=EDATE('APA Inputs'!$C$31,'APA Inputs'!$H$31-1),N('APA Inputs'!$G$31),0),0))*IF('APA Inputs'!$I$31="",1,'APA Inputs'!$I$31))</f>
        <v>0</v>
      </c>
      <c r="DE16" s="409"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0" t="s">
        <v>1352</v>
      </c>
      <c r="B17" s="409" t="n">
        <f aca="false">SUM(B7:B16)</f>
        <v>0</v>
      </c>
      <c r="C17" s="409" t="n">
        <f aca="false">SUM(C7:C16)</f>
        <v>0</v>
      </c>
      <c r="D17" s="409" t="n">
        <f aca="false">SUM(D7:D16)</f>
        <v>0</v>
      </c>
      <c r="E17" s="409" t="n">
        <f aca="false">SUM(E7:E16)</f>
        <v>0</v>
      </c>
      <c r="F17" s="409" t="n">
        <f aca="false">SUM(F7:F16)</f>
        <v>0</v>
      </c>
      <c r="G17" s="409" t="n">
        <f aca="false">SUM(G7:G16)</f>
        <v>0</v>
      </c>
      <c r="H17" s="409" t="n">
        <f aca="false">SUM(H7:H16)</f>
        <v>10000</v>
      </c>
      <c r="I17" s="409" t="n">
        <f aca="false">SUM(I7:I16)</f>
        <v>14166.66</v>
      </c>
      <c r="J17" s="409" t="n">
        <f aca="false">SUM(J7:J16)</f>
        <v>17499.38</v>
      </c>
      <c r="K17" s="409" t="n">
        <f aca="false">SUM(K7:K16)</f>
        <v>17499.38</v>
      </c>
      <c r="L17" s="409" t="n">
        <f aca="false">SUM(L7:L16)</f>
        <v>17499.38</v>
      </c>
      <c r="M17" s="409" t="n">
        <f aca="false">SUM(M7:M16)</f>
        <v>17499.38</v>
      </c>
      <c r="N17" s="409" t="n">
        <f aca="false">SUM(N7:N16)</f>
        <v>17499.38</v>
      </c>
      <c r="O17" s="409" t="n">
        <f aca="false">SUM(O7:O16)</f>
        <v>17499.38</v>
      </c>
      <c r="P17" s="409" t="n">
        <f aca="false">SUM(P7:P16)</f>
        <v>17499.38</v>
      </c>
      <c r="Q17" s="409" t="n">
        <f aca="false">SUM(Q7:Q16)</f>
        <v>17499.38</v>
      </c>
      <c r="R17" s="409" t="n">
        <f aca="false">SUM(R7:R16)</f>
        <v>17499.38</v>
      </c>
      <c r="S17" s="409" t="n">
        <f aca="false">SUM(S7:S16)</f>
        <v>56388.2688888889</v>
      </c>
      <c r="T17" s="409" t="n">
        <f aca="false">SUM(T7:T16)</f>
        <v>82113.2688888889</v>
      </c>
      <c r="U17" s="409" t="n">
        <f aca="false">SUM(U7:U16)</f>
        <v>56388.2688888889</v>
      </c>
      <c r="V17" s="409" t="n">
        <f aca="false">SUM(V7:V16)</f>
        <v>53055.5488888889</v>
      </c>
      <c r="W17" s="409" t="n">
        <f aca="false">SUM(W7:W16)</f>
        <v>53055.5488888889</v>
      </c>
      <c r="X17" s="409" t="n">
        <f aca="false">SUM(X7:X16)</f>
        <v>53055.5488888889</v>
      </c>
      <c r="Y17" s="409" t="n">
        <f aca="false">SUM(Y7:Y16)</f>
        <v>53055.5488888889</v>
      </c>
      <c r="Z17" s="409" t="n">
        <f aca="false">SUM(Z7:Z16)</f>
        <v>53055.5488888889</v>
      </c>
      <c r="AA17" s="409" t="n">
        <f aca="false">SUM(AA7:AA16)</f>
        <v>53055.5488888889</v>
      </c>
      <c r="AB17" s="409" t="n">
        <f aca="false">SUM(AB7:AB16)</f>
        <v>53055.5488888889</v>
      </c>
      <c r="AC17" s="409" t="n">
        <f aca="false">SUM(AC7:AC16)</f>
        <v>53055.5488888889</v>
      </c>
      <c r="AD17" s="409" t="n">
        <f aca="false">SUM(AD7:AD16)</f>
        <v>53055.5488888889</v>
      </c>
      <c r="AE17" s="409" t="n">
        <f aca="false">SUM(AE7:AE16)</f>
        <v>53055.5488888889</v>
      </c>
      <c r="AF17" s="409" t="n">
        <f aca="false">SUM(AF7:AF16)</f>
        <v>43055.5488888889</v>
      </c>
      <c r="AG17" s="409" t="n">
        <f aca="false">SUM(AG7:AG16)</f>
        <v>38888.8888888889</v>
      </c>
      <c r="AH17" s="409" t="n">
        <f aca="false">SUM(AH7:AH16)</f>
        <v>38888.8888888889</v>
      </c>
      <c r="AI17" s="409" t="n">
        <f aca="false">SUM(AI7:AI16)</f>
        <v>38888.8888888889</v>
      </c>
      <c r="AJ17" s="409" t="n">
        <f aca="false">SUM(AJ7:AJ16)</f>
        <v>38888.8888888889</v>
      </c>
      <c r="AK17" s="409" t="n">
        <f aca="false">SUM(AK7:AK16)</f>
        <v>0</v>
      </c>
      <c r="AL17" s="409" t="n">
        <f aca="false">SUM(AL7:AL16)</f>
        <v>0</v>
      </c>
      <c r="AM17" s="409" t="n">
        <f aca="false">SUM(AM7:AM16)</f>
        <v>0</v>
      </c>
      <c r="AN17" s="409" t="n">
        <f aca="false">SUM(AN7:AN16)</f>
        <v>0</v>
      </c>
      <c r="AO17" s="409" t="n">
        <f aca="false">SUM(AO7:AO16)</f>
        <v>0</v>
      </c>
      <c r="AP17" s="409" t="n">
        <f aca="false">SUM(AP7:AP16)</f>
        <v>0</v>
      </c>
      <c r="AQ17" s="409" t="n">
        <f aca="false">SUM(AQ7:AQ16)</f>
        <v>0</v>
      </c>
      <c r="AR17" s="409" t="n">
        <f aca="false">SUM(AR7:AR16)</f>
        <v>0</v>
      </c>
      <c r="AS17" s="409" t="n">
        <f aca="false">SUM(AS7:AS16)</f>
        <v>0</v>
      </c>
      <c r="AT17" s="409" t="n">
        <f aca="false">SUM(AT7:AT16)</f>
        <v>0</v>
      </c>
      <c r="AU17" s="409" t="n">
        <f aca="false">SUM(AU7:AU16)</f>
        <v>0</v>
      </c>
      <c r="AV17" s="409" t="n">
        <f aca="false">SUM(AV7:AV16)</f>
        <v>0</v>
      </c>
      <c r="AW17" s="409" t="n">
        <f aca="false">SUM(AW7:AW16)</f>
        <v>0</v>
      </c>
      <c r="AX17" s="409" t="n">
        <f aca="false">SUM(AX7:AX16)</f>
        <v>0</v>
      </c>
      <c r="AY17" s="409" t="n">
        <f aca="false">SUM(AY7:AY16)</f>
        <v>0</v>
      </c>
      <c r="AZ17" s="409" t="n">
        <f aca="false">SUM(AZ7:AZ16)</f>
        <v>0</v>
      </c>
      <c r="BA17" s="409" t="n">
        <f aca="false">SUM(BA7:BA16)</f>
        <v>0</v>
      </c>
      <c r="BB17" s="409" t="n">
        <f aca="false">SUM(BB7:BB16)</f>
        <v>0</v>
      </c>
      <c r="BC17" s="409" t="n">
        <f aca="false">SUM(BC7:BC16)</f>
        <v>0</v>
      </c>
      <c r="BD17" s="409" t="n">
        <f aca="false">SUM(BD7:BD16)</f>
        <v>0</v>
      </c>
      <c r="BE17" s="409" t="n">
        <f aca="false">SUM(BE7:BE16)</f>
        <v>0</v>
      </c>
      <c r="BF17" s="409" t="n">
        <f aca="false">SUM(BF7:BF16)</f>
        <v>0</v>
      </c>
      <c r="BG17" s="409" t="n">
        <f aca="false">SUM(BG7:BG16)</f>
        <v>0</v>
      </c>
      <c r="BH17" s="409" t="n">
        <f aca="false">SUM(BH7:BH16)</f>
        <v>0</v>
      </c>
      <c r="BI17" s="409" t="n">
        <f aca="false">SUM(BI7:BI16)</f>
        <v>0</v>
      </c>
      <c r="BJ17" s="409" t="n">
        <f aca="false">SUM(BJ7:BJ16)</f>
        <v>0</v>
      </c>
      <c r="BK17" s="409" t="n">
        <f aca="false">SUM(BK7:BK16)</f>
        <v>0</v>
      </c>
      <c r="BL17" s="409" t="n">
        <f aca="false">SUM(BL7:BL16)</f>
        <v>0</v>
      </c>
      <c r="BM17" s="409" t="n">
        <f aca="false">SUM(BM7:BM16)</f>
        <v>0</v>
      </c>
      <c r="BN17" s="409" t="n">
        <f aca="false">SUM(BN7:BN16)</f>
        <v>0</v>
      </c>
      <c r="BO17" s="409" t="n">
        <f aca="false">SUM(BO7:BO16)</f>
        <v>0</v>
      </c>
      <c r="BP17" s="409" t="n">
        <f aca="false">SUM(BP7:BP16)</f>
        <v>0</v>
      </c>
      <c r="BQ17" s="409" t="n">
        <f aca="false">SUM(BQ7:BQ16)</f>
        <v>0</v>
      </c>
      <c r="BR17" s="409" t="n">
        <f aca="false">SUM(BR7:BR16)</f>
        <v>0</v>
      </c>
      <c r="BS17" s="409" t="n">
        <f aca="false">SUM(BS7:BS16)</f>
        <v>0</v>
      </c>
      <c r="BT17" s="409" t="n">
        <f aca="false">SUM(BT7:BT16)</f>
        <v>0</v>
      </c>
      <c r="BU17" s="409" t="n">
        <f aca="false">SUM(BU7:BU16)</f>
        <v>0</v>
      </c>
      <c r="BV17" s="409" t="n">
        <f aca="false">SUM(BV7:BV16)</f>
        <v>0</v>
      </c>
      <c r="BW17" s="409" t="n">
        <f aca="false">SUM(BW7:BW16)</f>
        <v>0</v>
      </c>
      <c r="BX17" s="409" t="n">
        <f aca="false">SUM(BX7:BX16)</f>
        <v>0</v>
      </c>
      <c r="BY17" s="409" t="n">
        <f aca="false">SUM(BY7:BY16)</f>
        <v>0</v>
      </c>
      <c r="BZ17" s="409" t="n">
        <f aca="false">SUM(BZ7:BZ16)</f>
        <v>0</v>
      </c>
      <c r="CA17" s="409" t="n">
        <f aca="false">SUM(CA7:CA16)</f>
        <v>0</v>
      </c>
      <c r="CB17" s="409" t="n">
        <f aca="false">SUM(CB7:CB16)</f>
        <v>0</v>
      </c>
      <c r="CC17" s="409" t="n">
        <f aca="false">SUM(CC7:CC16)</f>
        <v>0</v>
      </c>
      <c r="CD17" s="409" t="n">
        <f aca="false">SUM(CD7:CD16)</f>
        <v>0</v>
      </c>
      <c r="CE17" s="409" t="n">
        <f aca="false">SUM(CE7:CE16)</f>
        <v>0</v>
      </c>
      <c r="CF17" s="409" t="n">
        <f aca="false">SUM(CF7:CF16)</f>
        <v>0</v>
      </c>
      <c r="CG17" s="409" t="n">
        <f aca="false">SUM(CG7:CG16)</f>
        <v>0</v>
      </c>
      <c r="CH17" s="409" t="n">
        <f aca="false">SUM(CH7:CH16)</f>
        <v>0</v>
      </c>
      <c r="CI17" s="409" t="n">
        <f aca="false">SUM(CI7:CI16)</f>
        <v>0</v>
      </c>
      <c r="CJ17" s="409" t="n">
        <f aca="false">SUM(CJ7:CJ16)</f>
        <v>0</v>
      </c>
      <c r="CK17" s="409" t="n">
        <f aca="false">SUM(CK7:CK16)</f>
        <v>0</v>
      </c>
      <c r="CL17" s="409" t="n">
        <f aca="false">SUM(CL7:CL16)</f>
        <v>0</v>
      </c>
      <c r="CM17" s="409" t="n">
        <f aca="false">SUM(CM7:CM16)</f>
        <v>0</v>
      </c>
      <c r="CN17" s="409" t="n">
        <f aca="false">SUM(CN7:CN16)</f>
        <v>0</v>
      </c>
      <c r="CO17" s="409" t="n">
        <f aca="false">SUM(CO7:CO16)</f>
        <v>0</v>
      </c>
      <c r="CP17" s="409" t="n">
        <f aca="false">SUM(CP7:CP16)</f>
        <v>0</v>
      </c>
      <c r="CQ17" s="409" t="n">
        <f aca="false">SUM(CQ7:CQ16)</f>
        <v>0</v>
      </c>
      <c r="CR17" s="409" t="n">
        <f aca="false">SUM(CR7:CR16)</f>
        <v>0</v>
      </c>
      <c r="CS17" s="409" t="n">
        <f aca="false">SUM(CS7:CS16)</f>
        <v>0</v>
      </c>
      <c r="CT17" s="409" t="n">
        <f aca="false">SUM(CT7:CT16)</f>
        <v>0</v>
      </c>
      <c r="CU17" s="409" t="n">
        <f aca="false">SUM(CU7:CU16)</f>
        <v>0</v>
      </c>
      <c r="CV17" s="409" t="n">
        <f aca="false">SUM(CV7:CV16)</f>
        <v>0</v>
      </c>
      <c r="CW17" s="409" t="n">
        <f aca="false">SUM(CW7:CW16)</f>
        <v>0</v>
      </c>
      <c r="CX17" s="409" t="n">
        <f aca="false">SUM(CX7:CX16)</f>
        <v>0</v>
      </c>
      <c r="CY17" s="409" t="n">
        <f aca="false">SUM(CY7:CY16)</f>
        <v>0</v>
      </c>
      <c r="CZ17" s="409" t="n">
        <f aca="false">SUM(CZ7:CZ16)</f>
        <v>0</v>
      </c>
      <c r="DA17" s="409" t="n">
        <f aca="false">SUM(DA7:DA16)</f>
        <v>0</v>
      </c>
      <c r="DB17" s="409" t="n">
        <f aca="false">SUM(DB7:DB16)</f>
        <v>0</v>
      </c>
      <c r="DC17" s="409" t="n">
        <f aca="false">SUM(DC7:DC16)</f>
        <v>0</v>
      </c>
      <c r="DD17" s="409" t="n">
        <f aca="false">SUM(DD7:DD16)</f>
        <v>0</v>
      </c>
      <c r="DE17" s="409" t="n">
        <f aca="false">SUM(DE7:DE16)</f>
        <v>0</v>
      </c>
    </row>
    <row r="19" customFormat="false" ht="15" hidden="false" customHeight="true" outlineLevel="0" collapsed="false">
      <c r="A19" s="386" t="s">
        <v>1353</v>
      </c>
    </row>
    <row r="20" customFormat="false" ht="15" hidden="false" customHeight="true" outlineLevel="0" collapsed="false">
      <c r="A20" s="1" t="s">
        <v>1354</v>
      </c>
      <c r="B20" s="409" t="n">
        <f aca="false">IF(B$4&gt;='APA Inputs'!$B$6,INDEX('APA Summary'!$B$32:$J$32,B$5-2025)/INDEX('APA Summary'!$B$22:$J$22,B$5-2025),0)</f>
        <v>0</v>
      </c>
      <c r="C20" s="409" t="n">
        <f aca="false">IF(C$4&gt;='APA Inputs'!$B$6,INDEX('APA Summary'!$B$32:$J$32,C$5-2025)/INDEX('APA Summary'!$B$22:$J$22,C$5-2025),0)</f>
        <v>0</v>
      </c>
      <c r="D20" s="409" t="n">
        <f aca="false">IF(D$4&gt;='APA Inputs'!$B$6,INDEX('APA Summary'!$B$32:$J$32,D$5-2025)/INDEX('APA Summary'!$B$22:$J$22,D$5-2025),0)</f>
        <v>0</v>
      </c>
      <c r="E20" s="409" t="n">
        <f aca="false">IF(E$4&gt;='APA Inputs'!$B$6,INDEX('APA Summary'!$B$32:$J$32,E$5-2025)/INDEX('APA Summary'!$B$22:$J$22,E$5-2025),0)</f>
        <v>0</v>
      </c>
      <c r="F20" s="409" t="n">
        <f aca="false">IF(F$4&gt;='APA Inputs'!$B$6,INDEX('APA Summary'!$B$32:$J$32,F$5-2025)/INDEX('APA Summary'!$B$22:$J$22,F$5-2025),0)</f>
        <v>0</v>
      </c>
      <c r="G20" s="409" t="n">
        <f aca="false">IF(G$4&gt;='APA Inputs'!$B$6,INDEX('APA Summary'!$B$32:$J$32,G$5-2025)/INDEX('APA Summary'!$B$22:$J$22,G$5-2025),0)</f>
        <v>0</v>
      </c>
      <c r="H20" s="409" t="n">
        <f aca="false">IF(H$4&gt;='APA Inputs'!$B$6,INDEX('APA Summary'!$B$32:$J$32,H$5-2025)/INDEX('APA Summary'!$B$22:$J$22,H$5-2025),0)</f>
        <v>319.937883333334</v>
      </c>
      <c r="I20" s="409" t="n">
        <f aca="false">IF(I$4&gt;='APA Inputs'!$B$6,INDEX('APA Summary'!$B$32:$J$32,I$5-2025)/INDEX('APA Summary'!$B$22:$J$22,I$5-2025),0)</f>
        <v>319.937883333334</v>
      </c>
      <c r="J20" s="409" t="n">
        <f aca="false">IF(J$4&gt;='APA Inputs'!$B$6,INDEX('APA Summary'!$B$32:$J$32,J$5-2025)/INDEX('APA Summary'!$B$22:$J$22,J$5-2025),0)</f>
        <v>319.937883333334</v>
      </c>
      <c r="K20" s="409" t="n">
        <f aca="false">IF(K$4&gt;='APA Inputs'!$B$6,INDEX('APA Summary'!$B$32:$J$32,K$5-2025)/INDEX('APA Summary'!$B$22:$J$22,K$5-2025),0)</f>
        <v>319.937883333334</v>
      </c>
      <c r="L20" s="409" t="n">
        <f aca="false">IF(L$4&gt;='APA Inputs'!$B$6,INDEX('APA Summary'!$B$32:$J$32,L$5-2025)/INDEX('APA Summary'!$B$22:$J$22,L$5-2025),0)</f>
        <v>319.937883333334</v>
      </c>
      <c r="M20" s="409" t="n">
        <f aca="false">IF(M$4&gt;='APA Inputs'!$B$6,INDEX('APA Summary'!$B$32:$J$32,M$5-2025)/INDEX('APA Summary'!$B$22:$J$22,M$5-2025),0)</f>
        <v>319.937883333334</v>
      </c>
      <c r="N20" s="409" t="n">
        <f aca="false">IF(N$4&gt;='APA Inputs'!$B$6,INDEX('APA Summary'!$B$32:$J$32,N$5-2025)/INDEX('APA Summary'!$B$22:$J$22,N$5-2025),0)</f>
        <v>10875.8597981481</v>
      </c>
      <c r="O20" s="409" t="n">
        <f aca="false">IF(O$4&gt;='APA Inputs'!$B$6,INDEX('APA Summary'!$B$32:$J$32,O$5-2025)/INDEX('APA Summary'!$B$22:$J$22,O$5-2025),0)</f>
        <v>10875.8597981481</v>
      </c>
      <c r="P20" s="409" t="n">
        <f aca="false">IF(P$4&gt;='APA Inputs'!$B$6,INDEX('APA Summary'!$B$32:$J$32,P$5-2025)/INDEX('APA Summary'!$B$22:$J$22,P$5-2025),0)</f>
        <v>10875.8597981481</v>
      </c>
      <c r="Q20" s="409" t="n">
        <f aca="false">IF(Q$4&gt;='APA Inputs'!$B$6,INDEX('APA Summary'!$B$32:$J$32,Q$5-2025)/INDEX('APA Summary'!$B$22:$J$22,Q$5-2025),0)</f>
        <v>10875.8597981481</v>
      </c>
      <c r="R20" s="409" t="n">
        <f aca="false">IF(R$4&gt;='APA Inputs'!$B$6,INDEX('APA Summary'!$B$32:$J$32,R$5-2025)/INDEX('APA Summary'!$B$22:$J$22,R$5-2025),0)</f>
        <v>10875.8597981481</v>
      </c>
      <c r="S20" s="409" t="n">
        <f aca="false">IF(S$4&gt;='APA Inputs'!$B$6,INDEX('APA Summary'!$B$32:$J$32,S$5-2025)/INDEX('APA Summary'!$B$22:$J$22,S$5-2025),0)</f>
        <v>10875.8597981481</v>
      </c>
      <c r="T20" s="409" t="n">
        <f aca="false">IF(T$4&gt;='APA Inputs'!$B$6,INDEX('APA Summary'!$B$32:$J$32,T$5-2025)/INDEX('APA Summary'!$B$22:$J$22,T$5-2025),0)</f>
        <v>10875.8597981481</v>
      </c>
      <c r="U20" s="409" t="n">
        <f aca="false">IF(U$4&gt;='APA Inputs'!$B$6,INDEX('APA Summary'!$B$32:$J$32,U$5-2025)/INDEX('APA Summary'!$B$22:$J$22,U$5-2025),0)</f>
        <v>10875.8597981481</v>
      </c>
      <c r="V20" s="409" t="n">
        <f aca="false">IF(V$4&gt;='APA Inputs'!$B$6,INDEX('APA Summary'!$B$32:$J$32,V$5-2025)/INDEX('APA Summary'!$B$22:$J$22,V$5-2025),0)</f>
        <v>10875.8597981481</v>
      </c>
      <c r="W20" s="409" t="n">
        <f aca="false">IF(W$4&gt;='APA Inputs'!$B$6,INDEX('APA Summary'!$B$32:$J$32,W$5-2025)/INDEX('APA Summary'!$B$22:$J$22,W$5-2025),0)</f>
        <v>10875.8597981481</v>
      </c>
      <c r="X20" s="409" t="n">
        <f aca="false">IF(X$4&gt;='APA Inputs'!$B$6,INDEX('APA Summary'!$B$32:$J$32,X$5-2025)/INDEX('APA Summary'!$B$22:$J$22,X$5-2025),0)</f>
        <v>10875.8597981481</v>
      </c>
      <c r="Y20" s="409" t="n">
        <f aca="false">IF(Y$4&gt;='APA Inputs'!$B$6,INDEX('APA Summary'!$B$32:$J$32,Y$5-2025)/INDEX('APA Summary'!$B$22:$J$22,Y$5-2025),0)</f>
        <v>10875.8597981481</v>
      </c>
      <c r="Z20" s="409" t="n">
        <f aca="false">IF(Z$4&gt;='APA Inputs'!$B$6,INDEX('APA Summary'!$B$32:$J$32,Z$5-2025)/INDEX('APA Summary'!$B$22:$J$22,Z$5-2025),0)</f>
        <v>10445.2527435185</v>
      </c>
      <c r="AA20" s="409" t="n">
        <f aca="false">IF(AA$4&gt;='APA Inputs'!$B$6,INDEX('APA Summary'!$B$32:$J$32,AA$5-2025)/INDEX('APA Summary'!$B$22:$J$22,AA$5-2025),0)</f>
        <v>10445.2527435185</v>
      </c>
      <c r="AB20" s="409" t="n">
        <f aca="false">IF(AB$4&gt;='APA Inputs'!$B$6,INDEX('APA Summary'!$B$32:$J$32,AB$5-2025)/INDEX('APA Summary'!$B$22:$J$22,AB$5-2025),0)</f>
        <v>10445.2527435185</v>
      </c>
      <c r="AC20" s="409" t="n">
        <f aca="false">IF(AC$4&gt;='APA Inputs'!$B$6,INDEX('APA Summary'!$B$32:$J$32,AC$5-2025)/INDEX('APA Summary'!$B$22:$J$22,AC$5-2025),0)</f>
        <v>10445.2527435185</v>
      </c>
      <c r="AD20" s="409" t="n">
        <f aca="false">IF(AD$4&gt;='APA Inputs'!$B$6,INDEX('APA Summary'!$B$32:$J$32,AD$5-2025)/INDEX('APA Summary'!$B$22:$J$22,AD$5-2025),0)</f>
        <v>10445.2527435185</v>
      </c>
      <c r="AE20" s="409" t="n">
        <f aca="false">IF(AE$4&gt;='APA Inputs'!$B$6,INDEX('APA Summary'!$B$32:$J$32,AE$5-2025)/INDEX('APA Summary'!$B$22:$J$22,AE$5-2025),0)</f>
        <v>10445.2527435185</v>
      </c>
      <c r="AF20" s="409" t="n">
        <f aca="false">IF(AF$4&gt;='APA Inputs'!$B$6,INDEX('APA Summary'!$B$32:$J$32,AF$5-2025)/INDEX('APA Summary'!$B$22:$J$22,AF$5-2025),0)</f>
        <v>10445.2527435185</v>
      </c>
      <c r="AG20" s="409" t="n">
        <f aca="false">IF(AG$4&gt;='APA Inputs'!$B$6,INDEX('APA Summary'!$B$32:$J$32,AG$5-2025)/INDEX('APA Summary'!$B$22:$J$22,AG$5-2025),0)</f>
        <v>10445.2527435185</v>
      </c>
      <c r="AH20" s="409" t="n">
        <f aca="false">IF(AH$4&gt;='APA Inputs'!$B$6,INDEX('APA Summary'!$B$32:$J$32,AH$5-2025)/INDEX('APA Summary'!$B$22:$J$22,AH$5-2025),0)</f>
        <v>10445.2527435185</v>
      </c>
      <c r="AI20" s="409" t="n">
        <f aca="false">IF(AI$4&gt;='APA Inputs'!$B$6,INDEX('APA Summary'!$B$32:$J$32,AI$5-2025)/INDEX('APA Summary'!$B$22:$J$22,AI$5-2025),0)</f>
        <v>10445.2527435185</v>
      </c>
      <c r="AJ20" s="409" t="n">
        <f aca="false">IF(AJ$4&gt;='APA Inputs'!$B$6,INDEX('APA Summary'!$B$32:$J$32,AJ$5-2025)/INDEX('APA Summary'!$B$22:$J$22,AJ$5-2025),0)</f>
        <v>10445.2527435185</v>
      </c>
      <c r="AK20" s="409" t="n">
        <f aca="false">IF(AK$4&gt;='APA Inputs'!$B$6,INDEX('APA Summary'!$B$32:$J$32,AK$5-2025)/INDEX('APA Summary'!$B$22:$J$22,AK$5-2025),0)</f>
        <v>10445.2527435185</v>
      </c>
      <c r="AL20" s="409" t="n">
        <f aca="false">IF(AL$4&gt;='APA Inputs'!$B$6,INDEX('APA Summary'!$B$32:$J$32,AL$5-2025)/INDEX('APA Summary'!$B$22:$J$22,AL$5-2025),0)</f>
        <v>0</v>
      </c>
      <c r="AM20" s="409" t="n">
        <f aca="false">IF(AM$4&gt;='APA Inputs'!$B$6,INDEX('APA Summary'!$B$32:$J$32,AM$5-2025)/INDEX('APA Summary'!$B$22:$J$22,AM$5-2025),0)</f>
        <v>0</v>
      </c>
      <c r="AN20" s="409" t="n">
        <f aca="false">IF(AN$4&gt;='APA Inputs'!$B$6,INDEX('APA Summary'!$B$32:$J$32,AN$5-2025)/INDEX('APA Summary'!$B$22:$J$22,AN$5-2025),0)</f>
        <v>0</v>
      </c>
      <c r="AO20" s="409" t="n">
        <f aca="false">IF(AO$4&gt;='APA Inputs'!$B$6,INDEX('APA Summary'!$B$32:$J$32,AO$5-2025)/INDEX('APA Summary'!$B$22:$J$22,AO$5-2025),0)</f>
        <v>0</v>
      </c>
      <c r="AP20" s="409" t="n">
        <f aca="false">IF(AP$4&gt;='APA Inputs'!$B$6,INDEX('APA Summary'!$B$32:$J$32,AP$5-2025)/INDEX('APA Summary'!$B$22:$J$22,AP$5-2025),0)</f>
        <v>0</v>
      </c>
      <c r="AQ20" s="409" t="n">
        <f aca="false">IF(AQ$4&gt;='APA Inputs'!$B$6,INDEX('APA Summary'!$B$32:$J$32,AQ$5-2025)/INDEX('APA Summary'!$B$22:$J$22,AQ$5-2025),0)</f>
        <v>0</v>
      </c>
      <c r="AR20" s="409" t="n">
        <f aca="false">IF(AR$4&gt;='APA Inputs'!$B$6,INDEX('APA Summary'!$B$32:$J$32,AR$5-2025)/INDEX('APA Summary'!$B$22:$J$22,AR$5-2025),0)</f>
        <v>0</v>
      </c>
      <c r="AS20" s="409" t="n">
        <f aca="false">IF(AS$4&gt;='APA Inputs'!$B$6,INDEX('APA Summary'!$B$32:$J$32,AS$5-2025)/INDEX('APA Summary'!$B$22:$J$22,AS$5-2025),0)</f>
        <v>0</v>
      </c>
      <c r="AT20" s="409" t="n">
        <f aca="false">IF(AT$4&gt;='APA Inputs'!$B$6,INDEX('APA Summary'!$B$32:$J$32,AT$5-2025)/INDEX('APA Summary'!$B$22:$J$22,AT$5-2025),0)</f>
        <v>0</v>
      </c>
      <c r="AU20" s="409" t="n">
        <f aca="false">IF(AU$4&gt;='APA Inputs'!$B$6,INDEX('APA Summary'!$B$32:$J$32,AU$5-2025)/INDEX('APA Summary'!$B$22:$J$22,AU$5-2025),0)</f>
        <v>0</v>
      </c>
      <c r="AV20" s="409" t="n">
        <f aca="false">IF(AV$4&gt;='APA Inputs'!$B$6,INDEX('APA Summary'!$B$32:$J$32,AV$5-2025)/INDEX('APA Summary'!$B$22:$J$22,AV$5-2025),0)</f>
        <v>0</v>
      </c>
      <c r="AW20" s="409" t="n">
        <f aca="false">IF(AW$4&gt;='APA Inputs'!$B$6,INDEX('APA Summary'!$B$32:$J$32,AW$5-2025)/INDEX('APA Summary'!$B$22:$J$22,AW$5-2025),0)</f>
        <v>0</v>
      </c>
      <c r="AX20" s="409" t="n">
        <f aca="false">IF(AX$4&gt;='APA Inputs'!$B$6,INDEX('APA Summary'!$B$32:$J$32,AX$5-2025)/INDEX('APA Summary'!$B$22:$J$22,AX$5-2025),0)</f>
        <v>0</v>
      </c>
      <c r="AY20" s="409" t="n">
        <f aca="false">IF(AY$4&gt;='APA Inputs'!$B$6,INDEX('APA Summary'!$B$32:$J$32,AY$5-2025)/INDEX('APA Summary'!$B$22:$J$22,AY$5-2025),0)</f>
        <v>0</v>
      </c>
      <c r="AZ20" s="409" t="n">
        <f aca="false">IF(AZ$4&gt;='APA Inputs'!$B$6,INDEX('APA Summary'!$B$32:$J$32,AZ$5-2025)/INDEX('APA Summary'!$B$22:$J$22,AZ$5-2025),0)</f>
        <v>0</v>
      </c>
      <c r="BA20" s="409" t="n">
        <f aca="false">IF(BA$4&gt;='APA Inputs'!$B$6,INDEX('APA Summary'!$B$32:$J$32,BA$5-2025)/INDEX('APA Summary'!$B$22:$J$22,BA$5-2025),0)</f>
        <v>0</v>
      </c>
      <c r="BB20" s="409" t="n">
        <f aca="false">IF(BB$4&gt;='APA Inputs'!$B$6,INDEX('APA Summary'!$B$32:$J$32,BB$5-2025)/INDEX('APA Summary'!$B$22:$J$22,BB$5-2025),0)</f>
        <v>0</v>
      </c>
      <c r="BC20" s="409" t="n">
        <f aca="false">IF(BC$4&gt;='APA Inputs'!$B$6,INDEX('APA Summary'!$B$32:$J$32,BC$5-2025)/INDEX('APA Summary'!$B$22:$J$22,BC$5-2025),0)</f>
        <v>0</v>
      </c>
      <c r="BD20" s="409" t="n">
        <f aca="false">IF(BD$4&gt;='APA Inputs'!$B$6,INDEX('APA Summary'!$B$32:$J$32,BD$5-2025)/INDEX('APA Summary'!$B$22:$J$22,BD$5-2025),0)</f>
        <v>0</v>
      </c>
      <c r="BE20" s="409" t="n">
        <f aca="false">IF(BE$4&gt;='APA Inputs'!$B$6,INDEX('APA Summary'!$B$32:$J$32,BE$5-2025)/INDEX('APA Summary'!$B$22:$J$22,BE$5-2025),0)</f>
        <v>0</v>
      </c>
      <c r="BF20" s="409" t="n">
        <f aca="false">IF(BF$4&gt;='APA Inputs'!$B$6,INDEX('APA Summary'!$B$32:$J$32,BF$5-2025)/INDEX('APA Summary'!$B$22:$J$22,BF$5-2025),0)</f>
        <v>0</v>
      </c>
      <c r="BG20" s="409" t="n">
        <f aca="false">IF(BG$4&gt;='APA Inputs'!$B$6,INDEX('APA Summary'!$B$32:$J$32,BG$5-2025)/INDEX('APA Summary'!$B$22:$J$22,BG$5-2025),0)</f>
        <v>0</v>
      </c>
      <c r="BH20" s="409" t="n">
        <f aca="false">IF(BH$4&gt;='APA Inputs'!$B$6,INDEX('APA Summary'!$B$32:$J$32,BH$5-2025)/INDEX('APA Summary'!$B$22:$J$22,BH$5-2025),0)</f>
        <v>0</v>
      </c>
      <c r="BI20" s="409" t="n">
        <f aca="false">IF(BI$4&gt;='APA Inputs'!$B$6,INDEX('APA Summary'!$B$32:$J$32,BI$5-2025)/INDEX('APA Summary'!$B$22:$J$22,BI$5-2025),0)</f>
        <v>0</v>
      </c>
      <c r="BJ20" s="409" t="n">
        <f aca="false">IF(BJ$4&gt;='APA Inputs'!$B$6,INDEX('APA Summary'!$B$32:$J$32,BJ$5-2025)/INDEX('APA Summary'!$B$22:$J$22,BJ$5-2025),0)</f>
        <v>0</v>
      </c>
      <c r="BK20" s="409" t="n">
        <f aca="false">IF(BK$4&gt;='APA Inputs'!$B$6,INDEX('APA Summary'!$B$32:$J$32,BK$5-2025)/INDEX('APA Summary'!$B$22:$J$22,BK$5-2025),0)</f>
        <v>0</v>
      </c>
      <c r="BL20" s="409" t="n">
        <f aca="false">IF(BL$4&gt;='APA Inputs'!$B$6,INDEX('APA Summary'!$B$32:$J$32,BL$5-2025)/INDEX('APA Summary'!$B$22:$J$22,BL$5-2025),0)</f>
        <v>0</v>
      </c>
      <c r="BM20" s="409" t="n">
        <f aca="false">IF(BM$4&gt;='APA Inputs'!$B$6,INDEX('APA Summary'!$B$32:$J$32,BM$5-2025)/INDEX('APA Summary'!$B$22:$J$22,BM$5-2025),0)</f>
        <v>0</v>
      </c>
      <c r="BN20" s="409" t="n">
        <f aca="false">IF(BN$4&gt;='APA Inputs'!$B$6,INDEX('APA Summary'!$B$32:$J$32,BN$5-2025)/INDEX('APA Summary'!$B$22:$J$22,BN$5-2025),0)</f>
        <v>0</v>
      </c>
      <c r="BO20" s="409" t="n">
        <f aca="false">IF(BO$4&gt;='APA Inputs'!$B$6,INDEX('APA Summary'!$B$32:$J$32,BO$5-2025)/INDEX('APA Summary'!$B$22:$J$22,BO$5-2025),0)</f>
        <v>0</v>
      </c>
      <c r="BP20" s="409" t="n">
        <f aca="false">IF(BP$4&gt;='APA Inputs'!$B$6,INDEX('APA Summary'!$B$32:$J$32,BP$5-2025)/INDEX('APA Summary'!$B$22:$J$22,BP$5-2025),0)</f>
        <v>0</v>
      </c>
      <c r="BQ20" s="409" t="n">
        <f aca="false">IF(BQ$4&gt;='APA Inputs'!$B$6,INDEX('APA Summary'!$B$32:$J$32,BQ$5-2025)/INDEX('APA Summary'!$B$22:$J$22,BQ$5-2025),0)</f>
        <v>0</v>
      </c>
      <c r="BR20" s="409" t="n">
        <f aca="false">IF(BR$4&gt;='APA Inputs'!$B$6,INDEX('APA Summary'!$B$32:$J$32,BR$5-2025)/INDEX('APA Summary'!$B$22:$J$22,BR$5-2025),0)</f>
        <v>0</v>
      </c>
      <c r="BS20" s="409" t="n">
        <f aca="false">IF(BS$4&gt;='APA Inputs'!$B$6,INDEX('APA Summary'!$B$32:$J$32,BS$5-2025)/INDEX('APA Summary'!$B$22:$J$22,BS$5-2025),0)</f>
        <v>0</v>
      </c>
      <c r="BT20" s="409" t="n">
        <f aca="false">IF(BT$4&gt;='APA Inputs'!$B$6,INDEX('APA Summary'!$B$32:$J$32,BT$5-2025)/INDEX('APA Summary'!$B$22:$J$22,BT$5-2025),0)</f>
        <v>0</v>
      </c>
      <c r="BU20" s="409" t="n">
        <f aca="false">IF(BU$4&gt;='APA Inputs'!$B$6,INDEX('APA Summary'!$B$32:$J$32,BU$5-2025)/INDEX('APA Summary'!$B$22:$J$22,BU$5-2025),0)</f>
        <v>0</v>
      </c>
      <c r="BV20" s="409" t="n">
        <f aca="false">IF(BV$4&gt;='APA Inputs'!$B$6,INDEX('APA Summary'!$B$32:$J$32,BV$5-2025)/INDEX('APA Summary'!$B$22:$J$22,BV$5-2025),0)</f>
        <v>0</v>
      </c>
      <c r="BW20" s="409" t="n">
        <f aca="false">IF(BW$4&gt;='APA Inputs'!$B$6,INDEX('APA Summary'!$B$32:$J$32,BW$5-2025)/INDEX('APA Summary'!$B$22:$J$22,BW$5-2025),0)</f>
        <v>0</v>
      </c>
      <c r="BX20" s="409" t="n">
        <f aca="false">IF(BX$4&gt;='APA Inputs'!$B$6,INDEX('APA Summary'!$B$32:$J$32,BX$5-2025)/INDEX('APA Summary'!$B$22:$J$22,BX$5-2025),0)</f>
        <v>0</v>
      </c>
      <c r="BY20" s="409" t="n">
        <f aca="false">IF(BY$4&gt;='APA Inputs'!$B$6,INDEX('APA Summary'!$B$32:$J$32,BY$5-2025)/INDEX('APA Summary'!$B$22:$J$22,BY$5-2025),0)</f>
        <v>0</v>
      </c>
      <c r="BZ20" s="409" t="n">
        <f aca="false">IF(BZ$4&gt;='APA Inputs'!$B$6,INDEX('APA Summary'!$B$32:$J$32,BZ$5-2025)/INDEX('APA Summary'!$B$22:$J$22,BZ$5-2025),0)</f>
        <v>0</v>
      </c>
      <c r="CA20" s="409" t="n">
        <f aca="false">IF(CA$4&gt;='APA Inputs'!$B$6,INDEX('APA Summary'!$B$32:$J$32,CA$5-2025)/INDEX('APA Summary'!$B$22:$J$22,CA$5-2025),0)</f>
        <v>0</v>
      </c>
      <c r="CB20" s="409" t="n">
        <f aca="false">IF(CB$4&gt;='APA Inputs'!$B$6,INDEX('APA Summary'!$B$32:$J$32,CB$5-2025)/INDEX('APA Summary'!$B$22:$J$22,CB$5-2025),0)</f>
        <v>0</v>
      </c>
      <c r="CC20" s="409" t="n">
        <f aca="false">IF(CC$4&gt;='APA Inputs'!$B$6,INDEX('APA Summary'!$B$32:$J$32,CC$5-2025)/INDEX('APA Summary'!$B$22:$J$22,CC$5-2025),0)</f>
        <v>0</v>
      </c>
      <c r="CD20" s="409" t="n">
        <f aca="false">IF(CD$4&gt;='APA Inputs'!$B$6,INDEX('APA Summary'!$B$32:$J$32,CD$5-2025)/INDEX('APA Summary'!$B$22:$J$22,CD$5-2025),0)</f>
        <v>0</v>
      </c>
      <c r="CE20" s="409" t="n">
        <f aca="false">IF(CE$4&gt;='APA Inputs'!$B$6,INDEX('APA Summary'!$B$32:$J$32,CE$5-2025)/INDEX('APA Summary'!$B$22:$J$22,CE$5-2025),0)</f>
        <v>0</v>
      </c>
      <c r="CF20" s="409" t="n">
        <f aca="false">IF(CF$4&gt;='APA Inputs'!$B$6,INDEX('APA Summary'!$B$32:$J$32,CF$5-2025)/INDEX('APA Summary'!$B$22:$J$22,CF$5-2025),0)</f>
        <v>0</v>
      </c>
      <c r="CG20" s="409" t="n">
        <f aca="false">IF(CG$4&gt;='APA Inputs'!$B$6,INDEX('APA Summary'!$B$32:$J$32,CG$5-2025)/INDEX('APA Summary'!$B$22:$J$22,CG$5-2025),0)</f>
        <v>0</v>
      </c>
      <c r="CH20" s="409" t="n">
        <f aca="false">IF(CH$4&gt;='APA Inputs'!$B$6,INDEX('APA Summary'!$B$32:$J$32,CH$5-2025)/INDEX('APA Summary'!$B$22:$J$22,CH$5-2025),0)</f>
        <v>0</v>
      </c>
      <c r="CI20" s="409" t="n">
        <f aca="false">IF(CI$4&gt;='APA Inputs'!$B$6,INDEX('APA Summary'!$B$32:$J$32,CI$5-2025)/INDEX('APA Summary'!$B$22:$J$22,CI$5-2025),0)</f>
        <v>0</v>
      </c>
      <c r="CJ20" s="409" t="n">
        <f aca="false">IF(CJ$4&gt;='APA Inputs'!$B$6,INDEX('APA Summary'!$B$32:$J$32,CJ$5-2025)/INDEX('APA Summary'!$B$22:$J$22,CJ$5-2025),0)</f>
        <v>0</v>
      </c>
      <c r="CK20" s="409" t="n">
        <f aca="false">IF(CK$4&gt;='APA Inputs'!$B$6,INDEX('APA Summary'!$B$32:$J$32,CK$5-2025)/INDEX('APA Summary'!$B$22:$J$22,CK$5-2025),0)</f>
        <v>0</v>
      </c>
      <c r="CL20" s="409" t="n">
        <f aca="false">IF(CL$4&gt;='APA Inputs'!$B$6,INDEX('APA Summary'!$B$32:$J$32,CL$5-2025)/INDEX('APA Summary'!$B$22:$J$22,CL$5-2025),0)</f>
        <v>0</v>
      </c>
      <c r="CM20" s="409" t="n">
        <f aca="false">IF(CM$4&gt;='APA Inputs'!$B$6,INDEX('APA Summary'!$B$32:$J$32,CM$5-2025)/INDEX('APA Summary'!$B$22:$J$22,CM$5-2025),0)</f>
        <v>0</v>
      </c>
      <c r="CN20" s="409" t="n">
        <f aca="false">IF(CN$4&gt;='APA Inputs'!$B$6,INDEX('APA Summary'!$B$32:$J$32,CN$5-2025)/INDEX('APA Summary'!$B$22:$J$22,CN$5-2025),0)</f>
        <v>0</v>
      </c>
      <c r="CO20" s="409" t="n">
        <f aca="false">IF(CO$4&gt;='APA Inputs'!$B$6,INDEX('APA Summary'!$B$32:$J$32,CO$5-2025)/INDEX('APA Summary'!$B$22:$J$22,CO$5-2025),0)</f>
        <v>0</v>
      </c>
      <c r="CP20" s="409" t="n">
        <f aca="false">IF(CP$4&gt;='APA Inputs'!$B$6,INDEX('APA Summary'!$B$32:$J$32,CP$5-2025)/INDEX('APA Summary'!$B$22:$J$22,CP$5-2025),0)</f>
        <v>0</v>
      </c>
      <c r="CQ20" s="409" t="n">
        <f aca="false">IF(CQ$4&gt;='APA Inputs'!$B$6,INDEX('APA Summary'!$B$32:$J$32,CQ$5-2025)/INDEX('APA Summary'!$B$22:$J$22,CQ$5-2025),0)</f>
        <v>0</v>
      </c>
      <c r="CR20" s="409" t="n">
        <f aca="false">IF(CR$4&gt;='APA Inputs'!$B$6,INDEX('APA Summary'!$B$32:$J$32,CR$5-2025)/INDEX('APA Summary'!$B$22:$J$22,CR$5-2025),0)</f>
        <v>0</v>
      </c>
      <c r="CS20" s="409" t="n">
        <f aca="false">IF(CS$4&gt;='APA Inputs'!$B$6,INDEX('APA Summary'!$B$32:$J$32,CS$5-2025)/INDEX('APA Summary'!$B$22:$J$22,CS$5-2025),0)</f>
        <v>0</v>
      </c>
      <c r="CT20" s="409" t="n">
        <f aca="false">IF(CT$4&gt;='APA Inputs'!$B$6,INDEX('APA Summary'!$B$32:$J$32,CT$5-2025)/INDEX('APA Summary'!$B$22:$J$22,CT$5-2025),0)</f>
        <v>0</v>
      </c>
      <c r="CU20" s="409" t="n">
        <f aca="false">IF(CU$4&gt;='APA Inputs'!$B$6,INDEX('APA Summary'!$B$32:$J$32,CU$5-2025)/INDEX('APA Summary'!$B$22:$J$22,CU$5-2025),0)</f>
        <v>0</v>
      </c>
      <c r="CV20" s="409" t="n">
        <f aca="false">IF(CV$4&gt;='APA Inputs'!$B$6,INDEX('APA Summary'!$B$32:$J$32,CV$5-2025)/INDEX('APA Summary'!$B$22:$J$22,CV$5-2025),0)</f>
        <v>0</v>
      </c>
      <c r="CW20" s="409" t="n">
        <f aca="false">IF(CW$4&gt;='APA Inputs'!$B$6,INDEX('APA Summary'!$B$32:$J$32,CW$5-2025)/INDEX('APA Summary'!$B$22:$J$22,CW$5-2025),0)</f>
        <v>0</v>
      </c>
      <c r="CX20" s="409" t="n">
        <f aca="false">IF(CX$4&gt;='APA Inputs'!$B$6,INDEX('APA Summary'!$B$32:$J$32,CX$5-2025)/INDEX('APA Summary'!$B$22:$J$22,CX$5-2025),0)</f>
        <v>0</v>
      </c>
      <c r="CY20" s="409" t="n">
        <f aca="false">IF(CY$4&gt;='APA Inputs'!$B$6,INDEX('APA Summary'!$B$32:$J$32,CY$5-2025)/INDEX('APA Summary'!$B$22:$J$22,CY$5-2025),0)</f>
        <v>0</v>
      </c>
      <c r="CZ20" s="409" t="n">
        <f aca="false">IF(CZ$4&gt;='APA Inputs'!$B$6,INDEX('APA Summary'!$B$32:$J$32,CZ$5-2025)/INDEX('APA Summary'!$B$22:$J$22,CZ$5-2025),0)</f>
        <v>0</v>
      </c>
      <c r="DA20" s="409" t="n">
        <f aca="false">IF(DA$4&gt;='APA Inputs'!$B$6,INDEX('APA Summary'!$B$32:$J$32,DA$5-2025)/INDEX('APA Summary'!$B$22:$J$22,DA$5-2025),0)</f>
        <v>0</v>
      </c>
      <c r="DB20" s="409" t="n">
        <f aca="false">IF(DB$4&gt;='APA Inputs'!$B$6,INDEX('APA Summary'!$B$32:$J$32,DB$5-2025)/INDEX('APA Summary'!$B$22:$J$22,DB$5-2025),0)</f>
        <v>0</v>
      </c>
      <c r="DC20" s="409" t="n">
        <f aca="false">IF(DC$4&gt;='APA Inputs'!$B$6,INDEX('APA Summary'!$B$32:$J$32,DC$5-2025)/INDEX('APA Summary'!$B$22:$J$22,DC$5-2025),0)</f>
        <v>0</v>
      </c>
      <c r="DD20" s="409" t="n">
        <f aca="false">IF(DD$4&gt;='APA Inputs'!$B$6,INDEX('APA Summary'!$B$32:$J$32,DD$5-2025)/INDEX('APA Summary'!$B$22:$J$22,DD$5-2025),0)</f>
        <v>0</v>
      </c>
      <c r="DE20" s="409" t="n">
        <f aca="false">IF(DE$4&gt;='APA Inputs'!$B$6,INDEX('APA Summary'!$B$32:$J$32,DE$5-2025)/INDEX('APA Summary'!$B$22:$J$22,DE$5-2025),0)</f>
        <v>0</v>
      </c>
    </row>
    <row r="21" customFormat="false" ht="15" hidden="false" customHeight="true" outlineLevel="0" collapsed="false">
      <c r="A21" s="1" t="s">
        <v>1355</v>
      </c>
      <c r="B21" s="409" t="n">
        <f aca="false">IF(AND(MONTH(B$4)='APA Inputs'!$B$18,B$5-1&gt;=YEAR('APA Inputs'!$B$6)),INDEX('APA Summary'!$B$47:$J$47,B$5-1-2025),0)</f>
        <v>0</v>
      </c>
      <c r="C21" s="409" t="n">
        <f aca="false">IF(AND(MONTH(C$4)='APA Inputs'!$B$18,C$5-1&gt;=YEAR('APA Inputs'!$B$6)),INDEX('APA Summary'!$B$47:$J$47,C$5-1-2025),0)</f>
        <v>0</v>
      </c>
      <c r="D21" s="409" t="n">
        <f aca="false">IF(AND(MONTH(D$4)='APA Inputs'!$B$18,D$5-1&gt;=YEAR('APA Inputs'!$B$6)),INDEX('APA Summary'!$B$47:$J$47,D$5-1-2025),0)</f>
        <v>0</v>
      </c>
      <c r="E21" s="409" t="n">
        <f aca="false">IF(AND(MONTH(E$4)='APA Inputs'!$B$18,E$5-1&gt;=YEAR('APA Inputs'!$B$6)),INDEX('APA Summary'!$B$47:$J$47,E$5-1-2025),0)</f>
        <v>0</v>
      </c>
      <c r="F21" s="409" t="n">
        <f aca="false">IF(AND(MONTH(F$4)='APA Inputs'!$B$18,F$5-1&gt;=YEAR('APA Inputs'!$B$6)),INDEX('APA Summary'!$B$47:$J$47,F$5-1-2025),0)</f>
        <v>0</v>
      </c>
      <c r="G21" s="409" t="n">
        <f aca="false">IF(AND(MONTH(G$4)='APA Inputs'!$B$18,G$5-1&gt;=YEAR('APA Inputs'!$B$6)),INDEX('APA Summary'!$B$47:$J$47,G$5-1-2025),0)</f>
        <v>0</v>
      </c>
      <c r="H21" s="409" t="n">
        <f aca="false">IF(AND(MONTH(H$4)='APA Inputs'!$B$18,H$5-1&gt;=YEAR('APA Inputs'!$B$6)),INDEX('APA Summary'!$B$47:$J$47,H$5-1-2025),0)</f>
        <v>0</v>
      </c>
      <c r="I21" s="409" t="n">
        <f aca="false">IF(AND(MONTH(I$4)='APA Inputs'!$B$18,I$5-1&gt;=YEAR('APA Inputs'!$B$6)),INDEX('APA Summary'!$B$47:$J$47,I$5-1-2025),0)</f>
        <v>0</v>
      </c>
      <c r="J21" s="409" t="n">
        <f aca="false">IF(AND(MONTH(J$4)='APA Inputs'!$B$18,J$5-1&gt;=YEAR('APA Inputs'!$B$6)),INDEX('APA Summary'!$B$47:$J$47,J$5-1-2025),0)</f>
        <v>0</v>
      </c>
      <c r="K21" s="409" t="n">
        <f aca="false">IF(AND(MONTH(K$4)='APA Inputs'!$B$18,K$5-1&gt;=YEAR('APA Inputs'!$B$6)),INDEX('APA Summary'!$B$47:$J$47,K$5-1-2025),0)</f>
        <v>0</v>
      </c>
      <c r="L21" s="409" t="n">
        <f aca="false">IF(AND(MONTH(L$4)='APA Inputs'!$B$18,L$5-1&gt;=YEAR('APA Inputs'!$B$6)),INDEX('APA Summary'!$B$47:$J$47,L$5-1-2025),0)</f>
        <v>0</v>
      </c>
      <c r="M21" s="409" t="n">
        <f aca="false">IF(AND(MONTH(M$4)='APA Inputs'!$B$18,M$5-1&gt;=YEAR('APA Inputs'!$B$6)),INDEX('APA Summary'!$B$47:$J$47,M$5-1-2025),0)</f>
        <v>0</v>
      </c>
      <c r="N21" s="409" t="n">
        <f aca="false">IF(AND(MONTH(N$4)='APA Inputs'!$B$18,N$5-1&gt;=YEAR('APA Inputs'!$B$6)),INDEX('APA Summary'!$B$47:$J$47,N$5-1-2025),0)</f>
        <v>0</v>
      </c>
      <c r="O21" s="409" t="n">
        <f aca="false">IF(AND(MONTH(O$4)='APA Inputs'!$B$18,O$5-1&gt;=YEAR('APA Inputs'!$B$6)),INDEX('APA Summary'!$B$47:$J$47,O$5-1-2025),0)</f>
        <v>0</v>
      </c>
      <c r="P21" s="409" t="n">
        <f aca="false">IF(AND(MONTH(P$4)='APA Inputs'!$B$18,P$5-1&gt;=YEAR('APA Inputs'!$B$6)),INDEX('APA Summary'!$B$47:$J$47,P$5-1-2025),0)</f>
        <v>799.845532999997</v>
      </c>
      <c r="Q21" s="409" t="n">
        <f aca="false">IF(AND(MONTH(Q$4)='APA Inputs'!$B$18,Q$5-1&gt;=YEAR('APA Inputs'!$B$6)),INDEX('APA Summary'!$B$47:$J$47,Q$5-1-2025),0)</f>
        <v>0</v>
      </c>
      <c r="R21" s="409" t="n">
        <f aca="false">IF(AND(MONTH(R$4)='APA Inputs'!$B$18,R$5-1&gt;=YEAR('APA Inputs'!$B$6)),INDEX('APA Summary'!$B$47:$J$47,R$5-1-2025),0)</f>
        <v>0</v>
      </c>
      <c r="S21" s="409" t="n">
        <f aca="false">IF(AND(MONTH(S$4)='APA Inputs'!$B$18,S$5-1&gt;=YEAR('APA Inputs'!$B$6)),INDEX('APA Summary'!$B$47:$J$47,S$5-1-2025),0)</f>
        <v>0</v>
      </c>
      <c r="T21" s="409" t="n">
        <f aca="false">IF(AND(MONTH(T$4)='APA Inputs'!$B$18,T$5-1&gt;=YEAR('APA Inputs'!$B$6)),INDEX('APA Summary'!$B$47:$J$47,T$5-1-2025),0)</f>
        <v>0</v>
      </c>
      <c r="U21" s="409" t="n">
        <f aca="false">IF(AND(MONTH(U$4)='APA Inputs'!$B$18,U$5-1&gt;=YEAR('APA Inputs'!$B$6)),INDEX('APA Summary'!$B$47:$J$47,U$5-1-2025),0)</f>
        <v>0</v>
      </c>
      <c r="V21" s="409" t="n">
        <f aca="false">IF(AND(MONTH(V$4)='APA Inputs'!$B$18,V$5-1&gt;=YEAR('APA Inputs'!$B$6)),INDEX('APA Summary'!$B$47:$J$47,V$5-1-2025),0)</f>
        <v>0</v>
      </c>
      <c r="W21" s="409" t="n">
        <f aca="false">IF(AND(MONTH(W$4)='APA Inputs'!$B$18,W$5-1&gt;=YEAR('APA Inputs'!$B$6)),INDEX('APA Summary'!$B$47:$J$47,W$5-1-2025),0)</f>
        <v>0</v>
      </c>
      <c r="X21" s="409" t="n">
        <f aca="false">IF(AND(MONTH(X$4)='APA Inputs'!$B$18,X$5-1&gt;=YEAR('APA Inputs'!$B$6)),INDEX('APA Summary'!$B$47:$J$47,X$5-1-2025),0)</f>
        <v>0</v>
      </c>
      <c r="Y21" s="409" t="n">
        <f aca="false">IF(AND(MONTH(Y$4)='APA Inputs'!$B$18,Y$5-1&gt;=YEAR('APA Inputs'!$B$6)),INDEX('APA Summary'!$B$47:$J$47,Y$5-1-2025),0)</f>
        <v>0</v>
      </c>
      <c r="Z21" s="409" t="n">
        <f aca="false">IF(AND(MONTH(Z$4)='APA Inputs'!$B$18,Z$5-1&gt;=YEAR('APA Inputs'!$B$6)),INDEX('APA Summary'!$B$47:$J$47,Z$5-1-2025),0)</f>
        <v>0</v>
      </c>
      <c r="AA21" s="409" t="n">
        <f aca="false">IF(AND(MONTH(AA$4)='APA Inputs'!$B$18,AA$5-1&gt;=YEAR('APA Inputs'!$B$6)),INDEX('APA Summary'!$B$47:$J$47,AA$5-1-2025),0)</f>
        <v>0</v>
      </c>
      <c r="AB21" s="409" t="n">
        <f aca="false">IF(AND(MONTH(AB$4)='APA Inputs'!$B$18,AB$5-1&gt;=YEAR('APA Inputs'!$B$6)),INDEX('APA Summary'!$B$47:$J$47,AB$5-1-2025),0)</f>
        <v>5342.99288189947</v>
      </c>
      <c r="AC21" s="409" t="n">
        <f aca="false">IF(AND(MONTH(AC$4)='APA Inputs'!$B$18,AC$5-1&gt;=YEAR('APA Inputs'!$B$6)),INDEX('APA Summary'!$B$47:$J$47,AC$5-1-2025),0)</f>
        <v>0</v>
      </c>
      <c r="AD21" s="409" t="n">
        <f aca="false">IF(AND(MONTH(AD$4)='APA Inputs'!$B$18,AD$5-1&gt;=YEAR('APA Inputs'!$B$6)),INDEX('APA Summary'!$B$47:$J$47,AD$5-1-2025),0)</f>
        <v>0</v>
      </c>
      <c r="AE21" s="409" t="n">
        <f aca="false">IF(AND(MONTH(AE$4)='APA Inputs'!$B$18,AE$5-1&gt;=YEAR('APA Inputs'!$B$6)),INDEX('APA Summary'!$B$47:$J$47,AE$5-1-2025),0)</f>
        <v>0</v>
      </c>
      <c r="AF21" s="409" t="n">
        <f aca="false">IF(AND(MONTH(AF$4)='APA Inputs'!$B$18,AF$5-1&gt;=YEAR('APA Inputs'!$B$6)),INDEX('APA Summary'!$B$47:$J$47,AF$5-1-2025),0)</f>
        <v>0</v>
      </c>
      <c r="AG21" s="409" t="n">
        <f aca="false">IF(AND(MONTH(AG$4)='APA Inputs'!$B$18,AG$5-1&gt;=YEAR('APA Inputs'!$B$6)),INDEX('APA Summary'!$B$47:$J$47,AG$5-1-2025),0)</f>
        <v>0</v>
      </c>
      <c r="AH21" s="409" t="n">
        <f aca="false">IF(AND(MONTH(AH$4)='APA Inputs'!$B$18,AH$5-1&gt;=YEAR('APA Inputs'!$B$6)),INDEX('APA Summary'!$B$47:$J$47,AH$5-1-2025),0)</f>
        <v>0</v>
      </c>
      <c r="AI21" s="409" t="n">
        <f aca="false">IF(AND(MONTH(AI$4)='APA Inputs'!$B$18,AI$5-1&gt;=YEAR('APA Inputs'!$B$6)),INDEX('APA Summary'!$B$47:$J$47,AI$5-1-2025),0)</f>
        <v>0</v>
      </c>
      <c r="AJ21" s="409" t="n">
        <f aca="false">IF(AND(MONTH(AJ$4)='APA Inputs'!$B$18,AJ$5-1&gt;=YEAR('APA Inputs'!$B$6)),INDEX('APA Summary'!$B$47:$J$47,AJ$5-1-2025),0)</f>
        <v>0</v>
      </c>
      <c r="AK21" s="409" t="n">
        <f aca="false">IF(AND(MONTH(AK$4)='APA Inputs'!$B$18,AK$5-1&gt;=YEAR('APA Inputs'!$B$6)),INDEX('APA Summary'!$B$47:$J$47,AK$5-1-2025),0)</f>
        <v>0</v>
      </c>
      <c r="AL21" s="409" t="n">
        <f aca="false">IF(AND(MONTH(AL$4)='APA Inputs'!$B$18,AL$5-1&gt;=YEAR('APA Inputs'!$B$6)),INDEX('APA Summary'!$B$47:$J$47,AL$5-1-2025),0)</f>
        <v>0</v>
      </c>
      <c r="AM21" s="409" t="n">
        <f aca="false">IF(AND(MONTH(AM$4)='APA Inputs'!$B$18,AM$5-1&gt;=YEAR('APA Inputs'!$B$6)),INDEX('APA Summary'!$B$47:$J$47,AM$5-1-2025),0)</f>
        <v>0</v>
      </c>
      <c r="AN21" s="409" t="n">
        <f aca="false">IF(AND(MONTH(AN$4)='APA Inputs'!$B$18,AN$5-1&gt;=YEAR('APA Inputs'!$B$6)),INDEX('APA Summary'!$B$47:$J$47,AN$5-1-2025),0)</f>
        <v>5584.27117921855</v>
      </c>
      <c r="AO21" s="409" t="n">
        <f aca="false">IF(AND(MONTH(AO$4)='APA Inputs'!$B$18,AO$5-1&gt;=YEAR('APA Inputs'!$B$6)),INDEX('APA Summary'!$B$47:$J$47,AO$5-1-2025),0)</f>
        <v>0</v>
      </c>
      <c r="AP21" s="409" t="n">
        <f aca="false">IF(AND(MONTH(AP$4)='APA Inputs'!$B$18,AP$5-1&gt;=YEAR('APA Inputs'!$B$6)),INDEX('APA Summary'!$B$47:$J$47,AP$5-1-2025),0)</f>
        <v>0</v>
      </c>
      <c r="AQ21" s="409" t="n">
        <f aca="false">IF(AND(MONTH(AQ$4)='APA Inputs'!$B$18,AQ$5-1&gt;=YEAR('APA Inputs'!$B$6)),INDEX('APA Summary'!$B$47:$J$47,AQ$5-1-2025),0)</f>
        <v>0</v>
      </c>
      <c r="AR21" s="409" t="n">
        <f aca="false">IF(AND(MONTH(AR$4)='APA Inputs'!$B$18,AR$5-1&gt;=YEAR('APA Inputs'!$B$6)),INDEX('APA Summary'!$B$47:$J$47,AR$5-1-2025),0)</f>
        <v>0</v>
      </c>
      <c r="AS21" s="409" t="n">
        <f aca="false">IF(AND(MONTH(AS$4)='APA Inputs'!$B$18,AS$5-1&gt;=YEAR('APA Inputs'!$B$6)),INDEX('APA Summary'!$B$47:$J$47,AS$5-1-2025),0)</f>
        <v>0</v>
      </c>
      <c r="AT21" s="409" t="n">
        <f aca="false">IF(AND(MONTH(AT$4)='APA Inputs'!$B$18,AT$5-1&gt;=YEAR('APA Inputs'!$B$6)),INDEX('APA Summary'!$B$47:$J$47,AT$5-1-2025),0)</f>
        <v>0</v>
      </c>
      <c r="AU21" s="409" t="n">
        <f aca="false">IF(AND(MONTH(AU$4)='APA Inputs'!$B$18,AU$5-1&gt;=YEAR('APA Inputs'!$B$6)),INDEX('APA Summary'!$B$47:$J$47,AU$5-1-2025),0)</f>
        <v>0</v>
      </c>
      <c r="AV21" s="409" t="n">
        <f aca="false">IF(AND(MONTH(AV$4)='APA Inputs'!$B$18,AV$5-1&gt;=YEAR('APA Inputs'!$B$6)),INDEX('APA Summary'!$B$47:$J$47,AV$5-1-2025),0)</f>
        <v>0</v>
      </c>
      <c r="AW21" s="409" t="n">
        <f aca="false">IF(AND(MONTH(AW$4)='APA Inputs'!$B$18,AW$5-1&gt;=YEAR('APA Inputs'!$B$6)),INDEX('APA Summary'!$B$47:$J$47,AW$5-1-2025),0)</f>
        <v>0</v>
      </c>
      <c r="AX21" s="409" t="n">
        <f aca="false">IF(AND(MONTH(AX$4)='APA Inputs'!$B$18,AX$5-1&gt;=YEAR('APA Inputs'!$B$6)),INDEX('APA Summary'!$B$47:$J$47,AX$5-1-2025),0)</f>
        <v>0</v>
      </c>
      <c r="AY21" s="409" t="n">
        <f aca="false">IF(AND(MONTH(AY$4)='APA Inputs'!$B$18,AY$5-1&gt;=YEAR('APA Inputs'!$B$6)),INDEX('APA Summary'!$B$47:$J$47,AY$5-1-2025),0)</f>
        <v>0</v>
      </c>
      <c r="AZ21" s="409" t="n">
        <f aca="false">IF(AND(MONTH(AZ$4)='APA Inputs'!$B$18,AZ$5-1&gt;=YEAR('APA Inputs'!$B$6)),INDEX('APA Summary'!$B$47:$J$47,AZ$5-1-2025),0)</f>
        <v>0</v>
      </c>
      <c r="BA21" s="409" t="n">
        <f aca="false">IF(AND(MONTH(BA$4)='APA Inputs'!$B$18,BA$5-1&gt;=YEAR('APA Inputs'!$B$6)),INDEX('APA Summary'!$B$47:$J$47,BA$5-1-2025),0)</f>
        <v>0</v>
      </c>
      <c r="BB21" s="409" t="n">
        <f aca="false">IF(AND(MONTH(BB$4)='APA Inputs'!$B$18,BB$5-1&gt;=YEAR('APA Inputs'!$B$6)),INDEX('APA Summary'!$B$47:$J$47,BB$5-1-2025),0)</f>
        <v>0</v>
      </c>
      <c r="BC21" s="409" t="n">
        <f aca="false">IF(AND(MONTH(BC$4)='APA Inputs'!$B$18,BC$5-1&gt;=YEAR('APA Inputs'!$B$6)),INDEX('APA Summary'!$B$47:$J$47,BC$5-1-2025),0)</f>
        <v>0</v>
      </c>
      <c r="BD21" s="409" t="n">
        <f aca="false">IF(AND(MONTH(BD$4)='APA Inputs'!$B$18,BD$5-1&gt;=YEAR('APA Inputs'!$B$6)),INDEX('APA Summary'!$B$47:$J$47,BD$5-1-2025),0)</f>
        <v>0</v>
      </c>
      <c r="BE21" s="409" t="n">
        <f aca="false">IF(AND(MONTH(BE$4)='APA Inputs'!$B$18,BE$5-1&gt;=YEAR('APA Inputs'!$B$6)),INDEX('APA Summary'!$B$47:$J$47,BE$5-1-2025),0)</f>
        <v>0</v>
      </c>
      <c r="BF21" s="409" t="n">
        <f aca="false">IF(AND(MONTH(BF$4)='APA Inputs'!$B$18,BF$5-1&gt;=YEAR('APA Inputs'!$B$6)),INDEX('APA Summary'!$B$47:$J$47,BF$5-1-2025),0)</f>
        <v>0</v>
      </c>
      <c r="BG21" s="409" t="n">
        <f aca="false">IF(AND(MONTH(BG$4)='APA Inputs'!$B$18,BG$5-1&gt;=YEAR('APA Inputs'!$B$6)),INDEX('APA Summary'!$B$47:$J$47,BG$5-1-2025),0)</f>
        <v>0</v>
      </c>
      <c r="BH21" s="409" t="n">
        <f aca="false">IF(AND(MONTH(BH$4)='APA Inputs'!$B$18,BH$5-1&gt;=YEAR('APA Inputs'!$B$6)),INDEX('APA Summary'!$B$47:$J$47,BH$5-1-2025),0)</f>
        <v>0</v>
      </c>
      <c r="BI21" s="409" t="n">
        <f aca="false">IF(AND(MONTH(BI$4)='APA Inputs'!$B$18,BI$5-1&gt;=YEAR('APA Inputs'!$B$6)),INDEX('APA Summary'!$B$47:$J$47,BI$5-1-2025),0)</f>
        <v>0</v>
      </c>
      <c r="BJ21" s="409" t="n">
        <f aca="false">IF(AND(MONTH(BJ$4)='APA Inputs'!$B$18,BJ$5-1&gt;=YEAR('APA Inputs'!$B$6)),INDEX('APA Summary'!$B$47:$J$47,BJ$5-1-2025),0)</f>
        <v>0</v>
      </c>
      <c r="BK21" s="409" t="n">
        <f aca="false">IF(AND(MONTH(BK$4)='APA Inputs'!$B$18,BK$5-1&gt;=YEAR('APA Inputs'!$B$6)),INDEX('APA Summary'!$B$47:$J$47,BK$5-1-2025),0)</f>
        <v>0</v>
      </c>
      <c r="BL21" s="409" t="n">
        <f aca="false">IF(AND(MONTH(BL$4)='APA Inputs'!$B$18,BL$5-1&gt;=YEAR('APA Inputs'!$B$6)),INDEX('APA Summary'!$B$47:$J$47,BL$5-1-2025),0)</f>
        <v>0</v>
      </c>
      <c r="BM21" s="409" t="n">
        <f aca="false">IF(AND(MONTH(BM$4)='APA Inputs'!$B$18,BM$5-1&gt;=YEAR('APA Inputs'!$B$6)),INDEX('APA Summary'!$B$47:$J$47,BM$5-1-2025),0)</f>
        <v>0</v>
      </c>
      <c r="BN21" s="409" t="n">
        <f aca="false">IF(AND(MONTH(BN$4)='APA Inputs'!$B$18,BN$5-1&gt;=YEAR('APA Inputs'!$B$6)),INDEX('APA Summary'!$B$47:$J$47,BN$5-1-2025),0)</f>
        <v>0</v>
      </c>
      <c r="BO21" s="409" t="n">
        <f aca="false">IF(AND(MONTH(BO$4)='APA Inputs'!$B$18,BO$5-1&gt;=YEAR('APA Inputs'!$B$6)),INDEX('APA Summary'!$B$47:$J$47,BO$5-1-2025),0)</f>
        <v>0</v>
      </c>
      <c r="BP21" s="409" t="n">
        <f aca="false">IF(AND(MONTH(BP$4)='APA Inputs'!$B$18,BP$5-1&gt;=YEAR('APA Inputs'!$B$6)),INDEX('APA Summary'!$B$47:$J$47,BP$5-1-2025),0)</f>
        <v>0</v>
      </c>
      <c r="BQ21" s="409" t="n">
        <f aca="false">IF(AND(MONTH(BQ$4)='APA Inputs'!$B$18,BQ$5-1&gt;=YEAR('APA Inputs'!$B$6)),INDEX('APA Summary'!$B$47:$J$47,BQ$5-1-2025),0)</f>
        <v>0</v>
      </c>
      <c r="BR21" s="409" t="n">
        <f aca="false">IF(AND(MONTH(BR$4)='APA Inputs'!$B$18,BR$5-1&gt;=YEAR('APA Inputs'!$B$6)),INDEX('APA Summary'!$B$47:$J$47,BR$5-1-2025),0)</f>
        <v>0</v>
      </c>
      <c r="BS21" s="409" t="n">
        <f aca="false">IF(AND(MONTH(BS$4)='APA Inputs'!$B$18,BS$5-1&gt;=YEAR('APA Inputs'!$B$6)),INDEX('APA Summary'!$B$47:$J$47,BS$5-1-2025),0)</f>
        <v>0</v>
      </c>
      <c r="BT21" s="409" t="n">
        <f aca="false">IF(AND(MONTH(BT$4)='APA Inputs'!$B$18,BT$5-1&gt;=YEAR('APA Inputs'!$B$6)),INDEX('APA Summary'!$B$47:$J$47,BT$5-1-2025),0)</f>
        <v>0</v>
      </c>
      <c r="BU21" s="409" t="n">
        <f aca="false">IF(AND(MONTH(BU$4)='APA Inputs'!$B$18,BU$5-1&gt;=YEAR('APA Inputs'!$B$6)),INDEX('APA Summary'!$B$47:$J$47,BU$5-1-2025),0)</f>
        <v>0</v>
      </c>
      <c r="BV21" s="409" t="n">
        <f aca="false">IF(AND(MONTH(BV$4)='APA Inputs'!$B$18,BV$5-1&gt;=YEAR('APA Inputs'!$B$6)),INDEX('APA Summary'!$B$47:$J$47,BV$5-1-2025),0)</f>
        <v>0</v>
      </c>
      <c r="BW21" s="409" t="n">
        <f aca="false">IF(AND(MONTH(BW$4)='APA Inputs'!$B$18,BW$5-1&gt;=YEAR('APA Inputs'!$B$6)),INDEX('APA Summary'!$B$47:$J$47,BW$5-1-2025),0)</f>
        <v>0</v>
      </c>
      <c r="BX21" s="409" t="n">
        <f aca="false">IF(AND(MONTH(BX$4)='APA Inputs'!$B$18,BX$5-1&gt;=YEAR('APA Inputs'!$B$6)),INDEX('APA Summary'!$B$47:$J$47,BX$5-1-2025),0)</f>
        <v>0</v>
      </c>
      <c r="BY21" s="409" t="n">
        <f aca="false">IF(AND(MONTH(BY$4)='APA Inputs'!$B$18,BY$5-1&gt;=YEAR('APA Inputs'!$B$6)),INDEX('APA Summary'!$B$47:$J$47,BY$5-1-2025),0)</f>
        <v>0</v>
      </c>
      <c r="BZ21" s="409" t="n">
        <f aca="false">IF(AND(MONTH(BZ$4)='APA Inputs'!$B$18,BZ$5-1&gt;=YEAR('APA Inputs'!$B$6)),INDEX('APA Summary'!$B$47:$J$47,BZ$5-1-2025),0)</f>
        <v>0</v>
      </c>
      <c r="CA21" s="409" t="n">
        <f aca="false">IF(AND(MONTH(CA$4)='APA Inputs'!$B$18,CA$5-1&gt;=YEAR('APA Inputs'!$B$6)),INDEX('APA Summary'!$B$47:$J$47,CA$5-1-2025),0)</f>
        <v>0</v>
      </c>
      <c r="CB21" s="409" t="n">
        <f aca="false">IF(AND(MONTH(CB$4)='APA Inputs'!$B$18,CB$5-1&gt;=YEAR('APA Inputs'!$B$6)),INDEX('APA Summary'!$B$47:$J$47,CB$5-1-2025),0)</f>
        <v>0</v>
      </c>
      <c r="CC21" s="409" t="n">
        <f aca="false">IF(AND(MONTH(CC$4)='APA Inputs'!$B$18,CC$5-1&gt;=YEAR('APA Inputs'!$B$6)),INDEX('APA Summary'!$B$47:$J$47,CC$5-1-2025),0)</f>
        <v>0</v>
      </c>
      <c r="CD21" s="409" t="n">
        <f aca="false">IF(AND(MONTH(CD$4)='APA Inputs'!$B$18,CD$5-1&gt;=YEAR('APA Inputs'!$B$6)),INDEX('APA Summary'!$B$47:$J$47,CD$5-1-2025),0)</f>
        <v>0</v>
      </c>
      <c r="CE21" s="409" t="n">
        <f aca="false">IF(AND(MONTH(CE$4)='APA Inputs'!$B$18,CE$5-1&gt;=YEAR('APA Inputs'!$B$6)),INDEX('APA Summary'!$B$47:$J$47,CE$5-1-2025),0)</f>
        <v>0</v>
      </c>
      <c r="CF21" s="409" t="n">
        <f aca="false">IF(AND(MONTH(CF$4)='APA Inputs'!$B$18,CF$5-1&gt;=YEAR('APA Inputs'!$B$6)),INDEX('APA Summary'!$B$47:$J$47,CF$5-1-2025),0)</f>
        <v>0</v>
      </c>
      <c r="CG21" s="409" t="n">
        <f aca="false">IF(AND(MONTH(CG$4)='APA Inputs'!$B$18,CG$5-1&gt;=YEAR('APA Inputs'!$B$6)),INDEX('APA Summary'!$B$47:$J$47,CG$5-1-2025),0)</f>
        <v>0</v>
      </c>
      <c r="CH21" s="409" t="n">
        <f aca="false">IF(AND(MONTH(CH$4)='APA Inputs'!$B$18,CH$5-1&gt;=YEAR('APA Inputs'!$B$6)),INDEX('APA Summary'!$B$47:$J$47,CH$5-1-2025),0)</f>
        <v>0</v>
      </c>
      <c r="CI21" s="409" t="n">
        <f aca="false">IF(AND(MONTH(CI$4)='APA Inputs'!$B$18,CI$5-1&gt;=YEAR('APA Inputs'!$B$6)),INDEX('APA Summary'!$B$47:$J$47,CI$5-1-2025),0)</f>
        <v>0</v>
      </c>
      <c r="CJ21" s="409" t="n">
        <f aca="false">IF(AND(MONTH(CJ$4)='APA Inputs'!$B$18,CJ$5-1&gt;=YEAR('APA Inputs'!$B$6)),INDEX('APA Summary'!$B$47:$J$47,CJ$5-1-2025),0)</f>
        <v>0</v>
      </c>
      <c r="CK21" s="409" t="n">
        <f aca="false">IF(AND(MONTH(CK$4)='APA Inputs'!$B$18,CK$5-1&gt;=YEAR('APA Inputs'!$B$6)),INDEX('APA Summary'!$B$47:$J$47,CK$5-1-2025),0)</f>
        <v>0</v>
      </c>
      <c r="CL21" s="409" t="n">
        <f aca="false">IF(AND(MONTH(CL$4)='APA Inputs'!$B$18,CL$5-1&gt;=YEAR('APA Inputs'!$B$6)),INDEX('APA Summary'!$B$47:$J$47,CL$5-1-2025),0)</f>
        <v>0</v>
      </c>
      <c r="CM21" s="409" t="n">
        <f aca="false">IF(AND(MONTH(CM$4)='APA Inputs'!$B$18,CM$5-1&gt;=YEAR('APA Inputs'!$B$6)),INDEX('APA Summary'!$B$47:$J$47,CM$5-1-2025),0)</f>
        <v>0</v>
      </c>
      <c r="CN21" s="409" t="n">
        <f aca="false">IF(AND(MONTH(CN$4)='APA Inputs'!$B$18,CN$5-1&gt;=YEAR('APA Inputs'!$B$6)),INDEX('APA Summary'!$B$47:$J$47,CN$5-1-2025),0)</f>
        <v>0</v>
      </c>
      <c r="CO21" s="409" t="n">
        <f aca="false">IF(AND(MONTH(CO$4)='APA Inputs'!$B$18,CO$5-1&gt;=YEAR('APA Inputs'!$B$6)),INDEX('APA Summary'!$B$47:$J$47,CO$5-1-2025),0)</f>
        <v>0</v>
      </c>
      <c r="CP21" s="409" t="n">
        <f aca="false">IF(AND(MONTH(CP$4)='APA Inputs'!$B$18,CP$5-1&gt;=YEAR('APA Inputs'!$B$6)),INDEX('APA Summary'!$B$47:$J$47,CP$5-1-2025),0)</f>
        <v>0</v>
      </c>
      <c r="CQ21" s="409" t="n">
        <f aca="false">IF(AND(MONTH(CQ$4)='APA Inputs'!$B$18,CQ$5-1&gt;=YEAR('APA Inputs'!$B$6)),INDEX('APA Summary'!$B$47:$J$47,CQ$5-1-2025),0)</f>
        <v>0</v>
      </c>
      <c r="CR21" s="409" t="n">
        <f aca="false">IF(AND(MONTH(CR$4)='APA Inputs'!$B$18,CR$5-1&gt;=YEAR('APA Inputs'!$B$6)),INDEX('APA Summary'!$B$47:$J$47,CR$5-1-2025),0)</f>
        <v>0</v>
      </c>
      <c r="CS21" s="409" t="n">
        <f aca="false">IF(AND(MONTH(CS$4)='APA Inputs'!$B$18,CS$5-1&gt;=YEAR('APA Inputs'!$B$6)),INDEX('APA Summary'!$B$47:$J$47,CS$5-1-2025),0)</f>
        <v>0</v>
      </c>
      <c r="CT21" s="409" t="n">
        <f aca="false">IF(AND(MONTH(CT$4)='APA Inputs'!$B$18,CT$5-1&gt;=YEAR('APA Inputs'!$B$6)),INDEX('APA Summary'!$B$47:$J$47,CT$5-1-2025),0)</f>
        <v>0</v>
      </c>
      <c r="CU21" s="409" t="n">
        <f aca="false">IF(AND(MONTH(CU$4)='APA Inputs'!$B$18,CU$5-1&gt;=YEAR('APA Inputs'!$B$6)),INDEX('APA Summary'!$B$47:$J$47,CU$5-1-2025),0)</f>
        <v>0</v>
      </c>
      <c r="CV21" s="409" t="n">
        <f aca="false">IF(AND(MONTH(CV$4)='APA Inputs'!$B$18,CV$5-1&gt;=YEAR('APA Inputs'!$B$6)),INDEX('APA Summary'!$B$47:$J$47,CV$5-1-2025),0)</f>
        <v>0</v>
      </c>
      <c r="CW21" s="409" t="n">
        <f aca="false">IF(AND(MONTH(CW$4)='APA Inputs'!$B$18,CW$5-1&gt;=YEAR('APA Inputs'!$B$6)),INDEX('APA Summary'!$B$47:$J$47,CW$5-1-2025),0)</f>
        <v>0</v>
      </c>
      <c r="CX21" s="409" t="n">
        <f aca="false">IF(AND(MONTH(CX$4)='APA Inputs'!$B$18,CX$5-1&gt;=YEAR('APA Inputs'!$B$6)),INDEX('APA Summary'!$B$47:$J$47,CX$5-1-2025),0)</f>
        <v>0</v>
      </c>
      <c r="CY21" s="409" t="n">
        <f aca="false">IF(AND(MONTH(CY$4)='APA Inputs'!$B$18,CY$5-1&gt;=YEAR('APA Inputs'!$B$6)),INDEX('APA Summary'!$B$47:$J$47,CY$5-1-2025),0)</f>
        <v>0</v>
      </c>
      <c r="CZ21" s="409" t="n">
        <f aca="false">IF(AND(MONTH(CZ$4)='APA Inputs'!$B$18,CZ$5-1&gt;=YEAR('APA Inputs'!$B$6)),INDEX('APA Summary'!$B$47:$J$47,CZ$5-1-2025),0)</f>
        <v>0</v>
      </c>
      <c r="DA21" s="409" t="n">
        <f aca="false">IF(AND(MONTH(DA$4)='APA Inputs'!$B$18,DA$5-1&gt;=YEAR('APA Inputs'!$B$6)),INDEX('APA Summary'!$B$47:$J$47,DA$5-1-2025),0)</f>
        <v>0</v>
      </c>
      <c r="DB21" s="409" t="n">
        <f aca="false">IF(AND(MONTH(DB$4)='APA Inputs'!$B$18,DB$5-1&gt;=YEAR('APA Inputs'!$B$6)),INDEX('APA Summary'!$B$47:$J$47,DB$5-1-2025),0)</f>
        <v>0</v>
      </c>
      <c r="DC21" s="409" t="n">
        <f aca="false">IF(AND(MONTH(DC$4)='APA Inputs'!$B$18,DC$5-1&gt;=YEAR('APA Inputs'!$B$6)),INDEX('APA Summary'!$B$47:$J$47,DC$5-1-2025),0)</f>
        <v>0</v>
      </c>
      <c r="DD21" s="409" t="n">
        <f aca="false">IF(AND(MONTH(DD$4)='APA Inputs'!$B$18,DD$5-1&gt;=YEAR('APA Inputs'!$B$6)),INDEX('APA Summary'!$B$47:$J$47,DD$5-1-2025),0)</f>
        <v>0</v>
      </c>
      <c r="DE21" s="409" t="n">
        <f aca="false">IF(AND(MONTH(DE$4)='APA Inputs'!$B$18,DE$5-1&gt;=YEAR('APA Inputs'!$B$6)),INDEX('APA Summary'!$B$47:$J$47,DE$5-1-2025),0)</f>
        <v>0</v>
      </c>
    </row>
    <row r="22" customFormat="false" ht="15" hidden="false" customHeight="true" outlineLevel="0" collapsed="false">
      <c r="A22" s="390" t="s">
        <v>1356</v>
      </c>
      <c r="B22" s="409" t="n">
        <f aca="false">B20+B21</f>
        <v>0</v>
      </c>
      <c r="C22" s="409" t="n">
        <f aca="false">C20+C21</f>
        <v>0</v>
      </c>
      <c r="D22" s="409" t="n">
        <f aca="false">D20+D21</f>
        <v>0</v>
      </c>
      <c r="E22" s="409" t="n">
        <f aca="false">E20+E21</f>
        <v>0</v>
      </c>
      <c r="F22" s="409" t="n">
        <f aca="false">F20+F21</f>
        <v>0</v>
      </c>
      <c r="G22" s="409" t="n">
        <f aca="false">G20+G21</f>
        <v>0</v>
      </c>
      <c r="H22" s="409" t="n">
        <f aca="false">H20+H21</f>
        <v>319.937883333334</v>
      </c>
      <c r="I22" s="409" t="n">
        <f aca="false">I20+I21</f>
        <v>319.937883333334</v>
      </c>
      <c r="J22" s="409" t="n">
        <f aca="false">J20+J21</f>
        <v>319.937883333334</v>
      </c>
      <c r="K22" s="409" t="n">
        <f aca="false">K20+K21</f>
        <v>319.937883333334</v>
      </c>
      <c r="L22" s="409" t="n">
        <f aca="false">L20+L21</f>
        <v>319.937883333334</v>
      </c>
      <c r="M22" s="409" t="n">
        <f aca="false">M20+M21</f>
        <v>319.937883333334</v>
      </c>
      <c r="N22" s="409" t="n">
        <f aca="false">N20+N21</f>
        <v>10875.8597981481</v>
      </c>
      <c r="O22" s="409" t="n">
        <f aca="false">O20+O21</f>
        <v>10875.8597981481</v>
      </c>
      <c r="P22" s="409" t="n">
        <f aca="false">P20+P21</f>
        <v>11675.7053311481</v>
      </c>
      <c r="Q22" s="409" t="n">
        <f aca="false">Q20+Q21</f>
        <v>10875.8597981481</v>
      </c>
      <c r="R22" s="409" t="n">
        <f aca="false">R20+R21</f>
        <v>10875.8597981481</v>
      </c>
      <c r="S22" s="409" t="n">
        <f aca="false">S20+S21</f>
        <v>10875.8597981481</v>
      </c>
      <c r="T22" s="409" t="n">
        <f aca="false">T20+T21</f>
        <v>10875.8597981481</v>
      </c>
      <c r="U22" s="409" t="n">
        <f aca="false">U20+U21</f>
        <v>10875.8597981481</v>
      </c>
      <c r="V22" s="409" t="n">
        <f aca="false">V20+V21</f>
        <v>10875.8597981481</v>
      </c>
      <c r="W22" s="409" t="n">
        <f aca="false">W20+W21</f>
        <v>10875.8597981481</v>
      </c>
      <c r="X22" s="409" t="n">
        <f aca="false">X20+X21</f>
        <v>10875.8597981481</v>
      </c>
      <c r="Y22" s="409" t="n">
        <f aca="false">Y20+Y21</f>
        <v>10875.8597981481</v>
      </c>
      <c r="Z22" s="409" t="n">
        <f aca="false">Z20+Z21</f>
        <v>10445.2527435185</v>
      </c>
      <c r="AA22" s="409" t="n">
        <f aca="false">AA20+AA21</f>
        <v>10445.2527435185</v>
      </c>
      <c r="AB22" s="409" t="n">
        <f aca="false">AB20+AB21</f>
        <v>15788.245625418</v>
      </c>
      <c r="AC22" s="409" t="n">
        <f aca="false">AC20+AC21</f>
        <v>10445.2527435185</v>
      </c>
      <c r="AD22" s="409" t="n">
        <f aca="false">AD20+AD21</f>
        <v>10445.2527435185</v>
      </c>
      <c r="AE22" s="409" t="n">
        <f aca="false">AE20+AE21</f>
        <v>10445.2527435185</v>
      </c>
      <c r="AF22" s="409" t="n">
        <f aca="false">AF20+AF21</f>
        <v>10445.2527435185</v>
      </c>
      <c r="AG22" s="409" t="n">
        <f aca="false">AG20+AG21</f>
        <v>10445.2527435185</v>
      </c>
      <c r="AH22" s="409" t="n">
        <f aca="false">AH20+AH21</f>
        <v>10445.2527435185</v>
      </c>
      <c r="AI22" s="409" t="n">
        <f aca="false">AI20+AI21</f>
        <v>10445.2527435185</v>
      </c>
      <c r="AJ22" s="409" t="n">
        <f aca="false">AJ20+AJ21</f>
        <v>10445.2527435185</v>
      </c>
      <c r="AK22" s="409" t="n">
        <f aca="false">AK20+AK21</f>
        <v>10445.2527435185</v>
      </c>
      <c r="AL22" s="409" t="n">
        <f aca="false">AL20+AL21</f>
        <v>0</v>
      </c>
      <c r="AM22" s="409" t="n">
        <f aca="false">AM20+AM21</f>
        <v>0</v>
      </c>
      <c r="AN22" s="409" t="n">
        <f aca="false">AN20+AN21</f>
        <v>5584.27117921855</v>
      </c>
      <c r="AO22" s="409" t="n">
        <f aca="false">AO20+AO21</f>
        <v>0</v>
      </c>
      <c r="AP22" s="409" t="n">
        <f aca="false">AP20+AP21</f>
        <v>0</v>
      </c>
      <c r="AQ22" s="409" t="n">
        <f aca="false">AQ20+AQ21</f>
        <v>0</v>
      </c>
      <c r="AR22" s="409" t="n">
        <f aca="false">AR20+AR21</f>
        <v>0</v>
      </c>
      <c r="AS22" s="409" t="n">
        <f aca="false">AS20+AS21</f>
        <v>0</v>
      </c>
      <c r="AT22" s="409" t="n">
        <f aca="false">AT20+AT21</f>
        <v>0</v>
      </c>
      <c r="AU22" s="409" t="n">
        <f aca="false">AU20+AU21</f>
        <v>0</v>
      </c>
      <c r="AV22" s="409" t="n">
        <f aca="false">AV20+AV21</f>
        <v>0</v>
      </c>
      <c r="AW22" s="409" t="n">
        <f aca="false">AW20+AW21</f>
        <v>0</v>
      </c>
      <c r="AX22" s="409" t="n">
        <f aca="false">AX20+AX21</f>
        <v>0</v>
      </c>
      <c r="AY22" s="409" t="n">
        <f aca="false">AY20+AY21</f>
        <v>0</v>
      </c>
      <c r="AZ22" s="409" t="n">
        <f aca="false">AZ20+AZ21</f>
        <v>0</v>
      </c>
      <c r="BA22" s="409" t="n">
        <f aca="false">BA20+BA21</f>
        <v>0</v>
      </c>
      <c r="BB22" s="409" t="n">
        <f aca="false">BB20+BB21</f>
        <v>0</v>
      </c>
      <c r="BC22" s="409" t="n">
        <f aca="false">BC20+BC21</f>
        <v>0</v>
      </c>
      <c r="BD22" s="409" t="n">
        <f aca="false">BD20+BD21</f>
        <v>0</v>
      </c>
      <c r="BE22" s="409" t="n">
        <f aca="false">BE20+BE21</f>
        <v>0</v>
      </c>
      <c r="BF22" s="409" t="n">
        <f aca="false">BF20+BF21</f>
        <v>0</v>
      </c>
      <c r="BG22" s="409" t="n">
        <f aca="false">BG20+BG21</f>
        <v>0</v>
      </c>
      <c r="BH22" s="409" t="n">
        <f aca="false">BH20+BH21</f>
        <v>0</v>
      </c>
      <c r="BI22" s="409" t="n">
        <f aca="false">BI20+BI21</f>
        <v>0</v>
      </c>
      <c r="BJ22" s="409" t="n">
        <f aca="false">BJ20+BJ21</f>
        <v>0</v>
      </c>
      <c r="BK22" s="409" t="n">
        <f aca="false">BK20+BK21</f>
        <v>0</v>
      </c>
      <c r="BL22" s="409" t="n">
        <f aca="false">BL20+BL21</f>
        <v>0</v>
      </c>
      <c r="BM22" s="409" t="n">
        <f aca="false">BM20+BM21</f>
        <v>0</v>
      </c>
      <c r="BN22" s="409" t="n">
        <f aca="false">BN20+BN21</f>
        <v>0</v>
      </c>
      <c r="BO22" s="409" t="n">
        <f aca="false">BO20+BO21</f>
        <v>0</v>
      </c>
      <c r="BP22" s="409" t="n">
        <f aca="false">BP20+BP21</f>
        <v>0</v>
      </c>
      <c r="BQ22" s="409" t="n">
        <f aca="false">BQ20+BQ21</f>
        <v>0</v>
      </c>
      <c r="BR22" s="409" t="n">
        <f aca="false">BR20+BR21</f>
        <v>0</v>
      </c>
      <c r="BS22" s="409" t="n">
        <f aca="false">BS20+BS21</f>
        <v>0</v>
      </c>
      <c r="BT22" s="409" t="n">
        <f aca="false">BT20+BT21</f>
        <v>0</v>
      </c>
      <c r="BU22" s="409" t="n">
        <f aca="false">BU20+BU21</f>
        <v>0</v>
      </c>
      <c r="BV22" s="409" t="n">
        <f aca="false">BV20+BV21</f>
        <v>0</v>
      </c>
      <c r="BW22" s="409" t="n">
        <f aca="false">BW20+BW21</f>
        <v>0</v>
      </c>
      <c r="BX22" s="409" t="n">
        <f aca="false">BX20+BX21</f>
        <v>0</v>
      </c>
      <c r="BY22" s="409" t="n">
        <f aca="false">BY20+BY21</f>
        <v>0</v>
      </c>
      <c r="BZ22" s="409" t="n">
        <f aca="false">BZ20+BZ21</f>
        <v>0</v>
      </c>
      <c r="CA22" s="409" t="n">
        <f aca="false">CA20+CA21</f>
        <v>0</v>
      </c>
      <c r="CB22" s="409" t="n">
        <f aca="false">CB20+CB21</f>
        <v>0</v>
      </c>
      <c r="CC22" s="409" t="n">
        <f aca="false">CC20+CC21</f>
        <v>0</v>
      </c>
      <c r="CD22" s="409" t="n">
        <f aca="false">CD20+CD21</f>
        <v>0</v>
      </c>
      <c r="CE22" s="409" t="n">
        <f aca="false">CE20+CE21</f>
        <v>0</v>
      </c>
      <c r="CF22" s="409" t="n">
        <f aca="false">CF20+CF21</f>
        <v>0</v>
      </c>
      <c r="CG22" s="409" t="n">
        <f aca="false">CG20+CG21</f>
        <v>0</v>
      </c>
      <c r="CH22" s="409" t="n">
        <f aca="false">CH20+CH21</f>
        <v>0</v>
      </c>
      <c r="CI22" s="409" t="n">
        <f aca="false">CI20+CI21</f>
        <v>0</v>
      </c>
      <c r="CJ22" s="409" t="n">
        <f aca="false">CJ20+CJ21</f>
        <v>0</v>
      </c>
      <c r="CK22" s="409" t="n">
        <f aca="false">CK20+CK21</f>
        <v>0</v>
      </c>
      <c r="CL22" s="409" t="n">
        <f aca="false">CL20+CL21</f>
        <v>0</v>
      </c>
      <c r="CM22" s="409" t="n">
        <f aca="false">CM20+CM21</f>
        <v>0</v>
      </c>
      <c r="CN22" s="409" t="n">
        <f aca="false">CN20+CN21</f>
        <v>0</v>
      </c>
      <c r="CO22" s="409" t="n">
        <f aca="false">CO20+CO21</f>
        <v>0</v>
      </c>
      <c r="CP22" s="409" t="n">
        <f aca="false">CP20+CP21</f>
        <v>0</v>
      </c>
      <c r="CQ22" s="409" t="n">
        <f aca="false">CQ20+CQ21</f>
        <v>0</v>
      </c>
      <c r="CR22" s="409" t="n">
        <f aca="false">CR20+CR21</f>
        <v>0</v>
      </c>
      <c r="CS22" s="409" t="n">
        <f aca="false">CS20+CS21</f>
        <v>0</v>
      </c>
      <c r="CT22" s="409" t="n">
        <f aca="false">CT20+CT21</f>
        <v>0</v>
      </c>
      <c r="CU22" s="409" t="n">
        <f aca="false">CU20+CU21</f>
        <v>0</v>
      </c>
      <c r="CV22" s="409" t="n">
        <f aca="false">CV20+CV21</f>
        <v>0</v>
      </c>
      <c r="CW22" s="409" t="n">
        <f aca="false">CW20+CW21</f>
        <v>0</v>
      </c>
      <c r="CX22" s="409" t="n">
        <f aca="false">CX20+CX21</f>
        <v>0</v>
      </c>
      <c r="CY22" s="409" t="n">
        <f aca="false">CY20+CY21</f>
        <v>0</v>
      </c>
      <c r="CZ22" s="409" t="n">
        <f aca="false">CZ20+CZ21</f>
        <v>0</v>
      </c>
      <c r="DA22" s="409" t="n">
        <f aca="false">DA20+DA21</f>
        <v>0</v>
      </c>
      <c r="DB22" s="409" t="n">
        <f aca="false">DB20+DB21</f>
        <v>0</v>
      </c>
      <c r="DC22" s="409" t="n">
        <f aca="false">DC20+DC21</f>
        <v>0</v>
      </c>
      <c r="DD22" s="409" t="n">
        <f aca="false">DD20+DD21</f>
        <v>0</v>
      </c>
      <c r="DE22" s="409"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88" t="s">
        <v>1357</v>
      </c>
    </row>
    <row r="2" customFormat="false" ht="15" hidden="false" customHeight="true" outlineLevel="0" collapsed="false">
      <c r="A2" s="389" t="s">
        <v>1358</v>
      </c>
    </row>
    <row r="20" customFormat="false" ht="15" hidden="false" customHeight="true" outlineLevel="0" collapsed="false">
      <c r="A20" s="392" t="s">
        <v>1359</v>
      </c>
      <c r="B20" s="392" t="s">
        <v>1360</v>
      </c>
      <c r="C20" s="392" t="s">
        <v>1361</v>
      </c>
      <c r="D20" s="392" t="s">
        <v>1362</v>
      </c>
      <c r="E20" s="392" t="s">
        <v>1363</v>
      </c>
      <c r="F20" s="392" t="s">
        <v>1364</v>
      </c>
      <c r="G20" s="392" t="s">
        <v>1365</v>
      </c>
      <c r="H20" s="392" t="s">
        <v>1366</v>
      </c>
      <c r="I20" s="392" t="s">
        <v>1367</v>
      </c>
      <c r="J20" s="392" t="s">
        <v>1368</v>
      </c>
      <c r="K20" s="392" t="s">
        <v>484</v>
      </c>
    </row>
    <row r="21" customFormat="false" ht="15" hidden="false" customHeight="true" outlineLevel="0" collapsed="false">
      <c r="A21" s="393" t="s">
        <v>1369</v>
      </c>
      <c r="B21" s="400" t="n">
        <v>2026</v>
      </c>
      <c r="C21" s="410" t="n">
        <f aca="false">B21+1</f>
        <v>2027</v>
      </c>
      <c r="D21" s="410" t="n">
        <f aca="false">C21+1</f>
        <v>2028</v>
      </c>
      <c r="E21" s="410" t="n">
        <f aca="false">D21+1</f>
        <v>2029</v>
      </c>
      <c r="F21" s="410" t="n">
        <f aca="false">E21+1</f>
        <v>2030</v>
      </c>
      <c r="G21" s="410" t="n">
        <f aca="false">F21+1</f>
        <v>2031</v>
      </c>
      <c r="H21" s="410" t="n">
        <f aca="false">G21+1</f>
        <v>2032</v>
      </c>
      <c r="I21" s="410" t="n">
        <f aca="false">H21+1</f>
        <v>2033</v>
      </c>
      <c r="J21" s="410" t="n">
        <f aca="false">I21+1</f>
        <v>2034</v>
      </c>
      <c r="K21" s="411"/>
    </row>
    <row r="22" customFormat="false" ht="15" hidden="false" customHeight="true" outlineLevel="0" collapsed="false">
      <c r="A22" s="393" t="s">
        <v>1370</v>
      </c>
      <c r="B22" s="410" t="n">
        <f aca="false">IF(B21=YEAR('APA Inputs'!$B$6),13-MONTH('APA Inputs'!$B$6),IF(B21&lt;YEAR('APA Inputs'!$B$6),0,12))</f>
        <v>6</v>
      </c>
      <c r="C22" s="410" t="n">
        <f aca="false">IF(C21=YEAR('APA Inputs'!$B$6),13-MONTH('APA Inputs'!$B$6),IF(C21&lt;YEAR('APA Inputs'!$B$6),0,12))</f>
        <v>12</v>
      </c>
      <c r="D22" s="410" t="n">
        <f aca="false">IF(D21=YEAR('APA Inputs'!$B$6),13-MONTH('APA Inputs'!$B$6),IF(D21&lt;YEAR('APA Inputs'!$B$6),0,12))</f>
        <v>12</v>
      </c>
      <c r="E22" s="410" t="n">
        <f aca="false">IF(E21=YEAR('APA Inputs'!$B$6),13-MONTH('APA Inputs'!$B$6),IF(E21&lt;YEAR('APA Inputs'!$B$6),0,12))</f>
        <v>12</v>
      </c>
      <c r="F22" s="410" t="n">
        <f aca="false">IF(F21=YEAR('APA Inputs'!$B$6),13-MONTH('APA Inputs'!$B$6),IF(F21&lt;YEAR('APA Inputs'!$B$6),0,12))</f>
        <v>12</v>
      </c>
      <c r="G22" s="410" t="n">
        <f aca="false">IF(G21=YEAR('APA Inputs'!$B$6),13-MONTH('APA Inputs'!$B$6),IF(G21&lt;YEAR('APA Inputs'!$B$6),0,12))</f>
        <v>12</v>
      </c>
      <c r="H22" s="410" t="n">
        <f aca="false">IF(H21=YEAR('APA Inputs'!$B$6),13-MONTH('APA Inputs'!$B$6),IF(H21&lt;YEAR('APA Inputs'!$B$6),0,12))</f>
        <v>12</v>
      </c>
      <c r="I22" s="410" t="n">
        <f aca="false">IF(I21=YEAR('APA Inputs'!$B$6),13-MONTH('APA Inputs'!$B$6),IF(I21&lt;YEAR('APA Inputs'!$B$6),0,12))</f>
        <v>12</v>
      </c>
      <c r="J22" s="410" t="n">
        <f aca="false">IF(J21=YEAR('APA Inputs'!$B$6),13-MONTH('APA Inputs'!$B$6),IF(J21&lt;YEAR('APA Inputs'!$B$6),0,12))</f>
        <v>12</v>
      </c>
      <c r="K22" s="411"/>
    </row>
    <row r="23" customFormat="false" ht="15" hidden="false" customHeight="true" outlineLevel="0" collapsed="false">
      <c r="A23" s="401" t="s">
        <v>1371</v>
      </c>
      <c r="B23" s="412" t="n">
        <f aca="false">SUMIF('APA Schedule'!$B$5:$DE$5,B21,'APA Schedule'!$B$17:$DE$17)</f>
        <v>94164.18</v>
      </c>
      <c r="C23" s="412" t="n">
        <f aca="false">SUMIF('APA Schedule'!$B$5:$DE$5,C21,'APA Schedule'!$B$17:$DE$17)</f>
        <v>494608.902222222</v>
      </c>
      <c r="D23" s="412" t="n">
        <f aca="false">SUMIF('APA Schedule'!$B$5:$DE$5,D21,'APA Schedule'!$B$17:$DE$17)</f>
        <v>516944.397777778</v>
      </c>
      <c r="E23" s="412" t="n">
        <f aca="false">SUMIF('APA Schedule'!$B$5:$DE$5,E21,'APA Schedule'!$B$17:$DE$17)</f>
        <v>0</v>
      </c>
      <c r="F23" s="412" t="n">
        <f aca="false">SUMIF('APA Schedule'!$B$5:$DE$5,F21,'APA Schedule'!$B$17:$DE$17)</f>
        <v>0</v>
      </c>
      <c r="G23" s="412" t="n">
        <f aca="false">SUMIF('APA Schedule'!$B$5:$DE$5,G21,'APA Schedule'!$B$17:$DE$17)</f>
        <v>0</v>
      </c>
      <c r="H23" s="412" t="n">
        <f aca="false">SUMIF('APA Schedule'!$B$5:$DE$5,H21,'APA Schedule'!$B$17:$DE$17)</f>
        <v>0</v>
      </c>
      <c r="I23" s="412" t="n">
        <f aca="false">SUMIF('APA Schedule'!$B$5:$DE$5,I21,'APA Schedule'!$B$17:$DE$17)</f>
        <v>0</v>
      </c>
      <c r="J23" s="412" t="n">
        <f aca="false">SUMIF('APA Schedule'!$B$5:$DE$5,J21,'APA Schedule'!$B$17:$DE$17)</f>
        <v>0</v>
      </c>
      <c r="K23" s="413" t="n">
        <f aca="false">SUM(B23:J23)</f>
        <v>1105717.48</v>
      </c>
    </row>
    <row r="24" customFormat="false" ht="15" hidden="false" customHeight="true" outlineLevel="0" collapsed="false">
      <c r="A24" s="414" t="s">
        <v>1372</v>
      </c>
      <c r="B24" s="411"/>
      <c r="C24" s="411"/>
      <c r="D24" s="411"/>
      <c r="E24" s="411"/>
      <c r="F24" s="411"/>
      <c r="G24" s="411"/>
      <c r="H24" s="411"/>
      <c r="I24" s="411"/>
      <c r="J24" s="411"/>
      <c r="K24" s="411"/>
    </row>
    <row r="25" customFormat="false" ht="15" hidden="false" customHeight="true" outlineLevel="0" collapsed="false">
      <c r="A25" s="393" t="s">
        <v>1373</v>
      </c>
      <c r="B25" s="405" t="n">
        <f aca="false">'APA Inputs'!$B$10*(1+'APA Inputs'!$B$11)^MAX(0,B21-$C$21)*B22/12</f>
        <v>12500</v>
      </c>
      <c r="C25" s="405" t="n">
        <f aca="false">'APA Inputs'!$B$10*(1+'APA Inputs'!$B$11)^MAX(0,C21-$C$21)*C22/12</f>
        <v>25000</v>
      </c>
      <c r="D25" s="405" t="n">
        <f aca="false">'APA Inputs'!$B$10*(1+'APA Inputs'!$B$11)^MAX(0,D21-$C$21)*D22/12</f>
        <v>25750</v>
      </c>
      <c r="E25" s="405" t="n">
        <f aca="false">'APA Inputs'!$B$10*(1+'APA Inputs'!$B$11)^MAX(0,E21-$C$21)*E22/12</f>
        <v>26522.5</v>
      </c>
      <c r="F25" s="405" t="n">
        <f aca="false">'APA Inputs'!$B$10*(1+'APA Inputs'!$B$11)^MAX(0,F21-$C$21)*F22/12</f>
        <v>27318.175</v>
      </c>
      <c r="G25" s="405" t="n">
        <f aca="false">'APA Inputs'!$B$10*(1+'APA Inputs'!$B$11)^MAX(0,G21-$C$21)*G22/12</f>
        <v>28137.72025</v>
      </c>
      <c r="H25" s="405" t="n">
        <f aca="false">'APA Inputs'!$B$10*(1+'APA Inputs'!$B$11)^MAX(0,H21-$C$21)*H22/12</f>
        <v>28981.8518575</v>
      </c>
      <c r="I25" s="405" t="n">
        <f aca="false">'APA Inputs'!$B$10*(1+'APA Inputs'!$B$11)^MAX(0,I21-$C$21)*I22/12</f>
        <v>29851.307413225</v>
      </c>
      <c r="J25" s="405" t="n">
        <f aca="false">'APA Inputs'!$B$10*(1+'APA Inputs'!$B$11)^MAX(0,J21-$C$21)*J22/12</f>
        <v>30746.8466356218</v>
      </c>
      <c r="K25" s="413" t="n">
        <f aca="false">SUM(B25:J25)</f>
        <v>234808.401156347</v>
      </c>
    </row>
    <row r="26" customFormat="false" ht="15" hidden="false" customHeight="true" outlineLevel="0" collapsed="false">
      <c r="A26" s="401" t="s">
        <v>1374</v>
      </c>
      <c r="B26" s="413" t="n">
        <f aca="false">B23-B25</f>
        <v>81664.18</v>
      </c>
      <c r="C26" s="413" t="n">
        <f aca="false">C23-C25</f>
        <v>469608.902222222</v>
      </c>
      <c r="D26" s="413" t="n">
        <f aca="false">D23-D25</f>
        <v>491194.397777778</v>
      </c>
      <c r="E26" s="413" t="n">
        <f aca="false">E23-E25</f>
        <v>-26522.5</v>
      </c>
      <c r="F26" s="413" t="n">
        <f aca="false">F23-F25</f>
        <v>-27318.175</v>
      </c>
      <c r="G26" s="413" t="n">
        <f aca="false">G23-G25</f>
        <v>-28137.72025</v>
      </c>
      <c r="H26" s="413" t="n">
        <f aca="false">H23-H25</f>
        <v>-28981.8518575</v>
      </c>
      <c r="I26" s="413" t="n">
        <f aca="false">I23-I25</f>
        <v>-29851.307413225</v>
      </c>
      <c r="J26" s="413" t="n">
        <f aca="false">J23-J25</f>
        <v>-30746.8466356218</v>
      </c>
      <c r="K26" s="413" t="n">
        <f aca="false">SUM(B26:J26)</f>
        <v>870909.078843653</v>
      </c>
    </row>
    <row r="27" customFormat="false" ht="15" hidden="false" customHeight="true" outlineLevel="0" collapsed="false">
      <c r="A27" s="414" t="s">
        <v>1375</v>
      </c>
      <c r="B27" s="411"/>
      <c r="C27" s="411"/>
      <c r="D27" s="411"/>
      <c r="E27" s="411"/>
      <c r="F27" s="411"/>
      <c r="G27" s="411"/>
      <c r="H27" s="411"/>
      <c r="I27" s="411"/>
      <c r="J27" s="411"/>
      <c r="K27" s="411"/>
    </row>
    <row r="28" customFormat="false" ht="15" hidden="false" customHeight="true" outlineLevel="0" collapsed="false">
      <c r="A28" s="393" t="s">
        <v>1376</v>
      </c>
      <c r="B28" s="410" t="n">
        <f aca="false">MAX(0,MIN(B22,(B21-YEAR('APA Inputs'!$B$9))*12+13-MONTH('APA Inputs'!$B$9)))</f>
        <v>0</v>
      </c>
      <c r="C28" s="410" t="n">
        <f aca="false">MAX(0,MIN(C22,(C21-YEAR('APA Inputs'!$B$9))*12+13-MONTH('APA Inputs'!$B$9)))</f>
        <v>7</v>
      </c>
      <c r="D28" s="410" t="n">
        <f aca="false">MAX(0,MIN(D22,(D21-YEAR('APA Inputs'!$B$9))*12+13-MONTH('APA Inputs'!$B$9)))</f>
        <v>12</v>
      </c>
      <c r="E28" s="410" t="n">
        <f aca="false">MAX(0,MIN(E22,(E21-YEAR('APA Inputs'!$B$9))*12+13-MONTH('APA Inputs'!$B$9)))</f>
        <v>12</v>
      </c>
      <c r="F28" s="410" t="n">
        <f aca="false">MAX(0,MIN(F22,(F21-YEAR('APA Inputs'!$B$9))*12+13-MONTH('APA Inputs'!$B$9)))</f>
        <v>12</v>
      </c>
      <c r="G28" s="410" t="n">
        <f aca="false">MAX(0,MIN(G22,(G21-YEAR('APA Inputs'!$B$9))*12+13-MONTH('APA Inputs'!$B$9)))</f>
        <v>12</v>
      </c>
      <c r="H28" s="410" t="n">
        <f aca="false">MAX(0,MIN(H22,(H21-YEAR('APA Inputs'!$B$9))*12+13-MONTH('APA Inputs'!$B$9)))</f>
        <v>12</v>
      </c>
      <c r="I28" s="410" t="n">
        <f aca="false">MAX(0,MIN(I22,(I21-YEAR('APA Inputs'!$B$9))*12+13-MONTH('APA Inputs'!$B$9)))</f>
        <v>12</v>
      </c>
      <c r="J28" s="410" t="n">
        <f aca="false">MAX(0,MIN(J22,(J21-YEAR('APA Inputs'!$B$9))*12+13-MONTH('APA Inputs'!$B$9)))</f>
        <v>12</v>
      </c>
      <c r="K28" s="411"/>
    </row>
    <row r="29" customFormat="false" ht="15" hidden="false" customHeight="true" outlineLevel="0" collapsed="false">
      <c r="A29" s="393" t="s">
        <v>1377</v>
      </c>
      <c r="B29" s="405" t="n">
        <f aca="false">(B22-B28)/12*'APA Inputs'!$B$7+B28/12*'APA Inputs'!$B$8</f>
        <v>75000</v>
      </c>
      <c r="C29" s="405" t="n">
        <f aca="false">(C22-C28)/12*'APA Inputs'!$B$7+C28/12*'APA Inputs'!$B$8</f>
        <v>193750</v>
      </c>
      <c r="D29" s="405" t="n">
        <f aca="false">(D22-D28)/12*'APA Inputs'!$B$7+D28/12*'APA Inputs'!$B$8</f>
        <v>225000</v>
      </c>
      <c r="E29" s="405" t="n">
        <f aca="false">(E22-E28)/12*'APA Inputs'!$B$7+E28/12*'APA Inputs'!$B$8</f>
        <v>225000</v>
      </c>
      <c r="F29" s="405" t="n">
        <f aca="false">(F22-F28)/12*'APA Inputs'!$B$7+F28/12*'APA Inputs'!$B$8</f>
        <v>225000</v>
      </c>
      <c r="G29" s="405" t="n">
        <f aca="false">(G22-G28)/12*'APA Inputs'!$B$7+G28/12*'APA Inputs'!$B$8</f>
        <v>225000</v>
      </c>
      <c r="H29" s="405" t="n">
        <f aca="false">(H22-H28)/12*'APA Inputs'!$B$7+H28/12*'APA Inputs'!$B$8</f>
        <v>225000</v>
      </c>
      <c r="I29" s="405" t="n">
        <f aca="false">(I22-I28)/12*'APA Inputs'!$B$7+I28/12*'APA Inputs'!$B$8</f>
        <v>225000</v>
      </c>
      <c r="J29" s="405" t="n">
        <f aca="false">(J22-J28)/12*'APA Inputs'!$B$7+J28/12*'APA Inputs'!$B$8</f>
        <v>225000</v>
      </c>
      <c r="K29" s="413" t="n">
        <f aca="false">SUM(B29:J29)</f>
        <v>1843750</v>
      </c>
    </row>
    <row r="30" customFormat="false" ht="15" hidden="false" customHeight="true" outlineLevel="0" collapsed="false">
      <c r="A30" s="393" t="s">
        <v>1378</v>
      </c>
      <c r="B30" s="405" t="n">
        <f aca="false">MAX(0,B26-B29-B23*'APA Inputs'!$B$12)</f>
        <v>3839.25460000001</v>
      </c>
      <c r="C30" s="405" t="n">
        <f aca="false">MAX(0,C26-C29-C23*'APA Inputs'!$B$12)</f>
        <v>261020.635155556</v>
      </c>
      <c r="D30" s="405" t="n">
        <f aca="false">MAX(0,D26-D29-D23*'APA Inputs'!$B$12)</f>
        <v>250686.065844444</v>
      </c>
      <c r="E30" s="405" t="n">
        <f aca="false">MAX(0,E26-E29-E23*'APA Inputs'!$B$12)</f>
        <v>0</v>
      </c>
      <c r="F30" s="405" t="n">
        <f aca="false">MAX(0,F26-F29-F23*'APA Inputs'!$B$12)</f>
        <v>0</v>
      </c>
      <c r="G30" s="405" t="n">
        <f aca="false">MAX(0,G26-G29-G23*'APA Inputs'!$B$12)</f>
        <v>0</v>
      </c>
      <c r="H30" s="405" t="n">
        <f aca="false">MAX(0,H26-H29-H23*'APA Inputs'!$B$12)</f>
        <v>0</v>
      </c>
      <c r="I30" s="405" t="n">
        <f aca="false">MAX(0,I26-I29-I23*'APA Inputs'!$B$12)</f>
        <v>0</v>
      </c>
      <c r="J30" s="405" t="n">
        <f aca="false">MAX(0,J26-J29-J23*'APA Inputs'!$B$12)</f>
        <v>0</v>
      </c>
      <c r="K30" s="413" t="n">
        <f aca="false">SUM(B30:J30)</f>
        <v>515545.9556</v>
      </c>
    </row>
    <row r="31" customFormat="false" ht="15" hidden="false" customHeight="true" outlineLevel="0" collapsed="false">
      <c r="A31" s="393" t="s">
        <v>1379</v>
      </c>
      <c r="B31" s="405" t="n">
        <f aca="false">B30*'APA Inputs'!$B$13</f>
        <v>1919.6273</v>
      </c>
      <c r="C31" s="405" t="n">
        <f aca="false">C30*'APA Inputs'!$B$13</f>
        <v>130510.317577778</v>
      </c>
      <c r="D31" s="405" t="n">
        <f aca="false">D30*'APA Inputs'!$B$13</f>
        <v>125343.032922222</v>
      </c>
      <c r="E31" s="405" t="n">
        <f aca="false">E30*'APA Inputs'!$B$13</f>
        <v>0</v>
      </c>
      <c r="F31" s="405" t="n">
        <f aca="false">F30*'APA Inputs'!$B$13</f>
        <v>0</v>
      </c>
      <c r="G31" s="405" t="n">
        <f aca="false">G30*'APA Inputs'!$B$13</f>
        <v>0</v>
      </c>
      <c r="H31" s="405" t="n">
        <f aca="false">H30*'APA Inputs'!$B$13</f>
        <v>0</v>
      </c>
      <c r="I31" s="405" t="n">
        <f aca="false">I30*'APA Inputs'!$B$13</f>
        <v>0</v>
      </c>
      <c r="J31" s="405" t="n">
        <f aca="false">J30*'APA Inputs'!$B$13</f>
        <v>0</v>
      </c>
      <c r="K31" s="413" t="n">
        <f aca="false">SUM(B31:J31)</f>
        <v>257772.9778</v>
      </c>
    </row>
    <row r="32" customFormat="false" ht="15" hidden="false" customHeight="true" outlineLevel="0" collapsed="false">
      <c r="A32" s="393" t="s">
        <v>1380</v>
      </c>
      <c r="B32" s="405" t="n">
        <f aca="false">B30*(1-'APA Inputs'!$B$13)</f>
        <v>1919.6273</v>
      </c>
      <c r="C32" s="405" t="n">
        <f aca="false">C30*(1-'APA Inputs'!$B$13)</f>
        <v>130510.317577778</v>
      </c>
      <c r="D32" s="405" t="n">
        <f aca="false">D30*(1-'APA Inputs'!$B$13)</f>
        <v>125343.032922222</v>
      </c>
      <c r="E32" s="405" t="n">
        <f aca="false">E30*(1-'APA Inputs'!$B$13)</f>
        <v>0</v>
      </c>
      <c r="F32" s="405" t="n">
        <f aca="false">F30*(1-'APA Inputs'!$B$13)</f>
        <v>0</v>
      </c>
      <c r="G32" s="405" t="n">
        <f aca="false">G30*(1-'APA Inputs'!$B$13)</f>
        <v>0</v>
      </c>
      <c r="H32" s="405" t="n">
        <f aca="false">H30*(1-'APA Inputs'!$B$13)</f>
        <v>0</v>
      </c>
      <c r="I32" s="405" t="n">
        <f aca="false">I30*(1-'APA Inputs'!$B$13)</f>
        <v>0</v>
      </c>
      <c r="J32" s="405" t="n">
        <f aca="false">J30*(1-'APA Inputs'!$B$13)</f>
        <v>0</v>
      </c>
      <c r="K32" s="413" t="n">
        <f aca="false">SUM(B32:J32)</f>
        <v>257772.9778</v>
      </c>
    </row>
    <row r="33" customFormat="false" ht="15" hidden="false" customHeight="true" outlineLevel="0" collapsed="false">
      <c r="A33" s="415" t="s">
        <v>1381</v>
      </c>
      <c r="B33" s="416" t="n">
        <f aca="false">B29+B31+B32</f>
        <v>78839.2546</v>
      </c>
      <c r="C33" s="416" t="n">
        <f aca="false">C29+C31+C32</f>
        <v>454770.635155556</v>
      </c>
      <c r="D33" s="416" t="n">
        <f aca="false">D29+D31+D32</f>
        <v>475686.065844444</v>
      </c>
      <c r="E33" s="416" t="n">
        <f aca="false">E29+E31+E32</f>
        <v>225000</v>
      </c>
      <c r="F33" s="416" t="n">
        <f aca="false">F29+F31+F32</f>
        <v>225000</v>
      </c>
      <c r="G33" s="416" t="n">
        <f aca="false">G29+G31+G32</f>
        <v>225000</v>
      </c>
      <c r="H33" s="416" t="n">
        <f aca="false">H29+H31+H32</f>
        <v>225000</v>
      </c>
      <c r="I33" s="416" t="n">
        <f aca="false">I29+I31+I32</f>
        <v>225000</v>
      </c>
      <c r="J33" s="416" t="n">
        <f aca="false">J29+J31+J32</f>
        <v>225000</v>
      </c>
      <c r="K33" s="413" t="n">
        <f aca="false">SUM(B33:J33)</f>
        <v>2359295.9556</v>
      </c>
    </row>
    <row r="34" customFormat="false" ht="15" hidden="false" customHeight="true" outlineLevel="0" collapsed="false">
      <c r="A34" s="393" t="s">
        <v>1382</v>
      </c>
      <c r="B34" s="417" t="n">
        <f aca="false">IF(B23=0,0,B33/B23)</f>
        <v>0.837253131711018</v>
      </c>
      <c r="C34" s="417" t="n">
        <f aca="false">IF(C23=0,0,C33/C23)</f>
        <v>0.91945501407743</v>
      </c>
      <c r="D34" s="417" t="n">
        <f aca="false">IF(D23=0,0,D33/D23)</f>
        <v>0.920188066432883</v>
      </c>
      <c r="E34" s="417" t="n">
        <f aca="false">IF(E23=0,0,E33/E23)</f>
        <v>0</v>
      </c>
      <c r="F34" s="417" t="n">
        <f aca="false">IF(F23=0,0,F33/F23)</f>
        <v>0</v>
      </c>
      <c r="G34" s="417" t="n">
        <f aca="false">IF(G23=0,0,G33/G23)</f>
        <v>0</v>
      </c>
      <c r="H34" s="417" t="n">
        <f aca="false">IF(H23=0,0,H33/H23)</f>
        <v>0</v>
      </c>
      <c r="I34" s="417" t="n">
        <f aca="false">IF(I23=0,0,I33/I23)</f>
        <v>0</v>
      </c>
      <c r="J34" s="417" t="n">
        <f aca="false">IF(J23=0,0,J33/J23)</f>
        <v>0</v>
      </c>
      <c r="K34" s="411"/>
    </row>
    <row r="35" customFormat="false" ht="15" hidden="false" customHeight="true" outlineLevel="0" collapsed="false">
      <c r="A35" s="414" t="s">
        <v>1383</v>
      </c>
      <c r="B35" s="411"/>
      <c r="C35" s="411"/>
      <c r="D35" s="411"/>
      <c r="E35" s="411"/>
      <c r="F35" s="411"/>
      <c r="G35" s="411"/>
      <c r="H35" s="411"/>
      <c r="I35" s="411"/>
      <c r="J35" s="411"/>
      <c r="K35" s="411"/>
    </row>
    <row r="36" customFormat="false" ht="15" hidden="false" customHeight="true" outlineLevel="0" collapsed="false">
      <c r="A36" s="393" t="s">
        <v>1384</v>
      </c>
      <c r="B36" s="405" t="n">
        <f aca="false">B26-B33</f>
        <v>2824.92539999999</v>
      </c>
      <c r="C36" s="405" t="n">
        <f aca="false">C26-C33</f>
        <v>14838.2670666667</v>
      </c>
      <c r="D36" s="405" t="n">
        <f aca="false">D26-D33</f>
        <v>15508.3319333334</v>
      </c>
      <c r="E36" s="405" t="n">
        <f aca="false">E26-E33</f>
        <v>-251522.5</v>
      </c>
      <c r="F36" s="405" t="n">
        <f aca="false">F26-F33</f>
        <v>-252318.175</v>
      </c>
      <c r="G36" s="405" t="n">
        <f aca="false">G26-G33</f>
        <v>-253137.72025</v>
      </c>
      <c r="H36" s="405" t="n">
        <f aca="false">H26-H33</f>
        <v>-253981.8518575</v>
      </c>
      <c r="I36" s="405" t="n">
        <f aca="false">I26-I33</f>
        <v>-254851.307413225</v>
      </c>
      <c r="J36" s="405" t="n">
        <f aca="false">J26-J33</f>
        <v>-255746.846635622</v>
      </c>
      <c r="K36" s="413" t="n">
        <f aca="false">SUM(B36:J36)</f>
        <v>-1488386.87675635</v>
      </c>
    </row>
    <row r="37" customFormat="false" ht="15" hidden="false" customHeight="true" outlineLevel="0" collapsed="false">
      <c r="A37" s="393" t="s">
        <v>1385</v>
      </c>
      <c r="B37" s="405" t="n">
        <f aca="false">MAX('APA Inputs'!$B$17,MAX(0,B36)*'APA Inputs'!$B$16)</f>
        <v>800</v>
      </c>
      <c r="C37" s="405" t="n">
        <f aca="false">MAX('APA Inputs'!$B$17,MAX(0,C36)*'APA Inputs'!$B$16)</f>
        <v>1311.70280869333</v>
      </c>
      <c r="D37" s="405" t="n">
        <f aca="false">MAX('APA Inputs'!$B$17,MAX(0,D36)*'APA Inputs'!$B$16)</f>
        <v>1370.93654290667</v>
      </c>
      <c r="E37" s="405" t="n">
        <f aca="false">MAX('APA Inputs'!$B$17,MAX(0,E36)*'APA Inputs'!$B$16)</f>
        <v>800</v>
      </c>
      <c r="F37" s="405" t="n">
        <f aca="false">MAX('APA Inputs'!$B$17,MAX(0,F36)*'APA Inputs'!$B$16)</f>
        <v>800</v>
      </c>
      <c r="G37" s="405" t="n">
        <f aca="false">MAX('APA Inputs'!$B$17,MAX(0,G36)*'APA Inputs'!$B$16)</f>
        <v>800</v>
      </c>
      <c r="H37" s="405" t="n">
        <f aca="false">MAX('APA Inputs'!$B$17,MAX(0,H36)*'APA Inputs'!$B$16)</f>
        <v>800</v>
      </c>
      <c r="I37" s="405" t="n">
        <f aca="false">MAX('APA Inputs'!$B$17,MAX(0,I36)*'APA Inputs'!$B$16)</f>
        <v>800</v>
      </c>
      <c r="J37" s="405" t="n">
        <f aca="false">MAX('APA Inputs'!$B$17,MAX(0,J36)*'APA Inputs'!$B$16)</f>
        <v>800</v>
      </c>
      <c r="K37" s="413" t="n">
        <f aca="false">SUM(B37:J37)</f>
        <v>8282.6393516</v>
      </c>
    </row>
    <row r="38" customFormat="false" ht="15" hidden="false" customHeight="true" outlineLevel="0" collapsed="false">
      <c r="A38" s="393" t="s">
        <v>1386</v>
      </c>
      <c r="B38" s="405" t="n">
        <f aca="false">MAX(0,B36-B37)*'APA Inputs'!$B$15</f>
        <v>425.234333999998</v>
      </c>
      <c r="C38" s="405" t="n">
        <f aca="false">MAX(0,C36-C37)*'APA Inputs'!$B$15</f>
        <v>2840.5784941744</v>
      </c>
      <c r="D38" s="405" t="n">
        <f aca="false">MAX(0,D36-D37)*'APA Inputs'!$B$15</f>
        <v>2968.85303198961</v>
      </c>
      <c r="E38" s="405" t="n">
        <f aca="false">MAX(0,E36-E37)*'APA Inputs'!$B$15</f>
        <v>0</v>
      </c>
      <c r="F38" s="405" t="n">
        <f aca="false">MAX(0,F36-F37)*'APA Inputs'!$B$15</f>
        <v>0</v>
      </c>
      <c r="G38" s="405" t="n">
        <f aca="false">MAX(0,G36-G37)*'APA Inputs'!$B$15</f>
        <v>0</v>
      </c>
      <c r="H38" s="405" t="n">
        <f aca="false">MAX(0,H36-H37)*'APA Inputs'!$B$15</f>
        <v>0</v>
      </c>
      <c r="I38" s="405" t="n">
        <f aca="false">MAX(0,I36-I37)*'APA Inputs'!$B$15</f>
        <v>0</v>
      </c>
      <c r="J38" s="405" t="n">
        <f aca="false">MAX(0,J36-J37)*'APA Inputs'!$B$15</f>
        <v>0</v>
      </c>
      <c r="K38" s="413" t="n">
        <f aca="false">SUM(B38:J38)</f>
        <v>6234.66586016401</v>
      </c>
    </row>
    <row r="39" customFormat="false" ht="15" hidden="false" customHeight="true" outlineLevel="0" collapsed="false">
      <c r="A39" s="401" t="s">
        <v>1387</v>
      </c>
      <c r="B39" s="413" t="n">
        <f aca="false">B36-B37-B38</f>
        <v>1599.69106599999</v>
      </c>
      <c r="C39" s="413" t="n">
        <f aca="false">C36-C37-C38</f>
        <v>10685.9857637989</v>
      </c>
      <c r="D39" s="413" t="n">
        <f aca="false">D36-D37-D38</f>
        <v>11168.5423584371</v>
      </c>
      <c r="E39" s="413" t="n">
        <f aca="false">E36-E37-E38</f>
        <v>-252322.5</v>
      </c>
      <c r="F39" s="413" t="n">
        <f aca="false">F36-F37-F38</f>
        <v>-253118.175</v>
      </c>
      <c r="G39" s="413" t="n">
        <f aca="false">G36-G37-G38</f>
        <v>-253937.72025</v>
      </c>
      <c r="H39" s="413" t="n">
        <f aca="false">H36-H37-H38</f>
        <v>-254781.8518575</v>
      </c>
      <c r="I39" s="413" t="n">
        <f aca="false">I36-I37-I38</f>
        <v>-255651.307413225</v>
      </c>
      <c r="J39" s="413" t="n">
        <f aca="false">J36-J37-J38</f>
        <v>-256546.846635622</v>
      </c>
      <c r="K39" s="413" t="n">
        <f aca="false">SUM(B39:J39)</f>
        <v>-1502904.18196811</v>
      </c>
    </row>
    <row r="40" customFormat="false" ht="15" hidden="false" customHeight="true" outlineLevel="0" collapsed="false">
      <c r="A40" s="393" t="s">
        <v>1388</v>
      </c>
      <c r="B40" s="405" t="n">
        <f aca="false">MAX(0,B39)</f>
        <v>1599.69106599999</v>
      </c>
      <c r="C40" s="405" t="n">
        <f aca="false">MAX(0,C39)</f>
        <v>10685.9857637989</v>
      </c>
      <c r="D40" s="405" t="n">
        <f aca="false">MAX(0,D39)</f>
        <v>11168.5423584371</v>
      </c>
      <c r="E40" s="405" t="n">
        <f aca="false">MAX(0,E39)</f>
        <v>0</v>
      </c>
      <c r="F40" s="405" t="n">
        <f aca="false">MAX(0,F39)</f>
        <v>0</v>
      </c>
      <c r="G40" s="405" t="n">
        <f aca="false">MAX(0,G39)</f>
        <v>0</v>
      </c>
      <c r="H40" s="405" t="n">
        <f aca="false">MAX(0,H39)</f>
        <v>0</v>
      </c>
      <c r="I40" s="405" t="n">
        <f aca="false">MAX(0,I39)</f>
        <v>0</v>
      </c>
      <c r="J40" s="405" t="n">
        <f aca="false">MAX(0,J39)</f>
        <v>0</v>
      </c>
      <c r="K40" s="413" t="n">
        <f aca="false">SUM(B40:J40)</f>
        <v>23454.219188236</v>
      </c>
    </row>
    <row r="41" customFormat="false" ht="15" hidden="false" customHeight="true" outlineLevel="0" collapsed="false">
      <c r="A41" s="414" t="s">
        <v>1389</v>
      </c>
      <c r="B41" s="411"/>
      <c r="C41" s="411"/>
      <c r="D41" s="411"/>
      <c r="E41" s="411"/>
      <c r="F41" s="411"/>
      <c r="G41" s="411"/>
      <c r="H41" s="411"/>
      <c r="I41" s="411"/>
      <c r="J41" s="411"/>
      <c r="K41" s="411"/>
    </row>
    <row r="42" customFormat="false" ht="15" hidden="false" customHeight="true" outlineLevel="0" collapsed="false">
      <c r="A42" s="393" t="s">
        <v>1390</v>
      </c>
      <c r="B42" s="405" t="n">
        <f aca="false">B29+B31</f>
        <v>76919.6273</v>
      </c>
      <c r="C42" s="405" t="n">
        <f aca="false">C29+C31</f>
        <v>324260.317577778</v>
      </c>
      <c r="D42" s="405" t="n">
        <f aca="false">D29+D31</f>
        <v>350343.032922222</v>
      </c>
      <c r="E42" s="405" t="n">
        <f aca="false">E29+E31</f>
        <v>225000</v>
      </c>
      <c r="F42" s="405" t="n">
        <f aca="false">F29+F31</f>
        <v>225000</v>
      </c>
      <c r="G42" s="405" t="n">
        <f aca="false">G29+G31</f>
        <v>225000</v>
      </c>
      <c r="H42" s="405" t="n">
        <f aca="false">H29+H31</f>
        <v>225000</v>
      </c>
      <c r="I42" s="405" t="n">
        <f aca="false">I29+I31</f>
        <v>225000</v>
      </c>
      <c r="J42" s="405" t="n">
        <f aca="false">J29+J31</f>
        <v>225000</v>
      </c>
      <c r="K42" s="413" t="n">
        <f aca="false">SUM(B42:J42)</f>
        <v>2101522.9778</v>
      </c>
    </row>
    <row r="43" customFormat="false" ht="15" hidden="false" customHeight="true" outlineLevel="0" collapsed="false">
      <c r="A43" s="393" t="s">
        <v>1391</v>
      </c>
      <c r="B43" s="405" t="n">
        <f aca="false">B40*'APA Inputs'!$B$14</f>
        <v>799.845532999997</v>
      </c>
      <c r="C43" s="405" t="n">
        <f aca="false">C40*'APA Inputs'!$B$14</f>
        <v>5342.99288189947</v>
      </c>
      <c r="D43" s="405" t="n">
        <f aca="false">D40*'APA Inputs'!$B$14</f>
        <v>5584.27117921855</v>
      </c>
      <c r="E43" s="405" t="n">
        <f aca="false">E40*'APA Inputs'!$B$14</f>
        <v>0</v>
      </c>
      <c r="F43" s="405" t="n">
        <f aca="false">F40*'APA Inputs'!$B$14</f>
        <v>0</v>
      </c>
      <c r="G43" s="405" t="n">
        <f aca="false">G40*'APA Inputs'!$B$14</f>
        <v>0</v>
      </c>
      <c r="H43" s="405" t="n">
        <f aca="false">H40*'APA Inputs'!$B$14</f>
        <v>0</v>
      </c>
      <c r="I43" s="405" t="n">
        <f aca="false">I40*'APA Inputs'!$B$14</f>
        <v>0</v>
      </c>
      <c r="J43" s="405" t="n">
        <f aca="false">J40*'APA Inputs'!$B$14</f>
        <v>0</v>
      </c>
      <c r="K43" s="413" t="n">
        <f aca="false">SUM(B43:J43)</f>
        <v>11727.109594118</v>
      </c>
    </row>
    <row r="44" customFormat="false" ht="15" hidden="false" customHeight="true" outlineLevel="0" collapsed="false">
      <c r="A44" s="415" t="s">
        <v>1392</v>
      </c>
      <c r="B44" s="416" t="n">
        <f aca="false">B42+B43</f>
        <v>77719.472833</v>
      </c>
      <c r="C44" s="416" t="n">
        <f aca="false">C42+C43</f>
        <v>329603.310459677</v>
      </c>
      <c r="D44" s="416" t="n">
        <f aca="false">D42+D43</f>
        <v>355927.304101441</v>
      </c>
      <c r="E44" s="416" t="n">
        <f aca="false">E42+E43</f>
        <v>225000</v>
      </c>
      <c r="F44" s="416" t="n">
        <f aca="false">F42+F43</f>
        <v>225000</v>
      </c>
      <c r="G44" s="416" t="n">
        <f aca="false">G42+G43</f>
        <v>225000</v>
      </c>
      <c r="H44" s="416" t="n">
        <f aca="false">H42+H43</f>
        <v>225000</v>
      </c>
      <c r="I44" s="416" t="n">
        <f aca="false">I42+I43</f>
        <v>225000</v>
      </c>
      <c r="J44" s="416" t="n">
        <f aca="false">J42+J43</f>
        <v>225000</v>
      </c>
      <c r="K44" s="413" t="n">
        <f aca="false">SUM(B44:J44)</f>
        <v>2113250.08739412</v>
      </c>
    </row>
    <row r="45" customFormat="false" ht="15" hidden="false" customHeight="true" outlineLevel="0" collapsed="false">
      <c r="A45" s="414" t="s">
        <v>1393</v>
      </c>
      <c r="B45" s="411"/>
      <c r="C45" s="411"/>
      <c r="D45" s="411"/>
      <c r="E45" s="411"/>
      <c r="F45" s="411"/>
      <c r="G45" s="411"/>
      <c r="H45" s="411"/>
      <c r="I45" s="411"/>
      <c r="J45" s="411"/>
      <c r="K45" s="411"/>
    </row>
    <row r="46" customFormat="false" ht="15" hidden="false" customHeight="true" outlineLevel="0" collapsed="false">
      <c r="A46" s="393" t="s">
        <v>1394</v>
      </c>
      <c r="B46" s="405" t="n">
        <f aca="false">B32</f>
        <v>1919.6273</v>
      </c>
      <c r="C46" s="405" t="n">
        <f aca="false">C32</f>
        <v>130510.317577778</v>
      </c>
      <c r="D46" s="405" t="n">
        <f aca="false">D32</f>
        <v>125343.032922222</v>
      </c>
      <c r="E46" s="405" t="n">
        <f aca="false">E32</f>
        <v>0</v>
      </c>
      <c r="F46" s="405" t="n">
        <f aca="false">F32</f>
        <v>0</v>
      </c>
      <c r="G46" s="405" t="n">
        <f aca="false">G32</f>
        <v>0</v>
      </c>
      <c r="H46" s="405" t="n">
        <f aca="false">H32</f>
        <v>0</v>
      </c>
      <c r="I46" s="405" t="n">
        <f aca="false">I32</f>
        <v>0</v>
      </c>
      <c r="J46" s="405" t="n">
        <f aca="false">J32</f>
        <v>0</v>
      </c>
      <c r="K46" s="413" t="n">
        <f aca="false">SUM(B46:J46)</f>
        <v>257772.9778</v>
      </c>
    </row>
    <row r="47" customFormat="false" ht="15" hidden="false" customHeight="true" outlineLevel="0" collapsed="false">
      <c r="A47" s="393" t="s">
        <v>1391</v>
      </c>
      <c r="B47" s="405" t="n">
        <f aca="false">B40*(1-'APA Inputs'!$B$14)</f>
        <v>799.845532999997</v>
      </c>
      <c r="C47" s="405" t="n">
        <f aca="false">C40*(1-'APA Inputs'!$B$14)</f>
        <v>5342.99288189947</v>
      </c>
      <c r="D47" s="405" t="n">
        <f aca="false">D40*(1-'APA Inputs'!$B$14)</f>
        <v>5584.27117921855</v>
      </c>
      <c r="E47" s="405" t="n">
        <f aca="false">E40*(1-'APA Inputs'!$B$14)</f>
        <v>0</v>
      </c>
      <c r="F47" s="405" t="n">
        <f aca="false">F40*(1-'APA Inputs'!$B$14)</f>
        <v>0</v>
      </c>
      <c r="G47" s="405" t="n">
        <f aca="false">G40*(1-'APA Inputs'!$B$14)</f>
        <v>0</v>
      </c>
      <c r="H47" s="405" t="n">
        <f aca="false">H40*(1-'APA Inputs'!$B$14)</f>
        <v>0</v>
      </c>
      <c r="I47" s="405" t="n">
        <f aca="false">I40*(1-'APA Inputs'!$B$14)</f>
        <v>0</v>
      </c>
      <c r="J47" s="405" t="n">
        <f aca="false">J40*(1-'APA Inputs'!$B$14)</f>
        <v>0</v>
      </c>
      <c r="K47" s="413" t="n">
        <f aca="false">SUM(B47:J47)</f>
        <v>11727.109594118</v>
      </c>
    </row>
    <row r="48" customFormat="false" ht="15" hidden="false" customHeight="true" outlineLevel="0" collapsed="false">
      <c r="A48" s="415" t="s">
        <v>1395</v>
      </c>
      <c r="B48" s="416" t="n">
        <f aca="false">B46+B47</f>
        <v>2719.472833</v>
      </c>
      <c r="C48" s="416" t="n">
        <f aca="false">C46+C47</f>
        <v>135853.310459677</v>
      </c>
      <c r="D48" s="416" t="n">
        <f aca="false">D46+D47</f>
        <v>130927.304101441</v>
      </c>
      <c r="E48" s="416" t="n">
        <f aca="false">E46+E47</f>
        <v>0</v>
      </c>
      <c r="F48" s="416" t="n">
        <f aca="false">F46+F47</f>
        <v>0</v>
      </c>
      <c r="G48" s="416" t="n">
        <f aca="false">G46+G47</f>
        <v>0</v>
      </c>
      <c r="H48" s="416" t="n">
        <f aca="false">H46+H47</f>
        <v>0</v>
      </c>
      <c r="I48" s="416" t="n">
        <f aca="false">I46+I47</f>
        <v>0</v>
      </c>
      <c r="J48" s="416" t="n">
        <f aca="false">J46+J47</f>
        <v>0</v>
      </c>
      <c r="K48" s="413" t="n">
        <f aca="false">SUM(B48:J48)</f>
        <v>269500.087394118</v>
      </c>
    </row>
    <row r="49" customFormat="false" ht="15" hidden="false" customHeight="true" outlineLevel="0" collapsed="false">
      <c r="A49" s="414" t="s">
        <v>1396</v>
      </c>
      <c r="B49" s="411"/>
      <c r="C49" s="411"/>
      <c r="D49" s="411"/>
      <c r="E49" s="411"/>
      <c r="F49" s="411"/>
      <c r="G49" s="411"/>
      <c r="H49" s="411"/>
      <c r="I49" s="411"/>
      <c r="J49" s="411"/>
      <c r="K49" s="411"/>
    </row>
    <row r="50" customFormat="false" ht="15" hidden="false" customHeight="true" outlineLevel="0" collapsed="false">
      <c r="A50" s="393" t="s">
        <v>1397</v>
      </c>
      <c r="B50" s="405" t="n">
        <f aca="false">-MIN(0,B39)</f>
        <v>-0</v>
      </c>
      <c r="C50" s="405" t="n">
        <f aca="false">-MIN(0,C39)</f>
        <v>-0</v>
      </c>
      <c r="D50" s="405" t="n">
        <f aca="false">-MIN(0,D39)</f>
        <v>-0</v>
      </c>
      <c r="E50" s="405" t="n">
        <f aca="false">-MIN(0,E39)</f>
        <v>252322.5</v>
      </c>
      <c r="F50" s="405" t="n">
        <f aca="false">-MIN(0,F39)</f>
        <v>253118.175</v>
      </c>
      <c r="G50" s="405" t="n">
        <f aca="false">-MIN(0,G39)</f>
        <v>253937.72025</v>
      </c>
      <c r="H50" s="405" t="n">
        <f aca="false">-MIN(0,H39)</f>
        <v>254781.8518575</v>
      </c>
      <c r="I50" s="405" t="n">
        <f aca="false">-MIN(0,I39)</f>
        <v>255651.307413225</v>
      </c>
      <c r="J50" s="405" t="n">
        <f aca="false">-MIN(0,J39)</f>
        <v>256546.846635622</v>
      </c>
      <c r="K50" s="413" t="n">
        <f aca="false">SUM(B50:J50)</f>
        <v>1526358.40115635</v>
      </c>
    </row>
    <row r="51" customFormat="false" ht="15" hidden="false" customHeight="true" outlineLevel="0" collapsed="false">
      <c r="A51" s="418" t="s">
        <v>1398</v>
      </c>
      <c r="B51" s="419" t="n">
        <f aca="false">ROUND(B23-B25-B37-B38-B44-B48+B50,0)</f>
        <v>0</v>
      </c>
      <c r="C51" s="419" t="n">
        <f aca="false">ROUND(C23-C25-C37-C38-C44-C48+C50,0)</f>
        <v>0</v>
      </c>
      <c r="D51" s="419" t="n">
        <f aca="false">ROUND(D23-D25-D37-D38-D44-D48+D50,0)</f>
        <v>0</v>
      </c>
      <c r="E51" s="419" t="n">
        <f aca="false">ROUND(E23-E25-E37-E38-E44-E48+E50,0)</f>
        <v>0</v>
      </c>
      <c r="F51" s="419" t="n">
        <f aca="false">ROUND(F23-F25-F37-F38-F44-F48+F50,0)</f>
        <v>0</v>
      </c>
      <c r="G51" s="419" t="n">
        <f aca="false">ROUND(G23-G25-G37-G38-G44-G48+G50,0)</f>
        <v>0</v>
      </c>
      <c r="H51" s="419" t="n">
        <f aca="false">ROUND(H23-H25-H37-H38-H44-H48+H50,0)</f>
        <v>0</v>
      </c>
      <c r="I51" s="419" t="n">
        <f aca="false">ROUND(I23-I25-I37-I38-I44-I48+I50,0)</f>
        <v>0</v>
      </c>
      <c r="J51" s="419" t="n">
        <f aca="false">ROUND(J23-J25-J37-J38-J44-J48+J50,0)</f>
        <v>0</v>
      </c>
      <c r="K51" s="413" t="n">
        <f aca="false">SUM(B51:J51)</f>
        <v>0</v>
      </c>
    </row>
    <row r="53" customFormat="false" ht="15" hidden="false" customHeight="true" outlineLevel="0" collapsed="false">
      <c r="A53" s="393" t="s">
        <v>1399</v>
      </c>
      <c r="B53" s="405" t="n">
        <f aca="false">MIN(B29,B50)</f>
        <v>-0</v>
      </c>
      <c r="C53" s="405" t="n">
        <f aca="false">MIN(C29,C50)</f>
        <v>-0</v>
      </c>
      <c r="D53" s="405" t="n">
        <f aca="false">MIN(D29,D50)</f>
        <v>-0</v>
      </c>
      <c r="E53" s="405" t="n">
        <f aca="false">MIN(E29,E50)</f>
        <v>225000</v>
      </c>
      <c r="F53" s="405" t="n">
        <f aca="false">MIN(F29,F50)</f>
        <v>225000</v>
      </c>
      <c r="G53" s="405" t="n">
        <f aca="false">MIN(G29,G50)</f>
        <v>225000</v>
      </c>
      <c r="H53" s="405" t="n">
        <f aca="false">MIN(H29,H50)</f>
        <v>225000</v>
      </c>
      <c r="I53" s="405" t="n">
        <f aca="false">MIN(I29,I50)</f>
        <v>225000</v>
      </c>
      <c r="J53" s="405" t="n">
        <f aca="false">MIN(J29,J50)</f>
        <v>225000</v>
      </c>
      <c r="K53" s="405" t="n">
        <f aca="false">SUM(B53:J53)</f>
        <v>1350000</v>
      </c>
    </row>
    <row r="54" customFormat="false" ht="15" hidden="false" customHeight="true" outlineLevel="0" collapsed="false">
      <c r="A54" s="393" t="s">
        <v>1400</v>
      </c>
      <c r="B54" s="405" t="n">
        <f aca="false">B53</f>
        <v>-0</v>
      </c>
      <c r="C54" s="405" t="n">
        <f aca="false">B54+C53</f>
        <v>-0</v>
      </c>
      <c r="D54" s="405" t="n">
        <f aca="false">C54+D53</f>
        <v>-0</v>
      </c>
      <c r="E54" s="405" t="n">
        <f aca="false">D54+E53</f>
        <v>225000</v>
      </c>
      <c r="F54" s="405" t="n">
        <f aca="false">E54+F53</f>
        <v>450000</v>
      </c>
      <c r="G54" s="405" t="n">
        <f aca="false">F54+G53</f>
        <v>675000</v>
      </c>
      <c r="H54" s="405" t="n">
        <f aca="false">G54+H53</f>
        <v>900000</v>
      </c>
      <c r="I54" s="405" t="n">
        <f aca="false">H54+I53</f>
        <v>1125000</v>
      </c>
      <c r="J54" s="405" t="n">
        <f aca="false">I54+J53</f>
        <v>1350000</v>
      </c>
      <c r="K54" s="405"/>
    </row>
    <row r="56" customFormat="false" ht="15" hidden="false" customHeight="true" outlineLevel="0" collapsed="false">
      <c r="A56" s="389" t="s">
        <v>1401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2026-10-13T19:55:01Z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file>