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lanilha1" sheetId="1" r:id="rId4"/>
  </sheets>
  <definedNames/>
  <calcPr/>
</workbook>
</file>

<file path=xl/sharedStrings.xml><?xml version="1.0" encoding="utf-8"?>
<sst xmlns="http://schemas.openxmlformats.org/spreadsheetml/2006/main" count="17763" uniqueCount="4078">
  <si>
    <t>Saúde</t>
  </si>
  <si>
    <t>agencia</t>
  </si>
  <si>
    <t>Q1 - NPS Relacional - Em uma escala de 0 a 10, o quanto você recomendaria o Sicoob para um amigo ou familiar?</t>
  </si>
  <si>
    <t>comentarioPT</t>
  </si>
  <si>
    <t>comentario</t>
  </si>
  <si>
    <t>SICOOB AGRORURAL</t>
  </si>
  <si>
    <t/>
  </si>
  <si>
    <t>Bom atendimento é bom relacionamento fácil com o banco</t>
  </si>
  <si>
    <t>Muito satisfatório para meu comercio</t>
  </si>
  <si>
    <t>10</t>
  </si>
  <si>
    <t>problemas de fácil solução precisam ser repassadas à regional, o que deixa moroso alguns processos</t>
  </si>
  <si>
    <t>TRANSPARÊNCIA é ATENDIMENTO</t>
  </si>
  <si>
    <t>Atendimento é atenção</t>
  </si>
  <si>
    <t>muito ótimo</t>
  </si>
  <si>
    <t>BOM ATENDIMENTO, AGILIDADE.</t>
  </si>
  <si>
    <t>Atendimento de excelência, tudo que preciso me é atendido, suporte muito bom</t>
  </si>
  <si>
    <t>Melhor instituição financeira do Brasil</t>
  </si>
  <si>
    <t>Satisfação</t>
  </si>
  <si>
    <t>Confiança</t>
  </si>
  <si>
    <t>Minha nota é 10 porque confio no cooperativismo é sou entusiasmado com o sistema de credito é confio muito no profissionalismo das pessoas que trabalham no sicoob.</t>
  </si>
  <si>
    <t>Muito bom</t>
  </si>
  <si>
    <t>Eduarda muito gentil 😍</t>
  </si>
  <si>
    <t>Excelente atendimento</t>
  </si>
  <si>
    <t>Por ser um bom Banco</t>
  </si>
  <si>
    <t>A mais de 1 ano de conta corrente vcs NÃO me disponibilizou 1 real de cheque especial.</t>
  </si>
  <si>
    <t>Pronto atendimento.</t>
  </si>
  <si>
    <t>Nota 10</t>
  </si>
  <si>
    <t>NÃO indico o atendimento é muito ruim com discriminação sobre serviço prestado</t>
  </si>
  <si>
    <t>Atendimento diferenciado,  funcionários  sempre prontos a solucionar  nossos problemas,  desde o segurança  até a gerência, atendimento nota 10.</t>
  </si>
  <si>
    <t>é um Banco bom é simples</t>
  </si>
  <si>
    <t>O bom atendimento, tarifas é taxas mais baratas é retorno das sobras para conta capital</t>
  </si>
  <si>
    <t>A forma humana que somos recebida pela gerente</t>
  </si>
  <si>
    <t>NÃO me acrescentou em nada</t>
  </si>
  <si>
    <t>É um bom banco, que apesar de ser novo no mercado, toma muito cuidado com seu planejamento.  Apesar que na realidade, tudo é uma instituição financeira que gera 98% lucros para si mesmo</t>
  </si>
  <si>
    <t>relacionamento diferenciado com os cooperados, taxas reduzidas</t>
  </si>
  <si>
    <t>São atenciosos é estão sempre prontos a ajudar.</t>
  </si>
  <si>
    <t>Acesso rápido</t>
  </si>
  <si>
    <t>Ótimo atendimento</t>
  </si>
  <si>
    <t>Muito bem atendido</t>
  </si>
  <si>
    <t>MUITO BOM</t>
  </si>
  <si>
    <t>Basta somente observar os pilares do Cooperativismo. No Sicoob, "crescemos junto".</t>
  </si>
  <si>
    <t>O seu atendimento é diferenciado a seus associados</t>
  </si>
  <si>
    <t>bom atendimento</t>
  </si>
  <si>
    <t>Muita Burocracia, demora muito para resolver as coisas</t>
  </si>
  <si>
    <t>Queria poder recomendar mais, mas no Sicoob tem algo que me incomoda existem muita burocracia tudo precisa ser presencial mediante a assinatura.</t>
  </si>
  <si>
    <t>EXCELENTE ATENDIMENTO</t>
  </si>
  <si>
    <t>Sempre atende muito bem seus clientes, um atendimento humanizado. parabéns pelo atendimento prestado.</t>
  </si>
  <si>
    <t>Um banco com funcionários super educados</t>
  </si>
  <si>
    <t>falta comunicacao não consigo resolver problemas</t>
  </si>
  <si>
    <t>Alem de um bom atendimento tem juros mais baixo do que os outros bancos</t>
  </si>
  <si>
    <t>ótimo banco</t>
  </si>
  <si>
    <t>Atendimento rápido é efetivo.</t>
  </si>
  <si>
    <t>Retorno rápido, atendimento cordial;</t>
  </si>
  <si>
    <t>Atendimento, comodidade, agilidade, retorno das sobras, juros ao capital social.</t>
  </si>
  <si>
    <t>Muita burocracia para resolver pouca coisa</t>
  </si>
  <si>
    <t>Muita burocracia para abrir uma conta</t>
  </si>
  <si>
    <t>3</t>
  </si>
  <si>
    <t>com 3 meses de conta é movimentando a conta Até hoje NÃO chegou o meu cartão ! é ta muito burocrático para credito</t>
  </si>
  <si>
    <t>O BOM ATENDIMENTO é ACIMA DE TUDO, O TRATAMENTO DE FORMA HUMANA, ONDE NÃO SE VÊ O ASSOCIADO COMO UM PRODUTO PARA FATURAR, MAS SIM, COMO UM VERDADEIRO DONO DO SEU PRÓPRIO NEGÓCIO.</t>
  </si>
  <si>
    <t>Ótimo atendimento ao cliente.</t>
  </si>
  <si>
    <t>Eu tentei regularizar uma dívida no sicoob o gerente sempre joga para a central em quirinópolis nunca resolve meu problema eu consegui um financiamento no sicoob hora que meu avalista foi assinar o aval o atendente Sergio tirou da cabeça dele em me analisar falando que a conta era jurídica que se eu NÃO pagasse NÃO daria nada para mim é sujaria o nome do fiador</t>
  </si>
  <si>
    <t>Atendimento é qualidade dos serviços</t>
  </si>
  <si>
    <t>Bom atendimento</t>
  </si>
  <si>
    <t>Melhor Banco de Quirinópolis parabéns</t>
  </si>
  <si>
    <t>estou satisfeita com o sicoob</t>
  </si>
  <si>
    <t>É melhor sistema financeiro, só traz vantagens para o associado. Inclusive a maioria de meus familiares já tem conta corrente ou poupança no Sicoob.</t>
  </si>
  <si>
    <t>Atendimento deixa a desejar</t>
  </si>
  <si>
    <t>.</t>
  </si>
  <si>
    <t>tem pessoas disponíveis para ajudar quando tem perguntas.  Atendimento NÃO demora.</t>
  </si>
  <si>
    <t>No tocante ao atendimento aqui na Agência de Gouvelândia estamos de parabéns.</t>
  </si>
  <si>
    <t>É u</t>
  </si>
  <si>
    <t>já consegui várias contas com familiares.. todos estão muito satisfeitos.</t>
  </si>
  <si>
    <t>Pessoas, tecnicos competentes, atenciosos, responsáveis é dedicados!</t>
  </si>
  <si>
    <t>Atendimento diferenciado é humanizado</t>
  </si>
  <si>
    <t>Apesar de burocrático tem o melhor juro de mercado</t>
  </si>
  <si>
    <t>Uma cooperativa que dá oportunidades ,eu sou totalmente agradecida pela confiança outros bancos nunca me ofereceram um cartão de credito com a Sicoob foi diferente sem falar na educação que os funcionários tem 💚💚💚💚💚💚💚💚💚💚💚</t>
  </si>
  <si>
    <t>Bom atendimento. Boas opções</t>
  </si>
  <si>
    <t>NA</t>
  </si>
  <si>
    <t>Atendimento ruim.</t>
  </si>
  <si>
    <t>Banco atende minhas expectativas</t>
  </si>
  <si>
    <t>é um banco ótimo com ótimos atendimento</t>
  </si>
  <si>
    <t>No primeiro momento foi o meu trabalho mais depois eu vi quanto é importante trabalhar com a cooperativa é manter uma conta corrente. São muitos benefícios.</t>
  </si>
  <si>
    <t>Ótimo atendimento ótimos produtos é serviços. Sempre disposto em ouvir seus clientes</t>
  </si>
  <si>
    <t>uma banco muito bom é nos atende perfeitamente é agradeço toda equipe sicoob</t>
  </si>
  <si>
    <t>Banco que NÃO ajuda o cooperado</t>
  </si>
  <si>
    <t>Atendimento</t>
  </si>
  <si>
    <t>NÃO é uma empresa que pensa em seus cooperados ao todo, pois pensa só em quem tem mais dinheiro</t>
  </si>
  <si>
    <t>Atendimento personalizado</t>
  </si>
  <si>
    <t>Atendimento é praticidade.</t>
  </si>
  <si>
    <t>Diversidade de produtos,  ótimo atendimento é taxas de juros justas.</t>
  </si>
  <si>
    <t>Pela facilidade de acesso fisicamente no banco é quando solicito atendimento via whatsapp sempre sou atendida.</t>
  </si>
  <si>
    <t>Morosidade em processos</t>
  </si>
  <si>
    <t>Banco top</t>
  </si>
  <si>
    <t>Atendimento no meu PA, colaboradores mal treinados, displicentes é abusados</t>
  </si>
  <si>
    <t>NÃO tive o atendimento, que esperava.</t>
  </si>
  <si>
    <t>Nota 10 seria a perfeição, que NÃO é, mas recomendo é incentivo a adesão de novos associados.</t>
  </si>
  <si>
    <t>Muito satisfeita com o serviço prestado</t>
  </si>
  <si>
    <t>Ótimo</t>
  </si>
  <si>
    <t>Excelente Atendimento</t>
  </si>
  <si>
    <t>Ruim para credito</t>
  </si>
  <si>
    <t>Sempre fui bem atendido no banco. Custo de manutenção de conta , presteza no atendimento.</t>
  </si>
  <si>
    <t>O SICOOB atende todas as novas expectativas.</t>
  </si>
  <si>
    <t>Bom dia, eu daria 10 pq sou muito satisfeita com tudo que me,proporciona.</t>
  </si>
  <si>
    <t>demandas são sempre bem atendidas é resolvidas</t>
  </si>
  <si>
    <t>pois se trata de uma cooperativa que tem todas as vantagens que o associado precisa</t>
  </si>
  <si>
    <t>Tive um problema com o banco, é depois disso nunca mais consegui me recuperar, mesmo eu pagando todas as minhas dividas, é me recuperando totalmente do que eu era ante, hoje eu consigo movimentar duas vezes mais, mas mesmo assim continuo travado.</t>
  </si>
  <si>
    <t>O banco é um banco digamos privado blz tenho score bom tenho uma movimentação excelente no banco Porem vocês NÃO NÃOé ajuda na questão de credito é limite poxa meu limite tá 1000 já tem tempão é NÃO muda fica chato eu ajudo banco mas banco NÃO me ajuda</t>
  </si>
  <si>
    <t>Abri uma conta no Sicoob de Cachoeira Dourada/GO, fiquei 5 meses com a conta aberta é NÃO pude movimentar por que a agência NÃO conseguiu emitir um cartão para mim, depois de eu reclamar muito emitiram um cartão provisório é me pediram mais 45 dias para emitir o cartão definitivo, totalizando 6 meses é meio sem cartão da conta, achei um absurdo é pedi o cancelamento da conta.</t>
  </si>
  <si>
    <t>Honestidade com o povo...</t>
  </si>
  <si>
    <t>muita atenção</t>
  </si>
  <si>
    <t>SOU BEM ATENDIDO</t>
  </si>
  <si>
    <t>ótimo atendimento  bom parceiro para negociar  segurança...</t>
  </si>
  <si>
    <t>Praticidade</t>
  </si>
  <si>
    <t>Muito rápido nos aplicativos é complicado para entrar na minha conta que NÃO consigo mas entrar</t>
  </si>
  <si>
    <t>Bom atendimento, cordialidade...</t>
  </si>
  <si>
    <t>Atendimento.</t>
  </si>
  <si>
    <t>Atendimento é barato</t>
  </si>
  <si>
    <t>Dedicação com seus cooperados</t>
  </si>
  <si>
    <t>Atendimento nota mil</t>
  </si>
  <si>
    <t>Uma cooperativa que sempre atende o cliente de bons resultado</t>
  </si>
  <si>
    <t>melhores atendentes.</t>
  </si>
  <si>
    <t>Satisfação.</t>
  </si>
  <si>
    <t>Tudo pode ser aperfeiçoado. A busca pelo 10 deve ser constante</t>
  </si>
  <si>
    <t>Eficiência dos gerente é funcionários</t>
  </si>
  <si>
    <t>Anteriormente muita bom parabéns</t>
  </si>
  <si>
    <t>Atenção dos colaboradores ...</t>
  </si>
  <si>
    <t>Respaldo, atendimento ,eficácia é retorno.</t>
  </si>
  <si>
    <t>é um ótimo banco os atendente atende a gente super bem é o aplicativo do banco é muito ótimo é a taxa de juro é muito boa</t>
  </si>
  <si>
    <t>NÃO consigo nada do que preciso</t>
  </si>
  <si>
    <t>sempre atende bem com atenção</t>
  </si>
  <si>
    <t>Ótimo atendimento, gerente atenciosa/profissional (Ana Lúcia - Ag 3042 Porteirão), ótimas tarifas/rentabilidade é confiança no cooperativismo.</t>
  </si>
  <si>
    <t>Atenção das meninas no atendimento</t>
  </si>
  <si>
    <t>Atendimento ótimo</t>
  </si>
  <si>
    <t>Esta me atendendo só falta limite</t>
  </si>
  <si>
    <t>o Sicoob me atende em tudo que preciso é possui ótimo atendimento.</t>
  </si>
  <si>
    <t>muito bom</t>
  </si>
  <si>
    <t>o atendimento</t>
  </si>
  <si>
    <t>atendimento, é taxa para financiamentos melhores que em outros banco.</t>
  </si>
  <si>
    <t>Sou cooperado nota zero</t>
  </si>
  <si>
    <t>Atenção dos colaboradores é 10</t>
  </si>
  <si>
    <t>MUITO BOM O ATENDIMENTO é BAIXAS TARIFAS</t>
  </si>
  <si>
    <t>Comunicação com gerência.</t>
  </si>
  <si>
    <t>Sempre muito bem atendida</t>
  </si>
  <si>
    <t>Muito bom o atendimento com os clientes cooperados</t>
  </si>
  <si>
    <t>Tenho conta no Santander é lá tenho mais prestígio em linhas de credito que o Sicoob que tenho mais tempo de conta, é é por isso que transferi todos os meus ganho para lá!</t>
  </si>
  <si>
    <t>Vejo que é uma instituição seria</t>
  </si>
  <si>
    <t>Atendimento dos funcionários desta unidade de cachoeira dourada GO</t>
  </si>
  <si>
    <t>Atende todas as minhas necessidade</t>
  </si>
  <si>
    <t>Atendimento é acessibilidade</t>
  </si>
  <si>
    <t>tem algumas coisas que não concordo,são detalhes.</t>
  </si>
  <si>
    <t>Confiável ágil</t>
  </si>
  <si>
    <t>Em primeiro lugar, o atendimento diferenciando, a acessibilidade de uso do aplicativo é outros fatores que nas demais instituições são muito morosas !</t>
  </si>
  <si>
    <t>Ótimo atendimento!</t>
  </si>
  <si>
    <t>pessimo suporte</t>
  </si>
  <si>
    <t>Ótimo atendimento destacando o funcionário Alexandre da agência de Cachoeira dourada foiás.</t>
  </si>
  <si>
    <t>Bom atendimento rapidez honestidade</t>
  </si>
  <si>
    <t>Banco Fraco</t>
  </si>
  <si>
    <t>SICOOB CENTRO-SUL</t>
  </si>
  <si>
    <t>gerentes de conta super atenciosos...</t>
  </si>
  <si>
    <t>Atenção</t>
  </si>
  <si>
    <t>NÃO libera limites é muito menos financiamento</t>
  </si>
  <si>
    <t>Sempre fui muito bem atendido pelos colaboradores do Sicoob</t>
  </si>
  <si>
    <t>Atendimento muito bom,menores taxas  é menores juros</t>
  </si>
  <si>
    <t>Cooperativa top é com condições para o segurado</t>
  </si>
  <si>
    <t>Ótimo banco</t>
  </si>
  <si>
    <t>excelente atendimento</t>
  </si>
  <si>
    <t>Excelente atendimento.</t>
  </si>
  <si>
    <t>Adorei o atendimento</t>
  </si>
  <si>
    <t>ótimo atendimento é prestação de serviços</t>
  </si>
  <si>
    <t>Melhor Cooperativa do Brasil</t>
  </si>
  <si>
    <t>Muito fraco para liberar credito....</t>
  </si>
  <si>
    <t>Sempre Supre minhas necessidades</t>
  </si>
  <si>
    <t>Excelente atendimento. Praticidade</t>
  </si>
  <si>
    <t>O bom atendimento é a praticidade</t>
  </si>
  <si>
    <t>Atendimento do gerente de conta Victor, está de parabéns.</t>
  </si>
  <si>
    <t>Falta de comunicação , é desinteresse em conhecer/entender o funcionamento é demanda da empresa</t>
  </si>
  <si>
    <t>Ótimo atendimento é respeito ao correntista cooperado</t>
  </si>
  <si>
    <t>Equipe fora da curva , fenomenal</t>
  </si>
  <si>
    <t>em uma instituição que para renegociar uma dívida tem que deixar ela vencer é ser cobrada para depois solicitar a renegociação NÃO merece meu respeito</t>
  </si>
  <si>
    <t>Facilidade</t>
  </si>
  <si>
    <t>BOM ATENDIMENTO</t>
  </si>
  <si>
    <t>Tô satisfeito</t>
  </si>
  <si>
    <t>Excelente atendimento do gerente de contas Vitor.</t>
  </si>
  <si>
    <t>Ótima cooperativa</t>
  </si>
  <si>
    <t>Demora em atender uma solicitação</t>
  </si>
  <si>
    <t>NÃO tem produtos para pj</t>
  </si>
  <si>
    <t>Bom atendimento excelente cooperativa</t>
  </si>
  <si>
    <t>o banco tem mecanismos diferenciado dos grandes bancos.</t>
  </si>
  <si>
    <t>Complicado... no momento que mais preciso me deixou na mão...</t>
  </si>
  <si>
    <t>A cooperativa é muito boa, o atendimento é ótimo.</t>
  </si>
  <si>
    <t>Agilidade</t>
  </si>
  <si>
    <t>falta caixa eletrônico em nossa cidade, dificultando muito os finais de semana em depositar dinheiro, tendo que ficar indo em outra agência para depósito online...</t>
  </si>
  <si>
    <t>Excelente</t>
  </si>
  <si>
    <t>sem comentários.</t>
  </si>
  <si>
    <t>Sicoob é melhor instituição financeira, pelo acolhimento ao cooperado</t>
  </si>
  <si>
    <t>4</t>
  </si>
  <si>
    <t>Excelência no atendimento é cordialidade com os associados.</t>
  </si>
  <si>
    <t>Sem muita burocracia no atendimento, quantidade de tarifas significante compra a menos que outras instituições bancárias...</t>
  </si>
  <si>
    <t>Bom banco</t>
  </si>
  <si>
    <t>Simplesmente falaram uma coisa que NÃO aconteceu, falaram que o consórcio, se desse um certo valor no lance eu seria contemplado, é já foram 4 meses é até agora nada, já aumentei o valor é mesmo assim NÃO fui, é eu preciso de urgência pois preciso dele para trabalho</t>
  </si>
  <si>
    <t>Atendimento prestativo é aplicativos de fácil manuseio.</t>
  </si>
  <si>
    <t>Minha solicitação NÃO foi atendida.</t>
  </si>
  <si>
    <t>Ótimo atendimento é ofertas muito boas!</t>
  </si>
  <si>
    <t>Muito satisfeito</t>
  </si>
  <si>
    <t>É porque sempre me colocaram a disposição todos produtos é serviços que o banco oferece, Alem de ser mais barato financeiramente.</t>
  </si>
  <si>
    <t>Instituição seria onde você como sócio tem fácil acesso , Alem da credibilidade</t>
  </si>
  <si>
    <t>Tudo rápido é fácil</t>
  </si>
  <si>
    <t>Seu atendimento</t>
  </si>
  <si>
    <t>ótimo</t>
  </si>
  <si>
    <t>NÃO  tem  nada  a dizer</t>
  </si>
  <si>
    <t>Dez minutos bom</t>
  </si>
  <si>
    <t>Vcs são ótimos</t>
  </si>
  <si>
    <t>Porque tudo é difícil. Você NÃO consegue refazer a senha online, NÃO consegue cancelar a conta,a NÃO ser na agência.</t>
  </si>
  <si>
    <t>Banco 10</t>
  </si>
  <si>
    <t>Sou correntista, tenho um bom movimento é precisei de R$ 7.000.00 maior burocracia, o Nubank sem eu pedir me liberou R$ 15.000.00 só vou pagar o cartão é vou cancelar minha conta.</t>
  </si>
  <si>
    <t>Excelência</t>
  </si>
  <si>
    <t>Rapidez é bom atendimento</t>
  </si>
  <si>
    <t>Ótimo atendimento é atenção que tem com o cooperado.</t>
  </si>
  <si>
    <t>É um banco que está bem próximo do cliente é o atendimento presencial. Isto faz a diferença!</t>
  </si>
  <si>
    <t>pessimo atendimento</t>
  </si>
  <si>
    <t>ESTOU COM PROBLEMA COM AS MAQUININHAS DE CARTÃO, ELAS ESTÁ DANDO MUITO CONFUSÃO.</t>
  </si>
  <si>
    <t>Banco maravilhoso</t>
  </si>
  <si>
    <t>OS ATENDENTES SÃO MUITO ATENCIOSO</t>
  </si>
  <si>
    <t>Excelente atendimento ao cliente.</t>
  </si>
  <si>
    <t>NÃO tenho nenhuma ligação com o SICOOB é nem sei para que serve. Só para fazer spam no meu é-mail.</t>
  </si>
  <si>
    <t>Banco é aplicativo fácil de resolver tudo...</t>
  </si>
  <si>
    <t>Agilidade é prestabilidade.</t>
  </si>
  <si>
    <t>Comprometimento</t>
  </si>
  <si>
    <t>Super satisfeito, Gerente Crispin muito atencioso é preocupado em buscar o melhor caminho para o cliente.</t>
  </si>
  <si>
    <t>O BOM ATENDIMENTO, NÃO TENHO QUE RECLAMAR</t>
  </si>
  <si>
    <t>O bom atendimento é atenção das funcionárias</t>
  </si>
  <si>
    <t>Atendimento é qualidade de serviço</t>
  </si>
  <si>
    <t>ESTOU SATISFEITO COM O ATENDIMENTO DA AGÊNCIA DE CORUMBAIBA.GRATO FABIO.</t>
  </si>
  <si>
    <t>Fui extremamente mal atendido na agência é uma funcionária me ligou com muita falta de educação.</t>
  </si>
  <si>
    <t>Um banco, que está inteiramente ligado com seus cooperados</t>
  </si>
  <si>
    <t>tem um bom atendimento.</t>
  </si>
  <si>
    <t>NÃO avisa quando tem algum evento.</t>
  </si>
  <si>
    <t>gosto do atendimento é das oportunidades da sicoob</t>
  </si>
  <si>
    <t>Melhor banco do mundo 🌎</t>
  </si>
  <si>
    <t>tem boas taxas , tratamento humanizado!!</t>
  </si>
  <si>
    <t>NÃO dá credibilidade ao cliente.</t>
  </si>
  <si>
    <t>Muito bom o banco</t>
  </si>
  <si>
    <t>App fácil de mexer é bons atendimentos nos estabelecimentos é da agência</t>
  </si>
  <si>
    <t>Mas de ano de conta corrente é nada de limite nem cartão de credito</t>
  </si>
  <si>
    <t>Pix NÃO funciona direito</t>
  </si>
  <si>
    <t>SICOOB CREDI-RURAL</t>
  </si>
  <si>
    <t>agilidade é praticidade.</t>
  </si>
  <si>
    <t>Reciprocidade</t>
  </si>
  <si>
    <t>estou a um mês tentando acessar minha conta é falar com minha agência é não consigo</t>
  </si>
  <si>
    <t>Um  banco ótimo para. Tudo . Cancelei meus  outros banco tudo depois que. Abrir minha conta  nele</t>
  </si>
  <si>
    <t>Atendimento muito bom. Só o app que deixa a desejar em relação aos de bancos digitais como o Cora, que é excelente</t>
  </si>
  <si>
    <t>NÃO satisfeito</t>
  </si>
  <si>
    <t>Perdendo ssssssss</t>
  </si>
  <si>
    <t>ATENDIMENTO RÁPIDO é HUMANIZADO</t>
  </si>
  <si>
    <t>É uma cooperativa, quanto mais você movimenta, mais retorno terá.</t>
  </si>
  <si>
    <t>Transparência é agilidade</t>
  </si>
  <si>
    <t>Quando eu mais precisei do banco para NÃO descumprir com meus contratos é compromissos, de todas formas que tentei na agência NÃO fui atendido, tentei financiar até o caminhão mas a dificuldade é burocracia foi tamanha que NÃO consegui. Agora estou negativado é sem chance de regularização.</t>
  </si>
  <si>
    <t>Atendimento, praticidade é produtos</t>
  </si>
  <si>
    <t>Atendimento é agilidade nos processos</t>
  </si>
  <si>
    <t>Muita burocracia</t>
  </si>
  <si>
    <t>atendimento/humanizado</t>
  </si>
  <si>
    <t>Ótimo banco! Ótimo atendimento!</t>
  </si>
  <si>
    <t>Muito ágil</t>
  </si>
  <si>
    <t>Insatisfação total NÃO recomendo</t>
  </si>
  <si>
    <t>O bom atendimento prestado</t>
  </si>
  <si>
    <t>Satisfação geral,sempre muito bem atendido!! parabéns a todos !! NÃO tenho nada/nada a reclamar!! Só tenho a agradecer por tudo!! Sou muito grato ao Sicoob,muito!!</t>
  </si>
  <si>
    <t>todos são iguais NÃO tem ninguem melhor que o outro</t>
  </si>
  <si>
    <t>É uma cooperativa que me agrada muito, fácil acesso, App que ajuda muito em acompanhar é movimentar a conta</t>
  </si>
  <si>
    <t>É que sou cooperado há anos, é extremamente extraordinária a cooperativa para mim, cooperados em todos os sentidos, na agência 3054 de Jataí-GO, sinto como se fosse a minha casa, sempre sou bem acolhido, atendido, sou é estou super feliz com as pessoas, o sistema, o aplicativo</t>
  </si>
  <si>
    <t>Sempre que precisei de dinheiro emprestado, foi o banco com melhor taxa de juros, menos burocracia é transação rápida.</t>
  </si>
  <si>
    <t>Benefícios oferecidos na conta</t>
  </si>
  <si>
    <t>Parceria é transparência em todos seus produtos</t>
  </si>
  <si>
    <t>O conhecimento que tenho sobre, o comprometimento é responsabilidade do Sicoob com seus associados.</t>
  </si>
  <si>
    <t>Bom atendimento,  rapidez na aprovação é linhas de credito</t>
  </si>
  <si>
    <t>Precisa de mais interatividade com os clientes, melhorar o sistema!</t>
  </si>
  <si>
    <t>PRESTATIVOS</t>
  </si>
  <si>
    <t>Muito bom atendimento</t>
  </si>
  <si>
    <t>Cooperativa de confiança é qualidade nos serviços é atendimento humanizado, com respeito ao associado</t>
  </si>
  <si>
    <t>Gosto muito do atendimento</t>
  </si>
  <si>
    <t>Atendimento ruim na Unidade de Paraúna GO</t>
  </si>
  <si>
    <t>ESSA COOPERATIVA É SENSACIONAL EM TODOS OS REQUISITOS</t>
  </si>
  <si>
    <t>O atendimento é o zelo para com seus clientes</t>
  </si>
  <si>
    <t>interação.</t>
  </si>
  <si>
    <t>NÃO É MUITO BOM é tambem não É RUIM. NEM SEMPRE A GENTE CONSEGUE FAZER AS TRANSAÇÕES NECESSÁRIAS.</t>
  </si>
  <si>
    <t>TIVE PROBLEMAS DEPOIS DO ENCERRAMENTO DA CONTA. ENCERREI MINHA CONTA ANO PASSADO é TENHO UM DINHEIRO PARA RECEBER DE DEVOLUÇÃO QUE DISSERAM QUE SERIA DEPOIS DA ASSEMBLeIA DE MARÇO, 30 DIAS APÓS ISSO. ACONTECE QUE DESDE LÁ´QUE ME DIZEM QUE TRINTA DIAS APÓS RESOLVERIA. JÁ ESTAMOS EM JUNHO, UNS 80 DIAS DEPOIS  é AINDA NEM PREVISÃO TENHO DE RECEBIMENTO PQ SE EU NÃO ENTRAR EM CONTATO NADA É FEITO. ME COBRARAM CONTA DE CARTÃO ESSE ANO é COLOCARAM MEU NOME NO SERASA SENDO QUE MINHA CONTA ESTÁ ENCERRADA DESDE DE NOVEMBRO DE 2022 é O CARTÃO FOI CANCELADO NESSE MESMO PERÍODO. UM DESCASO. HOJE, MAIS UMA VEZ ENTREI EM CONTATO PARA OUVIR QUE ALGUeM ENTRARÁ EM CONTATO PARA DAR PREVISÃO. É SÓ ISSO QUE OUÇO. NÃO DÁ! A MINHA EXPERIÊNCIA FOI MUITO, MUITO RUIM.</t>
  </si>
  <si>
    <t>Atendimento é praticidade!</t>
  </si>
  <si>
    <t>Estou totalmente satisfeita em ser cliente (cooperada) dessa entidade financeira</t>
  </si>
  <si>
    <t>Atendimento rápido é personalizado.</t>
  </si>
  <si>
    <t>Atendeu todas as minhas expectativas quanto a um banco cooperativo!!</t>
  </si>
  <si>
    <t>bem atendido</t>
  </si>
  <si>
    <t>Atendimento perfeito! Funcionários muito atenciosos destaque para o Higor da agência de Palmeiras de foiás!</t>
  </si>
  <si>
    <t>SOU CLIENTE A MUITOS ANOS, O SICOOB UNIÃO COM OUTROS SICOOB é não PAGOU ATÉ HOJE OS LUCROS IGUAL TODO ANO ELES DEPÓSITO NO CAPITAL SOCIAL, TIROU NOSSO BRINDE TODO ANO.</t>
  </si>
  <si>
    <t>Ser cooperativa</t>
  </si>
  <si>
    <t>Atendimento, confiabilidade é facilidade nas operações bancárias</t>
  </si>
  <si>
    <t>Horário diferenciado</t>
  </si>
  <si>
    <t>Poderiam trabalhar com Apple Pay. Alem disso seria bom colocar a possibilidade de ver o saldo no momento de fazer a aplicação, tem vezes que quero aplicar todo meu saldo aí preciso retornar para ver quanto tenho é depois fazer o processo do início.</t>
  </si>
  <si>
    <t>Atendimento mais personalizado, taxas mais baixas</t>
  </si>
  <si>
    <t>Várias vantagens, ótimo atendimento, abre as 8, banco tranquilo quase NÃO tem fila. Eu super indico o Sicoob, principalmente agência de Paraúna</t>
  </si>
  <si>
    <t>Atendimento presencial</t>
  </si>
  <si>
    <t>Funcionários competentes é amigos</t>
  </si>
  <si>
    <t>Ótimo atendimento  Honestidade nas informações</t>
  </si>
  <si>
    <t>gastos com tarifas, sobras é ótimo atendimento</t>
  </si>
  <si>
    <t>Estou satisfeito</t>
  </si>
  <si>
    <t>O atendimento  é muito bom. Todos  funcionários são  muito  educados.</t>
  </si>
  <si>
    <t>nota 10</t>
  </si>
  <si>
    <t>App fácil de manusear é excelente atendimento físico.</t>
  </si>
  <si>
    <t>Banco com excelente qualidade no atendimento , funcionários educados, prestativos é atenciosos, limpeza é higiene nota 10.</t>
  </si>
  <si>
    <t>atendimento bom</t>
  </si>
  <si>
    <t>A linha de credito oferecido é terrível, assim como as taxas do mesmo.</t>
  </si>
  <si>
    <t>Meu limite de cartão de credito está muito baixo.</t>
  </si>
  <si>
    <t>Banco pessimo</t>
  </si>
  <si>
    <t>bom atendimento é facilidade ao credito</t>
  </si>
  <si>
    <t>É ótimo só precisa de um caixa externo de depósito que contem as cedulas é deposite o dinheiro na hora</t>
  </si>
  <si>
    <t>Muito feliz em fazer parte</t>
  </si>
  <si>
    <t>A agência que tenho conta ,troca de gerente é funcionários direto . NÃO consegue relacionar é falar com  com ninguem . Já foi boa quando o adriano era gerente.</t>
  </si>
  <si>
    <t>Olá bom dia!! Sou correntista Sicoob há pouco tempo" é até hoje NÃO me disponibilizou nenhum cartão de credito nenhuma linha de financiamento ou me ofereceram algo do tipo! Acho que porque NÃO tenho grande movimento NÃO adquirir nenhum produto Alem da pequena quantia para ser cooperado , mas enfim , entendo uma vez que tenho umas restrições no nome , mas isso NÃO quer dizer que eu seja um mal pagador , apenas tive um contratempo coisa que acontece com todo mundo , então essa é a razão a qual indicaria sim alguem com essa nota ;  abraço</t>
  </si>
  <si>
    <t>O principal empecilho do Sicoob é a burocracia exagerada é a demora na abertura da conta.</t>
  </si>
  <si>
    <t>Morosidade de toda operação é burocracia</t>
  </si>
  <si>
    <t>Muito ruim NÃO tem limite d nada</t>
  </si>
  <si>
    <t>O atendimento do Sicoob hoje, está muito semelhante às demais instituições financeiras quanto ao atendimento. Na minha opinião a qualidade caiu. Gerentes só te procuram ou atendem para vender produtos, como consórcio, por exemplo. NÃO orientam quanto a dinheiro parado na conta é qual seria a melhor aplicação. Quando se tem um problema, o gerente NÃO resolve, isso quando se consegue contato com eles.</t>
  </si>
  <si>
    <t>A Cooperativa é nossa sem taxa sem juros altos, é como uma atenção especial a cada cooperado.</t>
  </si>
  <si>
    <t>Atendimento pontual</t>
  </si>
  <si>
    <t>Ótimo atendimento estou fora do país é resolvo tudo por aqui</t>
  </si>
  <si>
    <t>Excelente  instituição  bancária  atendimento  satisfatório às minhas  necessidades  !</t>
  </si>
  <si>
    <t>ótima instituição financeira</t>
  </si>
  <si>
    <t>Gosto muito do Banco</t>
  </si>
  <si>
    <t>excelência no atendimento é solução imediata das dúvidas.</t>
  </si>
  <si>
    <t>Atendimento, qualidade,produtos,agilidade</t>
  </si>
  <si>
    <t>BOM</t>
  </si>
  <si>
    <t>Está diminuindo os benefícios de ser cooperativa, é ficando mais parecido com banco. O que tira o diferencial.</t>
  </si>
  <si>
    <t>pelos seus valores conservadores</t>
  </si>
  <si>
    <t>O ÓTIMO ATENDIMENTO.</t>
  </si>
  <si>
    <t>Sinto falta de atendimento ao cooperado ainda!</t>
  </si>
  <si>
    <t>Bom atendimento  é educação de todos colaboradores</t>
  </si>
  <si>
    <t>Transparência, participação</t>
  </si>
  <si>
    <t>O bom atendimento, é a motivação.</t>
  </si>
  <si>
    <t>Gerente</t>
  </si>
  <si>
    <t>pessimo atendimento, paraessima gestão de nossos investimentos, pessimo serviço prestado. O pior banco que trabalhei.</t>
  </si>
  <si>
    <t>atendimento da agência ok, aplicativo APP muito bom..</t>
  </si>
  <si>
    <t>Atendimento, educação, preocupação com o Cooperado!! Sempre muitos profissional! Nada a reclamar!! parabéns a todos pelo atendimento...no geral 100% Obrigado por tudo!!!</t>
  </si>
  <si>
    <t>tem um dos melhores atendimentos</t>
  </si>
  <si>
    <t>um parceiro do cliente</t>
  </si>
  <si>
    <t>Atendimento perfeito</t>
  </si>
  <si>
    <t>Segurança , atendimento</t>
  </si>
  <si>
    <t>NÃO foi parceiro na hora que a empresa mais precisou. mesmo tendo capital integralizado LÁ</t>
  </si>
  <si>
    <t>Empresa que valoriza os cooperados é os funcionários. Enfim... perfeita</t>
  </si>
  <si>
    <t>Um ótimo banco</t>
  </si>
  <si>
    <t>Bom atendimento!</t>
  </si>
  <si>
    <t>O fato de sempre precisar de avalista é um fator que dificulta conseguir um emprestimo.</t>
  </si>
  <si>
    <t>Um ótimo atendimento!!</t>
  </si>
  <si>
    <t>Quando precisei financiar o meu carro para trabalho é a minha casa NÃO facilitam nada consegui com um banco que nem conta tenho Bradesco</t>
  </si>
  <si>
    <t>Satisfação é atendimento</t>
  </si>
  <si>
    <t>Top</t>
  </si>
  <si>
    <t>Atendimento excelente!</t>
  </si>
  <si>
    <t>NÃO ESTOU CONSEGUINDO ACESSAR O SISTEMA PELO MEU COMPUTADOR, é ENCONTREI MUITAS DIFICULDADES AO PROCURAR AJUDA PARA RESOLVER O PROBLEMA.</t>
  </si>
  <si>
    <t>Tenho dinheiro para receber, disseram que pagariam, NÃO pagaram. pessimo</t>
  </si>
  <si>
    <t>pessimo atendimento após a saída do gerente Aurilio, nunca fui apresentada ao novo gerente, nem sei quem é, fora as mudanças de normas, sem passar ao cooperado.</t>
  </si>
  <si>
    <t>PRATICIDADE</t>
  </si>
  <si>
    <t>Horário de abertura, atendimento, facilidades é comodidades.</t>
  </si>
  <si>
    <t>Facilidade no atendimento, compromisso</t>
  </si>
  <si>
    <t>Na Sicoob você se sente em casa. Funcionários sempre dispostos a te atender resolvendo as suas dúvidas. Todas vezes que precisei  recebi um ótimo atendimento. É um banco diferenciado!!! Sempre recomendo a amigos!!!</t>
  </si>
  <si>
    <t>Atendimento rápido, Facilidade é Agilidade</t>
  </si>
  <si>
    <t>para mim melhor banco</t>
  </si>
  <si>
    <t>Banco muito bom, mas tem um Porem, o aplicativo do cartão de credito é o aplicativo dos pontos do cartão de credito são horríveis, já passou da hora de fazer um aplicativo bom para cartão de credito, um App simples é que funcione sempre. Copiem dos bancos digitais onde os apps são simples práticos é resolvem quase tudo.</t>
  </si>
  <si>
    <t>nove</t>
  </si>
  <si>
    <t>satisfação</t>
  </si>
  <si>
    <t>Atendimento de excelência é diferenciado</t>
  </si>
  <si>
    <t>alguma coisa deixa a deseja</t>
  </si>
  <si>
    <t>Melhor cooperativa do Brasil!!!!</t>
  </si>
  <si>
    <t>Atendimento do gerente da conta é pessimo</t>
  </si>
  <si>
    <t>credibilidade</t>
  </si>
  <si>
    <t>O nosso banco</t>
  </si>
  <si>
    <t>Atendimento com lucratividade!</t>
  </si>
  <si>
    <t>Ótimo atendimento é rapidez</t>
  </si>
  <si>
    <t>Atendimento, custo, aplicativo.</t>
  </si>
  <si>
    <t>Um grupo responsável com o cooperado</t>
  </si>
  <si>
    <t>Problemas com cartão de credito clonado, é ainda NÃO solucionado totalmente desde outubro/2022</t>
  </si>
  <si>
    <t>Falta de Atendimento</t>
  </si>
  <si>
    <t>Ótimo atendimento sou super satisfeita com minha conta</t>
  </si>
  <si>
    <t>Cota capital</t>
  </si>
  <si>
    <t>Atendimento personalizado.</t>
  </si>
  <si>
    <t>Sicoob é o melhor investimento</t>
  </si>
  <si>
    <t>Bom atendimento.  Eficácia</t>
  </si>
  <si>
    <t>Baixas taxas de serviço .</t>
  </si>
  <si>
    <t>Atenção,rapidez, confiança horário</t>
  </si>
  <si>
    <t>O bom atendimento</t>
  </si>
  <si>
    <t>Qualidade do atendimento pessoal.</t>
  </si>
  <si>
    <t>Um ótimo banco.</t>
  </si>
  <si>
    <t>8</t>
  </si>
  <si>
    <t>Essa pesquisa deveria fazer referência a cooperativa singular a qual sou associado, somente o nome Sicoob NÃO faz sentido, sou atendido pela minha cooperativa, o Sicoob é apenas um suporte operacional criado é mantido pelas singulares para prestação de serviços, portanto NÃO sou associado ao Sicoob é sim a Cooperativa singular. A justificativa da minha nota "0" é NÃO se tem como recomendar o "Sicoob" para alguem, eu realmente recomendo a cooperativa a qual pertenço para todos com nota 10, Porem nem todas as singulares que mantem o sistema Sicoob são iguais, nem todas tem administração responsável, transparente, nem todas geram sobras significativas aos seus cooperados, nem todas estão sólidas financeiramente. Por esses motivos NÃO existem como recomendar o Sicoob genericamente, eu recomendo a todos a cooperativa a qual sou associado.</t>
  </si>
  <si>
    <t>Um ótimo banco, prestativo bem esclarecido é condições que atendem todos os tipos de clientes</t>
  </si>
  <si>
    <t>Atendimento, é horário de abertura das agências..</t>
  </si>
  <si>
    <t>Sempre muito bem atendido é com um horário de atendimento que nenhum outro agente bancário tem para os clientes.</t>
  </si>
  <si>
    <t>excelente</t>
  </si>
  <si>
    <t>Depois que mudou, ficaram distantes dos cliente, sem benefícios é Contatos! Cada um dia um gerente é atendente diferente na minha cooperativa! é sempre gostei de trabalhar com sicoob</t>
  </si>
  <si>
    <t>O atendimento  é  nota 10. Falta de caixa eletrônico.</t>
  </si>
  <si>
    <t>A falta da disponibilidade de adicionar o cartão no app Wallet usando o Apple Pay. Quando adicionarem ficará nota 10!</t>
  </si>
  <si>
    <t>Tudo</t>
  </si>
  <si>
    <t>para mim está sendo no momento</t>
  </si>
  <si>
    <t>Banco nunca me ofereceu financiamento rural, sou produtor! Última vez fui aplicar um valor a gerente foi grossa</t>
  </si>
  <si>
    <t>Nada a reclamar! Muito satisfeito com o serviço oferecido.</t>
  </si>
  <si>
    <t>Transparência</t>
  </si>
  <si>
    <t>Banco em excelência no atendimento, zero tarifas, fácil acesso</t>
  </si>
  <si>
    <t>Atendimento, presteza, serviços.</t>
  </si>
  <si>
    <t>ótimo  atendimento</t>
  </si>
  <si>
    <t>pontos negativos: processos burocráticos, demora na resposta das propostas de credito, solicitação de garantias adicionais pontos positivos: cota capital, horário de atendimento, facilidade no contato com o gerente de conta.</t>
  </si>
  <si>
    <t>Presta um bom atendimento</t>
  </si>
  <si>
    <t>crieste sicoob satisfeito com o atendimento</t>
  </si>
  <si>
    <t>Sem comentários</t>
  </si>
  <si>
    <t>Hoje é o mesmo que movimentar em um banco, pior, pois se tiver perdas eu participo</t>
  </si>
  <si>
    <t>Presteza</t>
  </si>
  <si>
    <t>Do tempo que abri a conta sequer recebi uma ligação do gerente nem do banco. Isso porque movimento mais de 20k de salário ao mês. Achei que teria uma boa experiência.</t>
  </si>
  <si>
    <t>Eficiência</t>
  </si>
  <si>
    <t>tenho contas que estão programadas para debito em conta, é já por 4 meses o sicoob NÃO lança é tenho que pagar com juros a conta, é olha que a conta é um consórcio que eles mesmo me venderam</t>
  </si>
  <si>
    <t>Por ser próximo da minha empresa</t>
  </si>
  <si>
    <t>praticidade</t>
  </si>
  <si>
    <t>Fiquei revoltado,só deram agendas pros ricos ,é está demorando atender agência de Jandaia ,só um atendente no caixa ,enquanto tem dois três olhando para celular ,já fiquei até 40 minutos para ser atendido</t>
  </si>
  <si>
    <t>Por ser bem atendido</t>
  </si>
  <si>
    <t>TOP</t>
  </si>
  <si>
    <t>Só falta ter mais agências é o aplicativo ser menos burocrático</t>
  </si>
  <si>
    <t>Realmente no Sicoob é uma das instituições melhor de se trabalhar. Bem tratado, valorizado o cooperado. tem tudo que o setor bancário oferece,  é melhor , com retorno ao cooperado.</t>
  </si>
  <si>
    <t>É um banco de Amigos, somos bem tratados em todos os aspectos.</t>
  </si>
  <si>
    <t>MELHOR BANCO COOPERATIVO</t>
  </si>
  <si>
    <t>pessimo</t>
  </si>
  <si>
    <t>Atende bem ..NÃO tem filas...sem problemas</t>
  </si>
  <si>
    <t>RENTABILIDADE</t>
  </si>
  <si>
    <t>ÓTIMO</t>
  </si>
  <si>
    <t>satisfação do cliente no atendimento é nas soluções nas informações.</t>
  </si>
  <si>
    <t>Bom atendimento é organização</t>
  </si>
  <si>
    <t>Por ser uma instituição cooperativista.</t>
  </si>
  <si>
    <t>Creio que podem ser mais atenciosos com os clientes.</t>
  </si>
  <si>
    <t>Conta burocrática é sem cartão  de credito</t>
  </si>
  <si>
    <t>Segurança jurídica é celeridade</t>
  </si>
  <si>
    <t>atendimento, ambiente, tarifas</t>
  </si>
  <si>
    <t>Acessibilidade</t>
  </si>
  <si>
    <t>Atendimento, taxas, tratamento humanizado</t>
  </si>
  <si>
    <t>Ótimo relacionamento,</t>
  </si>
  <si>
    <t>O aplicativo em relação a cartão de credito é muito ruim.....fraco</t>
  </si>
  <si>
    <t>Sempre resolvido com presteza é rapidez</t>
  </si>
  <si>
    <t>ALGUMAS COISAS AINDA, A SEREM MUDADAS.</t>
  </si>
  <si>
    <t>ATENDIMENTO MUITO BOM.</t>
  </si>
  <si>
    <t>Atendimento principalmente no app</t>
  </si>
  <si>
    <t>Consórcio com taxa de ADM elevado</t>
  </si>
  <si>
    <t>NÃO senti que a empresa foi bem assistida, ou acompanhada .</t>
  </si>
  <si>
    <t>Peia utilidade é facilidade do APLICATIVO</t>
  </si>
  <si>
    <t>Bom atendimento  , ambiente familiar</t>
  </si>
  <si>
    <t>Equipe prestativa é preparada . Horários de funcionamento. Cotas .. A solidez do Banco.</t>
  </si>
  <si>
    <t>Bom atendimento, agilidade é um sorriso cordial!!!</t>
  </si>
  <si>
    <t>atendimento é horário, eficientes.</t>
  </si>
  <si>
    <t>Ótima INSTITUIÇÃO BANCÁRIA. SURPREENDEU MINHAS EXPECTATIVAS!</t>
  </si>
  <si>
    <t>Atendimento excelente 👌.  Tudo ótimo!</t>
  </si>
  <si>
    <t>Atendimento é cordialidade.</t>
  </si>
  <si>
    <t>Comprometimento com o cooperado, tratamento igualitário com o cooperado  independente do tamanho é do movimento.</t>
  </si>
  <si>
    <t>Excelente instituição financeira</t>
  </si>
  <si>
    <t>Sicoob é confiança banco de cooperados banco da agricultura familiar</t>
  </si>
  <si>
    <t>è um banco confiável, onde NÃO somos simples correntistas mas sim donos do banco, temos retorno dos lucros em nossa conta capital, tudo que temos que resolver, temos com quem falar é solucionar.</t>
  </si>
  <si>
    <t>atendimento</t>
  </si>
  <si>
    <t>cooperativismo</t>
  </si>
  <si>
    <t>Simplicidade é ambiente familiar nos negócios, bons preços é condições!</t>
  </si>
  <si>
    <t>O tratamento sem muita burocracia, é o tratamento dos clientes, as diferenças nos preços cobrados. As condições é propostas são sempre acomodadas para o cliente realizar o seu negócio. é ser sócio da Cooperativa tem bom retorno nas suas negociações.</t>
  </si>
  <si>
    <t>Eu trabalho aqui há 29 anos é conheço as vantagens</t>
  </si>
  <si>
    <t>Ótimo atendimento é satisfação nos serviços !</t>
  </si>
  <si>
    <t>Facilidade,para transações é linha de credito</t>
  </si>
  <si>
    <t>Uma instituição excelente ótimo atendimento com linhas de credito especial</t>
  </si>
  <si>
    <t>NÃO vejo transparência nessa cooperativa.</t>
  </si>
  <si>
    <t>Ainda NÃO tive oportunidade de aproveitar quase nada do que o sistema bancário tem a oferecer</t>
  </si>
  <si>
    <t>Qualidade transparência agilidade nos serviços prestado</t>
  </si>
  <si>
    <t>Bom atendimento, mais fácil para resolver os problemas, as vezes juros mais em conta.</t>
  </si>
  <si>
    <t>Os colaboradores são os colaboradores são muito profissional</t>
  </si>
  <si>
    <t>O SICOOB É UM BANCO QUE PROCURA AJUDAR OS CLIENTE</t>
  </si>
  <si>
    <t>Porque tudo o que eu preciso os gerentes me atendem prontamente em tudo que preciso</t>
  </si>
  <si>
    <t>O que me motivou foram os benefícios da cooperativa, como o integralidade, baixa ou nenhuma taxa na conta corrente, embora tenha ficado insegura com os últimos acontecimentos, a possibilidade de perder as cotas com gestão deficitária ou outro problema,  NÃO tinha pensado sobre isso.</t>
  </si>
  <si>
    <t>Cooperativa de credito com muita credibilidade, honestidade é segurança</t>
  </si>
  <si>
    <t>Falta de compromisso com o cliente</t>
  </si>
  <si>
    <t>Ter o Sicoob NÃO  tem preço.</t>
  </si>
  <si>
    <t>Tô satisfeito com Banco</t>
  </si>
  <si>
    <t>Algumas vezes, eu procurei pessoas no sicoob (pessoalmente é por whatsapp), querendo adquirir um consórcio ou vr a possibilidade de uma complemento de previdência privada é NÃO tive atenção...</t>
  </si>
  <si>
    <t>NÃO resolve o problema</t>
  </si>
  <si>
    <t>Atendimento diferenciado, humanizado, visa sempre o melhor para o cooperado.</t>
  </si>
  <si>
    <t>O sicoob faz a diferença na vida das pessoas.</t>
  </si>
  <si>
    <t>qualidade de atendimento é horário , é são transparentes nos negócios é produtos</t>
  </si>
  <si>
    <t>Parceria</t>
  </si>
  <si>
    <t>Boa tarde, nunca trabalhei com um banco assim, são todos prestativos é tem um atendimento nota 10.</t>
  </si>
  <si>
    <t>aplicativo fácil de manuseio unico defeito que NÃO pode contar com o banco apesar de ser uma cooperativa eu precisei fui socorrida pela caixa NÃO consegui</t>
  </si>
  <si>
    <t>Atende as necessidades da minha empresa</t>
  </si>
  <si>
    <t>MUITAS VANTAGENS, MAS EM TERMOS DE credito, MUITO RUIM!</t>
  </si>
  <si>
    <t>muito bom atendimento</t>
  </si>
  <si>
    <t>Cooperativa atende todas as nossas demandas é os funcionários são empenhados em atender bem os clientes</t>
  </si>
  <si>
    <t>Fiz um Consórcio é fui contemplada atraves de lance,  muita demora para dar entrada nos papeis da compra do imóvel  que deixei na agência 3054 dia 30/03/23 para funcionária Eliziane, fiz reclamação pessoal para o gerente da agência Edson é nada foi resolvido, só foi dado entrada quase 1 mes depois, até hoje NÃO pagou o cliente com 73 dias, pois por ultimo FUNCIONÁRIA Eliziane  da agência 3054, digitalizou documentos (contrato) faltando última paraágina onde consta selos do cartório de registro,  causando transtornos é muita demora para pagamento  do consórcio, penso em fechar minha conta jurídica desta agência, pela decepção, fiz reclamação na ouvidoria pelo telefone onde me respondeu por email que estava no prazo, se para vocês estão normal para mim NÃO está, ligo todos os dias em Brasília na área de consórcio é acompanho tudo por lá, onde descobri todas estas informações do meu consórcio.</t>
  </si>
  <si>
    <t>Estamos muito bem atendidos, Porem NÃO conseguimos agregar os cartões de debito é  credito.</t>
  </si>
  <si>
    <t>Tudo que precisei até hoje fui atendido com presteza</t>
  </si>
  <si>
    <t>Um excelente atendimento</t>
  </si>
  <si>
    <t>O banco ótimo mas a gerente de Piranhas tinha que ser abaixo de 0</t>
  </si>
  <si>
    <t>Estou muito satisfeita! Obrigada!</t>
  </si>
  <si>
    <t>Todas as operações de credito necessita de avalistas, Alem das taxas de juros serem mais caras do que nos bancos paraúblicos</t>
  </si>
  <si>
    <t>Há diversos benefícios em se associar , no entanto os processos são por vezes burocráticos é morosos, é necessário realizar avanços tecnológicos para trazer agilidade na resolução de demandas, abertura de conta, concessão de credito, etc.</t>
  </si>
  <si>
    <t>parceira, taxas atendimentos é outros.</t>
  </si>
  <si>
    <t>Facilidade é bom atendimento.</t>
  </si>
  <si>
    <t>Sou muito bem atendida por toda equipe.</t>
  </si>
  <si>
    <t>Banco feito para atender todos os clientes sem fazer acepção de pessoas.</t>
  </si>
  <si>
    <t>Adoro</t>
  </si>
  <si>
    <t>Muito lento os feedback das operações é propostas.</t>
  </si>
  <si>
    <t>Sempre sou muito bem atendida é assistida pela equipe Sicoob Credi Rural! Só positividade é eficiência! Grata por tudo!</t>
  </si>
  <si>
    <t>Horário diferenciado de atendimento, atendimento humanizado</t>
  </si>
  <si>
    <t>O sicoob NÃO atende quando solicito alguma cotação de seguro é algumas outras coisas</t>
  </si>
  <si>
    <t>9</t>
  </si>
  <si>
    <t>10 recomendo para todos que converso</t>
  </si>
  <si>
    <t>Agilidade, praticidade é tecnologia</t>
  </si>
  <si>
    <t>Bom atendimento as minhas expectativas é ajuda de credito financeiro todas vezes que necessitei.</t>
  </si>
  <si>
    <t>O bom atendimento é excelente taxas de juros</t>
  </si>
  <si>
    <t>As condições que Sicoob oferece é o ótimo atendimento!</t>
  </si>
  <si>
    <t>PARCERIA, ATENDIMENTO é AGILIDADE</t>
  </si>
  <si>
    <t>Cordialidade</t>
  </si>
  <si>
    <t>Excelente atendimento é ótima recepção.</t>
  </si>
  <si>
    <t>Tudo que preciso minha gerente resolve</t>
  </si>
  <si>
    <t>Nunca tive apoio em nada</t>
  </si>
  <si>
    <t>Sou muito bem atendida.</t>
  </si>
  <si>
    <t>SEM ATENDIMENTO VIA TELEFONE FIXO; DEMORA NAS RESPOSTAS; NÃO OFERECE NENHUM PRODUTO, ENFIM, MUITO INSATISFEITO.  EDSON</t>
  </si>
  <si>
    <t>Fala de visita , falta de ajuda</t>
  </si>
  <si>
    <t>Bom atendimento é relacionamento, é boas taxas nos negócios</t>
  </si>
  <si>
    <t>Quanto ao atendimento é excelente, estou muito satisfeita! O que dificultou para que obtivesse nota máxima foi por questão de um financiamento de carro, em outro banco que NÃO sou nem cliente o vendedor de auto conseguiu um financiamento com taxa mais baixa. NÃO deu para entender, o banco em questão foi o Santander a taxa estava mais barata...</t>
  </si>
  <si>
    <t>Sempre me atendem com muita educação. respeito é agilidade!</t>
  </si>
  <si>
    <t>sicoob tem retorno dos juros</t>
  </si>
  <si>
    <t>porque sou sempre muito bem atendida quando recorro ao Sicoob</t>
  </si>
  <si>
    <t>NÃO gosto do atendimento</t>
  </si>
  <si>
    <t>RECOMENDO O BANCO SICOOB SEM RESTRIÇÃO, ÓTIMO BANCO PARA SE OBTER UMA CONTA BANCARIA, SISTEMA COOPERADOS é OUTROS BENEFÍCIOS</t>
  </si>
  <si>
    <t>MAL ATENDIMENTO DE SUPORTE EM EMPRESAS (IN LOCO)</t>
  </si>
  <si>
    <t>Equipe extraordinária, tratamento igual com todos os clientes, eficiência nas propostas, organização da assembleia fantástica, parabéns.</t>
  </si>
  <si>
    <t>BANCO AMIGO</t>
  </si>
  <si>
    <t>É muito bom</t>
  </si>
  <si>
    <t>A praticidade, a rapidez no atendimento.</t>
  </si>
  <si>
    <t>As oportunidades que o SICOOB nos ofereceu para trabalhar. Principalmente o atendimento do pessoal é o que nos ofereceram como as diferenciações de como o Banco trabalhava dando oportunidades nas horas certas para cada cliente. Satisfeita com a cooperativa eu estou.</t>
  </si>
  <si>
    <t>Atenção por parte da gerente facilidade, horário atendimento</t>
  </si>
  <si>
    <t>Me atende no que necessito.</t>
  </si>
  <si>
    <t>Confiabilidade</t>
  </si>
  <si>
    <t>Tudo! O Sicoob é ótimo em todos os aspectos!</t>
  </si>
  <si>
    <t>Estou satisfeita com o banco</t>
  </si>
  <si>
    <t>Sou super bem atendida banco me atende em todos sentidos</t>
  </si>
  <si>
    <t>agilidade é bom atendimento dos colaboradores!</t>
  </si>
  <si>
    <t>Um bom atendimento</t>
  </si>
  <si>
    <t>Atendimento é a agilidade nas solicitações</t>
  </si>
  <si>
    <t>Benefícios</t>
  </si>
  <si>
    <t>Atendimento ótimo !!! Respondem as dívidas muito rápido !!!</t>
  </si>
  <si>
    <t>Melhor do melhor do mundo 💖💖</t>
  </si>
  <si>
    <t>Mal atendimento, aplicativo do Sicoob ruim, principalmente do consórcio.</t>
  </si>
  <si>
    <t>Facilidade de realizar transações todas</t>
  </si>
  <si>
    <t>Por ser um banco de fácil acesso aos serviços oferecidos ao seu cliente.</t>
  </si>
  <si>
    <t>Fiz um Consórcio é fui contemplada atraves de lance,  muita demora para dar entrada nos papeis da compra do imóvel  que deixei na agência 3054 dia 30/03/23 para funcionária Eliziane, fiz reclamação pessoal para o gerente da agência Edson é nada foi resolvido, só foi dado entrada quase 1 mes depois, até hoje NÃO pagou o cliente com 73 dias, pois por ultimo FUNCIONÁRIA Eliziane  da agência 3054, digitalizou documentos (contrato) faltando última paraágina onde consta selos do cartório de registro,  causando transtornos é muita demora para pagamento  do consórcio, penso em fechar minha conta jurídica desta agência, pela decepção, fiz reclamação na ouvidoria pelo telefone onde me respondeu por email que estava no prazo, se para vocês estão normal para mim NÃO esta, ligo todos os dias em Brasília na área de Consórcio é acompanho tudo por lá, onde descobri todas estas informações do meu Consórcio.</t>
  </si>
  <si>
    <t>Só falta caixa eletrônico disponível após às 18:00 hs na cidade de Indiara</t>
  </si>
  <si>
    <t>Pio de todos os bancos</t>
  </si>
  <si>
    <t>Atendimento, distribuição de sobras, honestidade</t>
  </si>
  <si>
    <t>o nosso atendimento na agência era bom agora está pessimo.</t>
  </si>
  <si>
    <t>A dedicação no atendimento ao cliente</t>
  </si>
  <si>
    <t>atendimento rápido é atencioso.</t>
  </si>
  <si>
    <t>A forma como o cooperativismo transforma a vida das pessoas é fenomenal é a cooperativa tem Alem dos valores uma justiça é aconchego que NÃO encontramos em outras instituições.</t>
  </si>
  <si>
    <t>Atendimento ótimo, mas anda muito enrolada com questão de financiamento, custeios</t>
  </si>
  <si>
    <t>NÃO tenho contato com representantes.</t>
  </si>
  <si>
    <t>NÃO consigo acessar minha conta quando estou com rede móvel , NÃO tenho limite de credito como preciso, atendimento demorado.</t>
  </si>
  <si>
    <t>Atendimento é parceria</t>
  </si>
  <si>
    <t>Um bom banco mas pode melhorar em alguns aspectos</t>
  </si>
  <si>
    <t>Porque no SICOOB as informações NÃO chegam até NÃOs. Exemplo, fiz o pedido de um cartão é nunca me avisaram se chegou ou NÃO, outros pequenos detalhes.</t>
  </si>
  <si>
    <t>Atendimento excelente ao cliente.</t>
  </si>
  <si>
    <t>O gerente nunca responde WhatsApp nem ligação.</t>
  </si>
  <si>
    <t>NÃO DÁ MORAL PARA PEQUENOS CLIENTES</t>
  </si>
  <si>
    <t>Agilidade é cordialidade</t>
  </si>
  <si>
    <t>Bom atendimento, ausência de taxas, cota capital</t>
  </si>
  <si>
    <t>A EQUIPE DO SICOOB é NOTA 10 NO ATENDIMENTO.</t>
  </si>
  <si>
    <t>O bom atendimento !!!</t>
  </si>
  <si>
    <t>Gosto do Sicoob</t>
  </si>
  <si>
    <t>As vantagens</t>
  </si>
  <si>
    <t>Atendimento excelente</t>
  </si>
  <si>
    <t>O atendimento</t>
  </si>
  <si>
    <t>estou satisfeito</t>
  </si>
  <si>
    <t>A NOTA REFLETE NO BOM TRABALHO DOS COLABORADORES A DISPOSIÇÃO DE PRODUTOS COM TAXAS ATRATIVAS é O BOM RELACIONAMENTO COM OS SEUS COOPERADO.</t>
  </si>
  <si>
    <t>Muita dificuldade para resolver um problema.</t>
  </si>
  <si>
    <t>Cancelei pois o serviço caiu muito, ninguem queria resolver nada na minha agência, é quando fui cancelar a conta NÃO recebi nem Um bom dia quando entrei na agência! Precisam melhorar a relação com o consumidor  Depois que virou agência rural piorou!!</t>
  </si>
  <si>
    <t>Atendimento é eficiência do banco</t>
  </si>
  <si>
    <t>atendimento dos funcionários é rapidez nos trabalhos de abertura da empresa</t>
  </si>
  <si>
    <t>Profissionalismo</t>
  </si>
  <si>
    <t>confiança é atendimento</t>
  </si>
  <si>
    <t>Atendimento,é um banco de cooperativa,pensa diferente,pro cooperado.todos ganham,repartem o lucro.</t>
  </si>
  <si>
    <t>Excesso de ligações automáticas</t>
  </si>
  <si>
    <t>Atendimento é soluções rápidas.</t>
  </si>
  <si>
    <t>gosto do atendimento do sicoob</t>
  </si>
  <si>
    <t>Pela satisfação como cliente.</t>
  </si>
  <si>
    <t>Ótimo atendimento recomendo</t>
  </si>
  <si>
    <t>Recepção é comprometimento</t>
  </si>
  <si>
    <t>Credibilidade, agilidade é viabilidade financeira!</t>
  </si>
  <si>
    <t>NÃO tenho muitas reclamações, Porem acho que poderia ter melhores taxas de rendimentos é o sistema vive com instabilidade depois das mudanças no fim do ano passado</t>
  </si>
  <si>
    <t>Custo baixo é atendimento de qualidade</t>
  </si>
  <si>
    <t>SEMPRE PRONTOS COM ESCLARECIMENTOS PRECISOS OBRIGADA</t>
  </si>
  <si>
    <t>Excelente atendimento, agilidade</t>
  </si>
  <si>
    <t>Boa instituição de credito</t>
  </si>
  <si>
    <t>ótimo atendimento</t>
  </si>
  <si>
    <t>NÃO consegui credito para mim por estou insatisfeito</t>
  </si>
  <si>
    <t>Alteração do NÃOúmero da conta sem aviso, estou pagando anuidade do cartão de credito sem ter recebido cartão.</t>
  </si>
  <si>
    <t>Totalmente satisfeito.</t>
  </si>
  <si>
    <t>Dei essa nota porque meus cheques estão voltando por erro de assinatura, já dei baixa em todos os cheques mais a gerente NÃO quis me entregar mais talão.</t>
  </si>
  <si>
    <t>Transparência é presteza.</t>
  </si>
  <si>
    <t>Melhor instituição que já trabalhei, mesmo em poucos meses.</t>
  </si>
  <si>
    <t>o atendimento de vocês</t>
  </si>
  <si>
    <t>O ÓTIMO ATENDIMENTO é A ATENÇÃO QUE ELES tem COM O CLIENTE, ATÉ HOJE FUI MUITO BEM ATENDIDO</t>
  </si>
  <si>
    <t>Cobranças antes do dia programado.  Excesso de taxas</t>
  </si>
  <si>
    <t>A credi rural é Top</t>
  </si>
  <si>
    <t>Atendimento diferenciado</t>
  </si>
  <si>
    <t>É  bom mais deixa a desejar quando solicitamos cheque.Nunca tem imediato</t>
  </si>
  <si>
    <t>Sempre fomos bem atendido pela cooperativa</t>
  </si>
  <si>
    <t>Muita exigência,  é nada resolve.</t>
  </si>
  <si>
    <t>Todos os motivos possíveis</t>
  </si>
  <si>
    <t>Instituição transparente, funcionários cordiais é com canais de comunicação de fácil acesso.</t>
  </si>
  <si>
    <t>Bom relacionamento</t>
  </si>
  <si>
    <t>Experiência ruim</t>
  </si>
  <si>
    <t>Excelência no atendimento, bons produtos é confiabilidade.</t>
  </si>
  <si>
    <t>credibilidade.</t>
  </si>
  <si>
    <t>Atendimento humanizado, respeito ao cooperado.</t>
  </si>
  <si>
    <t>Eficiência, qualidade é cumplicidade esse é motivo de ser da família Sicoob</t>
  </si>
  <si>
    <t>Ao atendimento presencial, serviço de caixa.</t>
  </si>
  <si>
    <t>Por causa da dificuldade em se consegui qq linha de credito. Ficou pessimo mesmo para pequenos valores</t>
  </si>
  <si>
    <t>Excelente agência.</t>
  </si>
  <si>
    <t>Descaso no atendimento prestado ao cooperado, se por acaso quiserem se inteirar do caso podem entrar em contato!</t>
  </si>
  <si>
    <t>Sempre paguei meus empréstimos  Mesmo assim NÃO tenho acesso a creditos  NÃO gosto da política de capitalização</t>
  </si>
  <si>
    <t>O tratamento como cliente.</t>
  </si>
  <si>
    <t>Bom atendimento, bom relacionamento</t>
  </si>
  <si>
    <t>sou muito bem atendida, funcionários prestativos é prontos em ouvir é ajudar.</t>
  </si>
  <si>
    <t>para o meu caso , um banco cooperativa que apenas oferece consórcios. diferentemente de outros bancos que movimento que oferece recursos, linhas de credito é outros serviços.</t>
  </si>
  <si>
    <t>O tratamento com as pessoas é excelente, trata o rico é o pobre do mesmo jeito</t>
  </si>
  <si>
    <t>Ótimo atendimento.</t>
  </si>
  <si>
    <t>BOM BANCO, PARA/FAZER emprestimo CONSIGNADO DEMORA MUITO</t>
  </si>
  <si>
    <t>Ótimo atendimento, é aí má equipe excelente</t>
  </si>
  <si>
    <t>Às vezes pix NÃO funciona, consórcio é financiamento NÃO condiz com valores das casas hoje em Jataí.</t>
  </si>
  <si>
    <t>Um banco parceiro do cliente, satisfação, atendimento é produtos ótimos.</t>
  </si>
  <si>
    <t>Atendimento bom</t>
  </si>
  <si>
    <t>no</t>
  </si>
  <si>
    <t>Praticidade no acesso é no atendimento.</t>
  </si>
  <si>
    <t>Excelente profissional</t>
  </si>
  <si>
    <t>Dificuldade em otimização</t>
  </si>
  <si>
    <t>Cooperativa é o novo modelo de negócio financeiro sustentável, que apoia é supre as necessidades da sociedade local.</t>
  </si>
  <si>
    <t>burocracia extrema, NÃO há divergências de informações dentro do banco</t>
  </si>
  <si>
    <t>PRESTATIVOS é BONS CUSTOS</t>
  </si>
  <si>
    <t>Tamanha dedicação dos colaboradores no geral é empenho em resolver questões , NÃO se acha em outra instituição com esse NÃOível de parceria é que nos motiva a continuar a ser cooperado.</t>
  </si>
  <si>
    <t>so não dou 10 pq a gerente merece um 0</t>
  </si>
  <si>
    <t>A atenção dos colaboradores.</t>
  </si>
  <si>
    <t>Dificuldade em negociar</t>
  </si>
  <si>
    <t>EXCELENTE ATENDIMENTO é EXCELENTE PRODUTOS</t>
  </si>
  <si>
    <t>Ótimo banco.</t>
  </si>
  <si>
    <t>Parceria.</t>
  </si>
  <si>
    <t>atendimento diferenciado</t>
  </si>
  <si>
    <t>Muitos aplicativos, podendo ser reduzido em apenas um!</t>
  </si>
  <si>
    <t>cooperativa segura é confiável. com rendimento em todas suas negociações .</t>
  </si>
  <si>
    <t>NÃO oferece cartão de credito</t>
  </si>
  <si>
    <t>Muito prático é confiável.</t>
  </si>
  <si>
    <t>insignificante</t>
  </si>
  <si>
    <t>tem funcionado perfeitamente até a presente data, atendendo nossos interesses.</t>
  </si>
  <si>
    <t>sempre sou bem atendido.</t>
  </si>
  <si>
    <t>confiança</t>
  </si>
  <si>
    <t>Ótimo indico</t>
  </si>
  <si>
    <t>Pessoal muito atencioso</t>
  </si>
  <si>
    <t>Mal atendimento</t>
  </si>
  <si>
    <t>Ótimo atendimento é se preocupa com cada cooperado</t>
  </si>
  <si>
    <t>Bom atendimento.</t>
  </si>
  <si>
    <t>Assegura os objetivos</t>
  </si>
  <si>
    <t>Confiabilidade é conforto</t>
  </si>
  <si>
    <t>Sicoob Credi Rural, cooperativa sólida é a devolução de capital é SHOW!!!</t>
  </si>
  <si>
    <t>FELIZ COM O ATENDIMENTO</t>
  </si>
  <si>
    <t>A COOPERATIVA SICOOB CREDI-RURAL, POSSUI ANOS NO MERCADO FINANCEIRO, UMA DAS MELHORES COOPERATIVAS DENTRO DA LINHA DE COOPERATIVA, Alem DOS SEUS RESULTADOS é DESTAQUES.</t>
  </si>
  <si>
    <t>Ddsd</t>
  </si>
  <si>
    <t>Vantagens, exclusividade</t>
  </si>
  <si>
    <t>Porque todos as vezes que procuramos uma atendente da sicoob o problema é resolvido.</t>
  </si>
  <si>
    <t>Em geral ótimo banco, sou cliente a uns 10 anos, às vezes o sistema tem algumas instabilidades, é houve uma mudança que me gerou muitos contratempos, Porem recomendo muito!</t>
  </si>
  <si>
    <t>Atenção é consideração no atendimento por todos os Níveis da instituição.</t>
  </si>
  <si>
    <t>atendimento, horários é rapidez</t>
  </si>
  <si>
    <t>Sempre atendeu minhas necessidades com eficiência.</t>
  </si>
  <si>
    <t>Acho muito complicado para resolver problemas simples como o do meu consórcio que já tem mais de 15 dias que fui contemplado é até agora NÃO consegui pegar meu veículo , muita burocracia é falta de informação, informações como tempo de uso de veículos que é diferente do que informaram na hora da contemplação.</t>
  </si>
  <si>
    <t>Tá atendendo bem paraô enquanto</t>
  </si>
  <si>
    <t>Todos os serviços realizados pelo sicoob são excelentes</t>
  </si>
  <si>
    <t>O meu último atendimento foi pessimo. A funcionária nem sabia do site da Sicoob que uso faz 5 anos para emitir boletos. é NÃO é a primeira vez.</t>
  </si>
  <si>
    <t>Cooperativa completa é comprometida com seus clientes</t>
  </si>
  <si>
    <t>ATENDIMENTO DIFERENCIADO</t>
  </si>
  <si>
    <t>pessoalidade! na agência de caiaponia as colaboradoras são excelentes, competentes, cordiais é urbanas.</t>
  </si>
  <si>
    <t>Praticidade é presteza</t>
  </si>
  <si>
    <t>Falte melhoria nos atendimentos de alguns fun</t>
  </si>
  <si>
    <t>Agilidade é bom atendimento.</t>
  </si>
  <si>
    <t>Melhor cooperativa que existem!!</t>
  </si>
  <si>
    <t>É uma cooperativa familiar</t>
  </si>
  <si>
    <t>Super bom mesmo mesmo humildes em tudo</t>
  </si>
  <si>
    <t>Fácil acesso é rapidez no atendimento</t>
  </si>
  <si>
    <t>Agilidade é personalidade no atendimento é relacionamento</t>
  </si>
  <si>
    <t>SICOOB DO VALE</t>
  </si>
  <si>
    <t>Pedi para encerrar a conta é NÃO encerraram...</t>
  </si>
  <si>
    <t>Sempre muito bem atendido</t>
  </si>
  <si>
    <t>Falta de transparência, é cobrança de taxas por episódio. Pura sacanagem</t>
  </si>
  <si>
    <t>Banco excelente em atendimento!</t>
  </si>
  <si>
    <t>Muito satisfeito com a cooperativa sempre  atendeu as necessidades da minha empresa.</t>
  </si>
  <si>
    <t>Juros baixos</t>
  </si>
  <si>
    <t>Tudo de bom</t>
  </si>
  <si>
    <t>sempre fui muito bem atendido na minha agência</t>
  </si>
  <si>
    <t>Atendimento mais humanizado, custo baixo hoje me atende por completo.</t>
  </si>
  <si>
    <t>Muito bom eu gostei muito desse banco</t>
  </si>
  <si>
    <t>Falta de empatia com cliente, nada de cooperativismo NÃO a congruência funcionários muito mau capacitado</t>
  </si>
  <si>
    <t>Tudo muito lento, NÃO tem agilidade, peço um credito leva semanas é eu que tenho que ir atrás das respostas, a gerência fica só no blá blá blá estamos no seculo 21</t>
  </si>
  <si>
    <t>SEMPRE ME ATENDE BEM é COM TRANSPARÊNCIA</t>
  </si>
  <si>
    <t>Muito confiável, recomendamos sempre que podemos é trabalhamos para o crescimento da cooperativa.</t>
  </si>
  <si>
    <t>muito prestativo ,</t>
  </si>
  <si>
    <t>Banco amigo, entende de suas necessidades</t>
  </si>
  <si>
    <t>Comodidade, atendimento  ferramentas web.</t>
  </si>
  <si>
    <t>Pela a fidelidade que o sicoob tem com seus clientes</t>
  </si>
  <si>
    <t>a melhor instituição financeira para se trabalhar.</t>
  </si>
  <si>
    <t>Pessoal muito cordial, atencioso, com muita disponibilidade</t>
  </si>
  <si>
    <t>Eu NÃO fui bem recebido pelo banco</t>
  </si>
  <si>
    <t>Gerente excelente</t>
  </si>
  <si>
    <t>NÃO respeita seus clientes, vende um produto mas NÃO hora da entrega exige um monte de coisas que NÃO foi pontuado na venda. Merda de banco.</t>
  </si>
  <si>
    <t>Falta de benefícios para a gente,levei meu extrato para outra banco me deram limite de conta bom é cartão de credito muito bom, Agora o Sicoob nunca me deram nenhum cartão de 200 reais ! Assim por que só tenho uns 6 anos de conta até parei de movimentar minha conta</t>
  </si>
  <si>
    <t>Dez</t>
  </si>
  <si>
    <t>Gerente ruim !</t>
  </si>
  <si>
    <t>Atendimento ruim</t>
  </si>
  <si>
    <t>Gentileza é compreensão</t>
  </si>
  <si>
    <t>O bom relacionamento com o cliente</t>
  </si>
  <si>
    <t>Atendente na minha cidade de itapuranga foi pessimo, Alem de ocultar informações sobre consórcio</t>
  </si>
  <si>
    <t>agilidade</t>
  </si>
  <si>
    <t>Bom atendimento Sicoob</t>
  </si>
  <si>
    <t>Ainda NÃO usei</t>
  </si>
  <si>
    <t>Pelo atendimento</t>
  </si>
  <si>
    <t>NÃO é muito bom para liberar limite no cartão</t>
  </si>
  <si>
    <t>atendimento com qualidade, igualitário é rápido.</t>
  </si>
  <si>
    <t>Tudo que precisei deu certo</t>
  </si>
  <si>
    <t>Sou tratado como família na minha agência do sicoob</t>
  </si>
  <si>
    <t>Bom atendimento, solução rápida de problemas é atenção; acolhimento</t>
  </si>
  <si>
    <t>Ótimos  Profissionais  Atendimento Rápido</t>
  </si>
  <si>
    <t>Só trabalho com ele</t>
  </si>
  <si>
    <t>bom atendimento do banco Sicoob em Itapuranga, os atendentes são muito atenciosos.</t>
  </si>
  <si>
    <t>O Atendimento é a agilidade !!</t>
  </si>
  <si>
    <t>GOSTO MUITO DO SICOOB, MAS TENHO VISTO MAIS CORPORATIVISMO DE CLASSES DO QUE COOPERAÇÃO.</t>
  </si>
  <si>
    <t>Oportunidade de crescimento</t>
  </si>
  <si>
    <t>minha gerente é a melhor! serviço excelente</t>
  </si>
  <si>
    <t>Muitíssimo difícil linhas de credito capital de giro é outros</t>
  </si>
  <si>
    <t>ATENDIMENTO NOTA 10. TODA EQUIPE</t>
  </si>
  <si>
    <t>Melhor atendimento</t>
  </si>
  <si>
    <t>Rapidez no bom atendimento.</t>
  </si>
  <si>
    <t>Gerente com pouca resolução !</t>
  </si>
  <si>
    <t>O ATENDIMENTO DA FUNCIONÁRIA ROSSANA, MUITO EDUCADA.</t>
  </si>
  <si>
    <t>A acessibilidade é praticidade com o cliente.</t>
  </si>
  <si>
    <t>ATENDIMENTO DIFERENTE</t>
  </si>
  <si>
    <t>NÃO conheço nem o gerente da conta ! NÃO tenho limites</t>
  </si>
  <si>
    <t>boas opções</t>
  </si>
  <si>
    <t>SEMPRE BEM ATENDIDA</t>
  </si>
  <si>
    <t>O banco demora muito para resolver coisa simples abri uma conta a mais de 60 dias é até hoje NÃO recebi nem o cartão da conta</t>
  </si>
  <si>
    <t>O melhor banco</t>
  </si>
  <si>
    <t>não consegui  resolver uma problema simples em cartão de credito..</t>
  </si>
  <si>
    <t>ATENDIMENTO PERSONALIZADO.</t>
  </si>
  <si>
    <t>Dificuldade no aplicativo</t>
  </si>
  <si>
    <t>Atendimento, cuidado, presteza, acolhida, compromisso é responsabilidade.</t>
  </si>
  <si>
    <t>pessimo atendimento, é horrível é etc</t>
  </si>
  <si>
    <t>Atendimento, sistema digital, aplicativo tudo maravilhoso, parabéns</t>
  </si>
  <si>
    <t>Muito limitado é burocrático, Alem de NÃO oferecer nenhum produto diferente ou taxas diferenciadas.</t>
  </si>
  <si>
    <t>A melhor cooperativa</t>
  </si>
  <si>
    <t>Recebi todo o suporte necessário! Ótimos funcionários!!</t>
  </si>
  <si>
    <t>O Sicoob é confiável é tem um atendimento humano, Porem deveria ter 100% do CDI no dinheiro que entra na conta corrente.</t>
  </si>
  <si>
    <t>Fraco</t>
  </si>
  <si>
    <t>Estou satisfeita com o atendimento é serviços ofertados.</t>
  </si>
  <si>
    <t>tem trinta dia pelejando para financiar até hoje NÃO consegui</t>
  </si>
  <si>
    <t>Atendimento, espaço físico,</t>
  </si>
  <si>
    <t>O profissionalismo dos funcionários é a seriedade da instituição</t>
  </si>
  <si>
    <t>Banco sem contato com cliente, nunca me ofereceram nada. Nem cartão de credito.</t>
  </si>
  <si>
    <t>muito bom é fácil as comunicações</t>
  </si>
  <si>
    <t>Qualidade no trabalho é ótimas propostas</t>
  </si>
  <si>
    <t>Bem recebido</t>
  </si>
  <si>
    <t>Porque é um excelente banco</t>
  </si>
  <si>
    <t>Atendimento é cordialidade</t>
  </si>
  <si>
    <t>ótimo atendimento pessoas maravilhosas da equipe</t>
  </si>
  <si>
    <t>O  investimento</t>
  </si>
  <si>
    <t>atendimento é o modelo  de depósito de cheque,,,quando falta o dinheiro aí a gente deposita no dia é cobre o cheque   muito bom</t>
  </si>
  <si>
    <t>Muito atenciosos grata</t>
  </si>
  <si>
    <t>Atendimento muito bom, taxas de juros mais baixos, manutenção da conta mais baixo, é a facilidade trabalhar com o aplicativo!</t>
  </si>
  <si>
    <t>Bom atendimento,só que precisa d mais caixa eletrônico</t>
  </si>
  <si>
    <t>O atendimento é a agilidade nas coisa</t>
  </si>
  <si>
    <t>Rápido, No Atendimento Ótimos Profissionais</t>
  </si>
  <si>
    <t>Aplicativo fácil de usar</t>
  </si>
  <si>
    <t>Me atende muito bem</t>
  </si>
  <si>
    <t>Bom atendimento é muito atenciosos</t>
  </si>
  <si>
    <t>Ajudando a SICOOB, ajudo a vender o peixe de uma instituição que tambem sou cooperado é portanto dono.</t>
  </si>
  <si>
    <t>NÃO libera cartão de credito</t>
  </si>
  <si>
    <t>MUITO BEM ATENDIDO é TUDO QUE PRECISO EU CONSIGO</t>
  </si>
  <si>
    <t>Os funcionários todos muitos prestativos é atenciosos é muito educados</t>
  </si>
  <si>
    <t>Excelente cooperativa</t>
  </si>
  <si>
    <t>Em comparativo aos demais bancos, peca em alguns detalhes que no fim fazem a diferença. Desde a celeridade em aprovar empréstimos até coisas mínimas como um cartão compatível com Apple Pay.</t>
  </si>
  <si>
    <t>É q0</t>
  </si>
  <si>
    <t>Rapidez no atendimento é de fácil acesso aos sistemas.</t>
  </si>
  <si>
    <t>Rapidez é taxas acessível</t>
  </si>
  <si>
    <t>Aqui somos donos,somos bem atendidos o resultados dos lucros voltam para NÃOs mesmo. Logo o resultado é aplicado aqui mesmo no nosso município.</t>
  </si>
  <si>
    <t>Melhor cooperativa de credito!</t>
  </si>
  <si>
    <t>SÃO MUITO PRESTATIVOS</t>
  </si>
  <si>
    <t>Um atendimento mediano</t>
  </si>
  <si>
    <t>Atendimento Diferenciado, retornos rápidos</t>
  </si>
  <si>
    <t>Atendimento, as taxas manutenção contas é outras</t>
  </si>
  <si>
    <t>pela parceria</t>
  </si>
  <si>
    <t>Eficiência é atendimento</t>
  </si>
  <si>
    <t>Ótima prestação de serviço, bom atendimento, atenciosos com os clientes</t>
  </si>
  <si>
    <t>Gestão ainda precisa ser mais aberta! O sistema ainda é muito político é restrito a um grupo de pessoas! Perde muitos funcionários bons…</t>
  </si>
  <si>
    <t>Essência no atendimento</t>
  </si>
  <si>
    <t>Tudo que preciso resolve</t>
  </si>
  <si>
    <t>praticidade é sem falar que você é dono tambem indico para todos!!!</t>
  </si>
  <si>
    <t>SICOOB PALMEIRAS</t>
  </si>
  <si>
    <t>SEGURANÇA é COMODIDADE</t>
  </si>
  <si>
    <t>Bom</t>
  </si>
  <si>
    <t>Devido ao serviço prestado</t>
  </si>
  <si>
    <t>Melhor instituição financeira do Brasil.</t>
  </si>
  <si>
    <t>Faz parte da minha vida 💚</t>
  </si>
  <si>
    <t>O sicoob é um parceiro para todas as horas principalmente parceria de realizar sonhos aqui você sonha sicoob realiza seu projeto</t>
  </si>
  <si>
    <t>Sou muito bem assistido é atende por toda a equipe, sempre sendo bem orientado.</t>
  </si>
  <si>
    <t>Muito sem adução a atendente dá a agência assiste da ydayne da agência goiânia centro Deus me livre</t>
  </si>
  <si>
    <t>Banco perfeito para lhe atender</t>
  </si>
  <si>
    <t>atendimento rápido é eficiente</t>
  </si>
  <si>
    <t>O Sicoob Alem de estar perto de NÃOs, facilita a nossa vida financeira.</t>
  </si>
  <si>
    <t>Transparência,compromisso é confiança.</t>
  </si>
  <si>
    <t>Bom relacionamento é eficiência, melhor atendimento</t>
  </si>
  <si>
    <t>O melhor</t>
  </si>
  <si>
    <t>BUROCRACIA EM DOCUMENTAÇÃO PARA LIBERAÇÃO DE credito é AVAL é GARANTIAS</t>
  </si>
  <si>
    <t>Excelente atendimento, rápido é ágil! Funcionários educados, taxa de juros mais baixa do mercado é sem falar que eu tambem sou dono do banco.</t>
  </si>
  <si>
    <t>FALTA UM CAIXA ELETRÔNICO NA MINHA Agência: 3060</t>
  </si>
  <si>
    <t>SICOOB CREDIJUR</t>
  </si>
  <si>
    <t>muito bom, mas se eu der DEZ, cai em descaso</t>
  </si>
  <si>
    <t>Meios de comunicação difíceis, sem ofertas de serviços é credito. Bloqueio de cartão sem motivo, NÃO tem integração com minha carteira digital do smartphone.</t>
  </si>
  <si>
    <t>Atende em tudo que preciso é o atendimento é excelente!</t>
  </si>
  <si>
    <t>Tudo que preciso é resolvido rápido!</t>
  </si>
  <si>
    <t>O bom atendimento é os serviços satisfatórios oferecidos pela cooperativa.</t>
  </si>
  <si>
    <t>pessimo em todos os sentidos.</t>
  </si>
  <si>
    <t>Um banco ótimo, é tem boas ideias para seus clientes!!!</t>
  </si>
  <si>
    <t>Instituição seria que cuida do seu cooperado</t>
  </si>
  <si>
    <t>Possuo conta na Sicoob Credijur é adoro o atendimento, é rápido, as pessoas são atenciosas.</t>
  </si>
  <si>
    <t>O atendimento é os benefícios oferecidos pela instituição aos seus associados.</t>
  </si>
  <si>
    <t>Sempre que precisei fui muito bem atendida, superou minhas expectativas.</t>
  </si>
  <si>
    <t>É melhor ser acionista que correntista</t>
  </si>
  <si>
    <t>6</t>
  </si>
  <si>
    <t>o atendimento rápido, pessoal da minha gerente Dilma.</t>
  </si>
  <si>
    <t>acessibilidade</t>
  </si>
  <si>
    <t>Porque é um bom banco</t>
  </si>
  <si>
    <t>Faltam serviços ao Sicoob, principalmente quando se trata de investimentos.</t>
  </si>
  <si>
    <t>Muito ruim de credito</t>
  </si>
  <si>
    <t>Pelo ótimo atendimento é atenção que a gerente nos recebe é detalhando todos os serviço de forma transparente</t>
  </si>
  <si>
    <t>Quando precisei acessar linha de credito, após minha solicitação junto a minha gerente, passou por diversas etapas burocráticas sem fim é ao final pediram um parecer para que pudesse ser aprovado, sendo que declaro IR é tenho movimentações bancárias relativamente satisfatória. Eu acabei desistindo é NÃO consegui acessar a linha de credito.</t>
  </si>
  <si>
    <t>O Sicoob, que teve um início maravilhoso em relação a atendimento é taxas, hj se equiparou (infelizmente) aos bancos privados.... uma pena.</t>
  </si>
  <si>
    <t>Atendimento é presteza</t>
  </si>
  <si>
    <t>lixo</t>
  </si>
  <si>
    <t>Ótimo atendimento recebido da gerência de nossas contas.</t>
  </si>
  <si>
    <t>NÃO entendo que o banco busca ajudar o cliente no que precisa. A forma de emprestimo é complicada. Tenho empresa é conta pessoa física, me enviaram um cartão de credito de 3000 é PF 1000. Nem uso, pq é sem base. Já pedi para aumentar, é sequer me retornaram.</t>
  </si>
  <si>
    <t>NÃO vejo vantagem quanto a credito!!!!</t>
  </si>
  <si>
    <t>Adoro os serviços</t>
  </si>
  <si>
    <t>Funcionará do banco muito prestativa Sara, sempre bem humorada é um atendimento de ótima qualidade ...</t>
  </si>
  <si>
    <t>Nunca libera limites</t>
  </si>
  <si>
    <t>Ainda não vi benefício de esta com o sicoob!</t>
  </si>
  <si>
    <t>Eficiência no atendimento ao cliente é serviços com preços melhores do mercado</t>
  </si>
  <si>
    <t>o perfeito atendimento das gerentes das nossas contas, Srta. Aline é Leticia.</t>
  </si>
  <si>
    <t>Bom atendimento na minha agência</t>
  </si>
  <si>
    <t>Atendimento eficiente</t>
  </si>
  <si>
    <t>Excelente atendimento  online, ótimo App, muito intuitivo é NÃO cobra taxas, isso é dinheiro no bolso considerando longo prazo, eu gosto disso.</t>
  </si>
  <si>
    <t>Estou com muita dificuldade em resolver meu consórcio, para vender foi bom, mas agora que preciso de um suporte é muita dificuldade.  Sinto que o Sicoob está se excluindo da responsabilidade de resolver minha situação junto a Ponta Consórcios.  Se realmente estão preocupados com a minha satisfação segue meu NÃOúmero para retorno 62 98100-6871 Robson.</t>
  </si>
  <si>
    <t>sou muito bem atendida por todos da agência.</t>
  </si>
  <si>
    <t>Atendimento de qualidade é facilidade de contato é resolução de problemas</t>
  </si>
  <si>
    <t>ATENDIMENTO, AGILIDADE NO PROBLEMAS.</t>
  </si>
  <si>
    <t>muito prestativos, cortez, ágil é conhecimento do que estão falando !</t>
  </si>
  <si>
    <t>vocês são nota 10....mas tem que ser nove , para continuar melhorando.</t>
  </si>
  <si>
    <t>Facilidade de acesso, prestatividade dos funcionários é tem tudo que preciso.</t>
  </si>
  <si>
    <t>propaganda excessiva, sistema de saque no caixa se tornou mais burocrático é difícil.</t>
  </si>
  <si>
    <t>Pode melhorar</t>
  </si>
  <si>
    <t>é um banco excelente para negociar, seus funcionário são muito prestativo...</t>
  </si>
  <si>
    <t>o SICOOB CREDIJUR  NÃO representa em nada a advocacia. NÃO traz nenhum tipo de projeto benefico é específico ao advogado. Outras cooperativas de credito tem se mostrado mais amigáveis a atividade de empreendedorismo.</t>
  </si>
  <si>
    <t>Por considerar o atendimento sicoob de forma pessoal é tradicional. NÃO sou mais um, sou um cooperado com direito de opinar, sugerir.</t>
  </si>
  <si>
    <t>Melhor cooperativa do mundo!!!!!!!</t>
  </si>
  <si>
    <t>Conta simples só de debito, nenhum benefício de credito</t>
  </si>
  <si>
    <t>Atendimento da credijur é muito ruim, para contratar serviços como seguro cartão de credito, eles NÃO conseguem atender é nem ficam na agência</t>
  </si>
  <si>
    <t>Tudo certo, nunca tive nenhum problema.</t>
  </si>
  <si>
    <t>Excelente instituição para trabalhar</t>
  </si>
  <si>
    <t>Atendimento presencial muito ruim, pouca atenção dispensada é falta de esclarecimentos. Telefone fica na espera por longos minutos, isto quando atende.</t>
  </si>
  <si>
    <t>Inclusive já até indiquei, pelo novo conceito financeiro.</t>
  </si>
  <si>
    <t>bc muito bom.</t>
  </si>
  <si>
    <t>É um banco muito eficiente é com uma agilidade sem igual. Super indico.</t>
  </si>
  <si>
    <t>Pessoal sempre pronto atender! Muito educados</t>
  </si>
  <si>
    <t>Quando preciso do aplicativo NÃO funciona, quando funciona só consigo enviar dinheiro,  mesmo dentro do limite estabelecido,  com autorização da gerência.</t>
  </si>
  <si>
    <t>Tenho conta a um tempo, pago mensalidade é NÃO tenho nenhuma linha de credito liberada, mínima que seja.</t>
  </si>
  <si>
    <t>Excelente em tudo.</t>
  </si>
  <si>
    <t>Eu gosto da cooperativa. Foi o meu primeiro banco durante a faculdade é nunca me decepcionou.</t>
  </si>
  <si>
    <t>Banco que dá valor ao cliente</t>
  </si>
  <si>
    <t>Muito top o atendimento é o cliente é muito valorizado.</t>
  </si>
  <si>
    <t>melhor banco que já trabalhei</t>
  </si>
  <si>
    <t>Sempre me atendeu bem</t>
  </si>
  <si>
    <t>Satisfação total no atendimento</t>
  </si>
  <si>
    <t>Banco de excelência</t>
  </si>
  <si>
    <t>Desumanos ...</t>
  </si>
  <si>
    <t>NÃO vislumbrei vantagem nenhuma em ter abrido essa conta, por isso brevemente a fecharei</t>
  </si>
  <si>
    <t>Insatisfeito por NÃO passar informações direito para o cliente</t>
  </si>
  <si>
    <t>ATENDIMENTO</t>
  </si>
  <si>
    <t>Ótimo atendimento!!</t>
  </si>
  <si>
    <t>NÃO sabem de nada para explicar</t>
  </si>
  <si>
    <t>ATENDIMENTO PERSONALÍSSIMO.</t>
  </si>
  <si>
    <t>nada de diferente, até menos interessante que os bancos digitais como nubank, inter, c6, app tbm deixa desejar</t>
  </si>
  <si>
    <t>Falta de gerência, qualificada para os clientes da jurídica. Na SICOOB CREDIJUR - AGÊNCIA SANTO IVO</t>
  </si>
  <si>
    <t>Nada obstante, inexistir qualquer restrição creditícia é, ainda, comprovar renda líquida de R$ 20.000,00 mensais, me foi negado credito almejado de R$ 60.000,00. Por várias vezes.</t>
  </si>
  <si>
    <t>é muito bom</t>
  </si>
  <si>
    <t>NÃO uso a conta é mesmo assim acumula dívida de manutenção da conta. NÃO recomendo!</t>
  </si>
  <si>
    <t>há turnover alto dos colaboradores, sem contar a falta de comunicação das trocas, banco é relacionamento.</t>
  </si>
  <si>
    <t>Atendimento muito bom!</t>
  </si>
  <si>
    <t>0</t>
  </si>
  <si>
    <t>NÃO obtive um atendimento satisfatório.minha conta CNPJ NÃO tenho limite é nem talão de  cheque eu consigo</t>
  </si>
  <si>
    <t>A nota seria 10, mas o atendimento da cooperativa está a desejar.</t>
  </si>
  <si>
    <t>muita burocracia</t>
  </si>
  <si>
    <t>Custos x benefícios</t>
  </si>
  <si>
    <t>Melhor banco que já trabalhamos até hoje!</t>
  </si>
  <si>
    <t>Muito difícil para conseguir um emprestimo</t>
  </si>
  <si>
    <t>A atenção, o cuidado é o tratamento diferenciado dos funcionários.</t>
  </si>
  <si>
    <t>Agilidade é atenção com o correntista</t>
  </si>
  <si>
    <t>ÓTIMOS para</t>
  </si>
  <si>
    <t>Preço no pacote de serviços é diminuir juros na máquina de cartão</t>
  </si>
  <si>
    <t>Tenho encontrado facilidade em todos os aspectos ao lidar com o Sicoob/Credijur: ótimo atendimento pessoal é por chamada, o aplicativo funciona perfeitamente é segurança no tratamento com recursos sob confiança do Sicoob/Credijur.</t>
  </si>
  <si>
    <t>Ótimo atendimento, aplicativo ágil, Porem o banco físico distante</t>
  </si>
  <si>
    <t>Tudo fácil de resolver</t>
  </si>
  <si>
    <t>ótimo atendimento é supre a necessidade do cooperado</t>
  </si>
  <si>
    <t>Sou muito bem atendida no banco</t>
  </si>
  <si>
    <t>Atendimento,</t>
  </si>
  <si>
    <t>Rápido atendimento é compromisso com o cooperado</t>
  </si>
  <si>
    <t>Falta de informação por parte da equipe de atendimento. Já possuo uma conta, minha esposa tambem. Tentei transformar a minha em conta conjunta é o banco se mostrou extremamente ineficiente é ineficaz, faltando informações básicas. Sem contar que demorou mais de 6 meses para me dizer o procedimento correto, até que desisti.</t>
  </si>
  <si>
    <t>Sempre fui bem atendido é solucionado os meus problemas, ótimos colaboradores!!</t>
  </si>
  <si>
    <t>Cancelei meu cartão de credito é mesmo assim continua a debitar gastos no meu Cpf. Meu nome está com restrição injustamente. Por isso NÃO recomendo</t>
  </si>
  <si>
    <t>Serviços prestado</t>
  </si>
  <si>
    <t>Excelência no atendimento presencial é um ótimo App.</t>
  </si>
  <si>
    <t>Pessoal atencioso é gentil com serviços rápidos</t>
  </si>
  <si>
    <t>NÃO foi o quê eu imaginava</t>
  </si>
  <si>
    <t>NÃO é o quê eu imaginava sobre a Sicoob</t>
  </si>
  <si>
    <t>Ótimo atendimento, gerência comprometida.</t>
  </si>
  <si>
    <t>Estrutura, atendimento de qualidade, Porem muita dificuldade de acesso a linhas de credito empresarial.</t>
  </si>
  <si>
    <t>Serviço de gerência piorou muito nos últimos anos</t>
  </si>
  <si>
    <t>Poderia ser melhor, se aceitassem número estrangeiro no aplicativo, para quem mora fora NÃO consegue mudar nada no aplicativo</t>
  </si>
  <si>
    <t>é um banco com .. com taxas melhores que os outros .. Porem linha de credito é difícil é atendimento remoto é difícil... Se quiser resolver algo tem que perder tempo é ir na agência . Tô a 5 meses tentando atualizar a razão social é NÃO consigo ... Vou ter que ir lá para resolver uma situação simples.</t>
  </si>
  <si>
    <t>NÃO indicaria para niguem</t>
  </si>
  <si>
    <t>A cooperativa Sicoob é um banco diferenciado, parece estar próximo do cliente, NÃO tem frescura com horário, o cliente tem autonomia sente a vontade. Alem de contar com melhores taxas de cheque especial é outras. isso faz a diferença.</t>
  </si>
  <si>
    <t>Atendimento pessoal diferenciado</t>
  </si>
  <si>
    <t>Sicoob é incrível...</t>
  </si>
  <si>
    <t>Falta de acompanhamento da tecnologia do mercado, exemplo: Utilização de cartões de credito/debito em carteiras digitais, principal o Apple Pay. é burocracia desnecessária nos dias atuais em várias opções que concorrentes disponibilizam de forma digital é automática, como por exemplo opções de investimentos diversos. Alem do aplicativo para smartphone possuir uma usabilidade muito ruim, lento é com frequente indisponibilidade. Em virtude de todas esses pontos negativos relacionados ao uso digital cotidiano dos produtos do Sicoob, estou transferindo minha movimentação é produtos, tanto pessoa física quanto jurídica para outro banco. É louvável a iniciativa de bancos cooperativos, realmente a proximidade com os gerentes são pontos muito positivos, Porem, quando se há remoção de burocracias para meios digitais, principalmente com um aumento considerável na agilidade dos resultado de encaminhamentos relativamente rotineiros, a necessidade de contatos com pessoas se torna irrelevantes. Nesse mesmo contexto, podemos dizer que a necessidade de se estar presencialmente em minha agência para habilitar operações via aplicativo móvel, sendo que há inúmeras alternativas tecnológicas seguras para essa tarefa, demonstra o quanto esse modelo está defasado.</t>
  </si>
  <si>
    <t>Toda hora muda o gerente da conta é é sempre difícil ter contato com eles.</t>
  </si>
  <si>
    <t>TAXAS BOAS. credito BOM. AGÊNCIAS COM BOM ATENDIMENTO é SEM FILAS. ISSO É O PRINCIPAL Alem DAS TAXAS OTIMAS.</t>
  </si>
  <si>
    <t>Banco completo</t>
  </si>
  <si>
    <t>Banco sensacional sem palavras</t>
  </si>
  <si>
    <t>Só NÃO dei nota 10 porque estou desde quinta-feira tentando abrir o App para fazer pix é NÃO abre por nada.</t>
  </si>
  <si>
    <t>O Gerente NÃO quer ou NÃO tem discricionaridade para atender ao cliente naquilo que ultrapasse o que diz, determinado pelo Banco.</t>
  </si>
  <si>
    <t>O SICOOB tornou-se um banco comercial, como outro qualquer, NÃO tem mais o diferencial que tinha antes. Hoje o cliente é apenas um NÃOúmero. Alem disso NÃO tem linhas de credito adequadas às minhas necessidades é exige a mesma burocracia dos bancos comerciais.</t>
  </si>
  <si>
    <t>Alguns serviços ainda são ineficientes, tais como taxa de juros em relação as instituições financeiras paraública, Porem NÃO trocaria o Sicoob por um banco particular.</t>
  </si>
  <si>
    <t>Sou atendido com muita atenção, honestidade é clareza.</t>
  </si>
  <si>
    <t>Só NÃO foi 10 porque a segunda conta NÃO tem o mesmo acesso a extratos é limites que o titular tem. Por exemplo, Se a conta é conjunta é os dois possuem cartão, como o segundo usuário saberá se existem limite no cartão ou NÃO para uso.</t>
  </si>
  <si>
    <t>Leque de investimentos limitada. Taxas inferiores no investimento menor que bancos paraúblicos oferecem</t>
  </si>
  <si>
    <t>serviço bancário é bom</t>
  </si>
  <si>
    <t>pessoalidade no atendimento é participação nos resultados</t>
  </si>
  <si>
    <t>Sicoob é muito bom</t>
  </si>
  <si>
    <t>Atendimento, agilidade.</t>
  </si>
  <si>
    <t>👍👍👏👏👏👏</t>
  </si>
  <si>
    <t>sempre muito bem esclarecido em todas as minhas dúvidas financeiras</t>
  </si>
  <si>
    <t>Quebra de confiança é mau atendimento prestado pelo gerente Cesar.</t>
  </si>
  <si>
    <t>É uma instituição seria que trata seus associados bem.</t>
  </si>
  <si>
    <t>Sempre fui atendido bem</t>
  </si>
  <si>
    <t>Bom atendimento, educação, app extremamente descomplicado, facilidades é rapidez para empréstimos é financiamentos.</t>
  </si>
  <si>
    <t>Nunca recebi nenhuma proposta de produtos do banco, limites de cartão, empréstimos, etc.</t>
  </si>
  <si>
    <t>O atendimento do gerente é pessimo nunca dá retorno, NÃO enviam cartão pelo correio tudo tem que ir presencialmente na agência, até para encerrar a conta o que é um absurdo pois hoje todas as agências dos outros bancos fazem os procedimentos com assinatura eletrônica...NÃO liberam linhas de credito mesmo com demonstrativos de faturamento alto da empresa, extremamente emperrado esse banco, só NÃO fechamos a conta por está questão de ter que ir presencialmente a agência....pessimo NÃO indicamos para ninguem, temos um ótimo relacionamento com o Banco do Brasil que NÃOs atende na parte de gerentes é linhas de credito prontamente....uma decepção o Sicoob NÃO há condições de movimentar a conta por lá pois NÃO há motivação ao cliente.</t>
  </si>
  <si>
    <t>As tratativas é a dinâmica que os colaboradores possuem faz toda a diferença.</t>
  </si>
  <si>
    <t>Alem de super atenciosa muito prestativa. Ótimo atendimento, muito eficiente!</t>
  </si>
  <si>
    <t>BOM ATENDIMENTO....</t>
  </si>
  <si>
    <t>Estou a pouco tempo com vocês,  portanto ainda preciso conhecer melhor a política de vocês....</t>
  </si>
  <si>
    <t>Poderia ter opções de pagtos de boletos no credito.</t>
  </si>
  <si>
    <t>Gosto muito da praticidade é facilidade dos sistemas é de atendimento.</t>
  </si>
  <si>
    <t>O ATENDIMENTO JÁ FOI MELHOR. A ROTATIVIDADE DE PESSOAL ESTÁ GRANDE</t>
  </si>
  <si>
    <t>Entrega o que promete.</t>
  </si>
  <si>
    <t>Nunca tive problema agilidade é compromisso ❤️</t>
  </si>
  <si>
    <t>Juros menores</t>
  </si>
  <si>
    <t>Simples, seguro, correto é excelentes taxas</t>
  </si>
  <si>
    <t>SICOOB CREDICAPA</t>
  </si>
  <si>
    <t>o banco é muito bom, mas ainda peca na demora em abrir uma conta é em análise de credito</t>
  </si>
  <si>
    <t>Rapidez é NÃOó atendimento</t>
  </si>
  <si>
    <t>Os benefícios sicoob</t>
  </si>
  <si>
    <t>Serviço completo é ágil</t>
  </si>
  <si>
    <t>Porque ninguem é 10</t>
  </si>
  <si>
    <t>mesmo por telefone foram sempre prestativo é rápido a me atende</t>
  </si>
  <si>
    <t>Bom atendimento, personalizado</t>
  </si>
  <si>
    <t>Movimento minha conta o ano todo em valores alto é o banco NÃO oferece nem um cartão de credito</t>
  </si>
  <si>
    <t>Horrível</t>
  </si>
  <si>
    <t>É um banco excelente!!</t>
  </si>
  <si>
    <t>Um bom banco  não tem um teti a teti com o cliente</t>
  </si>
  <si>
    <t>0 atendimento, 0 credito, 0 funciona.</t>
  </si>
  <si>
    <t>Banco NÃO te oferece um cartão de credito</t>
  </si>
  <si>
    <t>Competência!!</t>
  </si>
  <si>
    <t>o banco sicoob é uma maravilha, atende todos as necessidades de uma grande cooperativa , estou muito feliz por fazer parte dessa família.</t>
  </si>
  <si>
    <t>Eu preciso de linha de credito é cartão de credito...é nada disso me oferece. Vou para outro banco que eu já tenho credito.</t>
  </si>
  <si>
    <t>O melhor banco de todos os tempos !</t>
  </si>
  <si>
    <t>Atendimento, atenção com os clientes, é as oportunidades</t>
  </si>
  <si>
    <t>O banco é complicado é burocrático, cobram taxas, NÃO evoluiu para a nova realidade, como as demais instituições bancárias estão fazendo.</t>
  </si>
  <si>
    <t>gosto do trabalho é atendimento de vcs é suas taxas são baixas , de modos que NÃO pesa na conta .</t>
  </si>
  <si>
    <t>é o um banco qualificado para atender  todos seus clientes!</t>
  </si>
  <si>
    <t>Agilidade, a proximidade é facilidade em contactar a agência, sem contar o ótimo atendimento das meninas.</t>
  </si>
  <si>
    <t>A cordialidade no atendimento dos funcionários</t>
  </si>
  <si>
    <t>Atendimento prático é rápido.</t>
  </si>
  <si>
    <t>Os juros mais em conta, atendimento aos clientes.</t>
  </si>
  <si>
    <t>Sempre indiquei! é olha que tem tempo! Agora que somos de livre admissão! Indico ainda mais.</t>
  </si>
  <si>
    <t>Atendimento é sistema operacional realizado celular</t>
  </si>
  <si>
    <t>Qualidade de atendimento da sua equipe parabéns</t>
  </si>
  <si>
    <t>NÃO gostei do banco, atendimento muito enrolado….</t>
  </si>
  <si>
    <t>Falta de liberação de limite.</t>
  </si>
  <si>
    <t>Nota 0. Falta de TRANSPARÊNCIA da instituição é seus colaboradores, falta de eficiência nos processos.</t>
  </si>
  <si>
    <t>Fui muito bem recebida o gerente Marcos sempre me atendeu seu atenção, inclusive as taxas são menores. Facilidade para empréstimos etc</t>
  </si>
  <si>
    <t>NÃO consegui limite acho muito difícil o app</t>
  </si>
  <si>
    <t>Facilidade das operações, atendimento personalizado, rentabilidade, participação nas sobras.</t>
  </si>
  <si>
    <t>A melhor cooperativa do Brasil</t>
  </si>
  <si>
    <t>NÃO tem cartão de credito  tem pedir pessoalmente  na agência  pedir pelo amor de Deus a gerência  (famoso beija mão),muito atraso estamos no seculo 21 é inteligência artificial</t>
  </si>
  <si>
    <t>Deixa algumas coisas a desejar</t>
  </si>
  <si>
    <t>Porque tem cobrado taxas indevidas que infringe a regulamentação 3.919 do banco central</t>
  </si>
  <si>
    <t>Excelente banco</t>
  </si>
  <si>
    <t>Banco NÃO atende a necessidade do associado funcionário super sem profissionalismo fala da sua vida financeira para outros clientes pessimo isso pelo menos na minha agência</t>
  </si>
  <si>
    <t>Bom atendimento é aplicativo funcional.</t>
  </si>
  <si>
    <t>NÃO dá limite é nem cartão de credito</t>
  </si>
  <si>
    <t>Excelente banco é atendimento!</t>
  </si>
  <si>
    <t>Fantástico, NÃO troco por nenhum outro banco</t>
  </si>
  <si>
    <t>Manda um cartão com credito que nunca sobe o valor</t>
  </si>
  <si>
    <t>Pq abri a conta aí pq pensei que era cartão de credito é NÃO foi</t>
  </si>
  <si>
    <t>Bom atendimento é rapidez</t>
  </si>
  <si>
    <t>Boa relação</t>
  </si>
  <si>
    <t>Um banco prático é com excelente atendimento! Muito ágil nas soluções é demandas dos clientes!</t>
  </si>
  <si>
    <t>Sou cooperada do sicoob mas NÃO gosto da ideia de NÃO poder pegar todo meu dinheiro assim que eu cancelar minha vontade ou mesmo sem cancelar afinal o dinheiro é meu.  Outra coisa a manutenção da conta sou obrigada a pagar tenho conta corrente em outro banco é NÃO pago manutenção. Ob espero que mim deem um pouco de atenção</t>
  </si>
  <si>
    <t>Atendimento de excelência é um banco excelente</t>
  </si>
  <si>
    <t>Excelente em tudo</t>
  </si>
  <si>
    <t>aplicativo ótimo, atendimento presencial ótimo, instalações confortáveis é pessoal muito cortez</t>
  </si>
  <si>
    <t>A gerência NÃO dá atenção aos clientes, em um negócio necessitamos de atenção, pois isso é falta de gestão. Por essa razão já presenciei muitos clientes deixar o Sicoob</t>
  </si>
  <si>
    <t>Satisfação sempre</t>
  </si>
  <si>
    <t>Atendimento é muito bom</t>
  </si>
  <si>
    <t>Um banco muito completo</t>
  </si>
  <si>
    <t>Meu Gerente</t>
  </si>
  <si>
    <t>Limite fora da minha renda, aplicativo pouco intuitivo é ruim funcionalidade.</t>
  </si>
  <si>
    <t>eficiência</t>
  </si>
  <si>
    <t>Muito complicado para sacar dinheiro no caixa eletrônico..  é piorou ainda mais com uso do celular...  pegar emprestimo no banco é uma demora é ainda burocrático é difícil....</t>
  </si>
  <si>
    <t>Tratamento dos funcionários com a gente é ótimo sempre atenciosos é com muita paciência</t>
  </si>
  <si>
    <t>Conta sem benefícios</t>
  </si>
  <si>
    <t>Acho fácil trabalhar com o aplicativo do Sicoob é por NÃO abusar na cobrança de taxas.</t>
  </si>
  <si>
    <t>poderia receber um 10 mais cobrança de juros Abusivos fornecer um cartão de credito com procon juros melhorar os financiamento com pouco juros taxas de 6 ano</t>
  </si>
  <si>
    <t>PELO BOM ATENDIMENTO</t>
  </si>
  <si>
    <t>Todo o atendimento é atenção que o banco tem comigo. É mais que um banco para mim é um parceiro</t>
  </si>
  <si>
    <t>O atendimento é excepcional. Os funcionários são impecáveis na atenção é ajuda em todos os atendimentos. A funcionária Rafaella é impressionante mente eficiente é pratica. Vocês estão de parabéns!!!</t>
  </si>
  <si>
    <t>O atendimento é bom! Mais pode melhorar!</t>
  </si>
  <si>
    <t>Menos burocrático</t>
  </si>
  <si>
    <t>Muito burocrático é NÃO resolve nada pelo APP tudo você tem que ir na agência!</t>
  </si>
  <si>
    <t>Antes de abrir a conta era tudo lindo após abrir nada do que prometeram</t>
  </si>
  <si>
    <t>RELACIONAMENTO</t>
  </si>
  <si>
    <t>Eficiência do serviço</t>
  </si>
  <si>
    <t>É bom simples EFICIENTE</t>
  </si>
  <si>
    <t>A satisfação em fazer parte dessa família 🙌</t>
  </si>
  <si>
    <t>NÃO fornece creditos aos associados</t>
  </si>
  <si>
    <t>SICOOB TOCANTINS</t>
  </si>
  <si>
    <t>Pois me atende perfeitamente</t>
  </si>
  <si>
    <t>Forma de atendimento é agilidade..</t>
  </si>
  <si>
    <t>Excelente.</t>
  </si>
  <si>
    <t>App ótimo de se mexer</t>
  </si>
  <si>
    <t>É tudo perfeito, é rápido!</t>
  </si>
  <si>
    <t>Bom atendimento, é próximo do cooperado</t>
  </si>
  <si>
    <t>Atendimento ótimo Porem demora muito para o cartão chegar</t>
  </si>
  <si>
    <t>Atendimento é agilidade</t>
  </si>
  <si>
    <t>Bom atendimento pela FUNCIONÁRIA Thays Araujo.</t>
  </si>
  <si>
    <t>para</t>
  </si>
  <si>
    <t>Serviço bons prestado mas processo de atendimento muito moroso, lento</t>
  </si>
  <si>
    <t>taxa mensal elevada.</t>
  </si>
  <si>
    <t>excelente atendimento é transparência nos processos.</t>
  </si>
  <si>
    <t>A praticidade é a rapidez de resolver tudo pelo app</t>
  </si>
  <si>
    <t>Ótimas taxas</t>
  </si>
  <si>
    <t>muito bom o relacionamento</t>
  </si>
  <si>
    <t>muita demora para resolução de qualquer tipo de operação. gerente comercial não respondem no whatsapp. é tudo demora . banco sem agilidade.</t>
  </si>
  <si>
    <t>A diferença no atendimento é o cuidado com o associado que tratado como ser humano é NÃO como cliente</t>
  </si>
  <si>
    <t>Instituição NÃO atende demanda do cliente, contrariando direitos regulamentado pelo Banco Central atraves da resolução 3.919 de 2010. Solicitei cancelamento da cesta na  Data: sex., 25 de mar. de 2022 às 15:37, hoje dia 16/06/2023 continua cobrando.</t>
  </si>
  <si>
    <t>Atendimento personalizado é humanizado.</t>
  </si>
  <si>
    <t>ótimo ATENDIMENTO. MARA ESTÁ DE parabéns nos CXS, COMO SEMPRE !!!!!</t>
  </si>
  <si>
    <t>Difícil credito</t>
  </si>
  <si>
    <t>pela eficiência é atendimento</t>
  </si>
  <si>
    <t>Lugar de justiça financeira é prosperidade!</t>
  </si>
  <si>
    <t>NÃO resolveu meus problemas</t>
  </si>
  <si>
    <t>Gerente arrojada, atenciosa, comprometida com o seu associado…parabéns Jacque pela sua dedicação juntamente com a cooperativa é com os seus associados…</t>
  </si>
  <si>
    <t>não RESPONDE MINHAS DUVIDAS EM OPERAÇÕES BANCÁRIAS</t>
  </si>
  <si>
    <t>Aplicativo do banco , é um dos pontos</t>
  </si>
  <si>
    <t>Atendimento gerencial rápido é prestativo</t>
  </si>
  <si>
    <t>Atendimento, tarifas diferenciadas em relação aos demais concorrentes, inclusive outras cooperativas...</t>
  </si>
  <si>
    <t>Excelente atendimento!!</t>
  </si>
  <si>
    <t>Até agora tá dando tudo certo</t>
  </si>
  <si>
    <t>NÃO dão assistência</t>
  </si>
  <si>
    <t>A configuração do app é muito ruim de mais tem hora que NÃO funciona nada</t>
  </si>
  <si>
    <t>Atendimento, rapidez é preço justo.</t>
  </si>
  <si>
    <t>Cada dia mais, tou gostando do banco.</t>
  </si>
  <si>
    <t>Atendimento do segurança até o gerente foi excelente, funcionários Bruno Burati foi excelente no atendimento.</t>
  </si>
  <si>
    <t>OK</t>
  </si>
  <si>
    <t>Excelente no faz</t>
  </si>
  <si>
    <t>O bom atendimento pelas equipes do Sicoob, fez eu como cliente, viabilizar nota máxima. O Sicoob é um dos poucos bancos, no Brasil, que NÃO se ver abusos, contra seus clientes.</t>
  </si>
  <si>
    <t>Uma cooperativa muito acolhedora, profissionais de excelência.</t>
  </si>
  <si>
    <t>O banco possui várias qualidades, Porem a forma de solucionar é muito lenta, é tambem NÃO podermos resgatar o dinheiro que fica na conta capital , para mim é um ponto negativo.</t>
  </si>
  <si>
    <t>O app do banco NÃO é muito prático, poderia melhorar, ser um pouco mais eficiente.</t>
  </si>
  <si>
    <t>É um app ótimo que ajuda as pessoas empreendedores a subir no seus objetivo apesar de eu NÃO conseguir nada de limite com vcs mas eu gosto muito</t>
  </si>
  <si>
    <t>Funcionários bem atenciosos com os associados!!!</t>
  </si>
  <si>
    <t>Prático, rápido é na palma da mão.</t>
  </si>
  <si>
    <t>Sempre um bom atendimento,  NÃO deixa nada a desejar. Super recomendo em vários sentidos.</t>
  </si>
  <si>
    <t>Quando entre no Sicoob a promessa era de não ter manutenção de conta, não foi 6 meses depois começaram a cobrar manutenção de conta é esse valor já subiu 2x. Depois começaram a descontar 10,00 dizendo que era para colocar naqueles 1.000,00 de investimento inicial, que eu vou poder sacar depois quando encerrar a conta. é por ultimo, dia 22/05 era o dia de eu pagar a prestação do emprestimo que eu fiz no valor de R$ 1.012,92, debitaram por volta de R$ 700,00, que era o dinheiro que tinha na conta no momento, eu acesse a conta no próprio dia 22, vi que faltava dinheiro, é depositei o valor restante, por volta de R$ 280,00. O banco não cobrou novamente o valor. No outro dia cobrou o valor restante é com juros. Eu tenho até 23:59 para pagar a prestação, o dinheiro estava na conta, não é problema meu se o banco não cobrou 2x no mesmo dia. Entrei em contato com o gerente, ele disse que não poderia fazer nada. não reembolsaria o valor do juros, no máximo poderia dar um desconto na outra parcela no mesmo valor do juros. Só acredito vendo, vamos ver se isso vai acontecer mesmo na parcela do mes 06. De todo caso não recomendo é estou procurando outro banco para levar minha conta PJ</t>
  </si>
  <si>
    <t>Pelo o bom atendimento é a humildade dos funcionários</t>
  </si>
  <si>
    <t>Banco com taxas justas é gerentes bem acessíveis</t>
  </si>
  <si>
    <t>MOVIMENTEI UMA CONTA LÁ UM ANO NÃO ME OFERECERAM UM CENTAVO DE credito</t>
  </si>
  <si>
    <t>Gostei</t>
  </si>
  <si>
    <t>Atendimento pessimo</t>
  </si>
  <si>
    <t>presteza</t>
  </si>
  <si>
    <t>Me ajudou a comprar meu veículo, fazer uma cirurgia é conquistar muitas coisas atraves do meu relacionamento com a cooperativa</t>
  </si>
  <si>
    <t>equipe de excelência, continua assim</t>
  </si>
  <si>
    <t>Nunca precisei de suporte, no dia que precisei infelizmente fiquei com a pendência é assim que eu organizar farei minha desvinculação da instituição.</t>
  </si>
  <si>
    <t>Instituição inspira segurança é confiança dos cooperados, que exercem a gestão da própria cooperativa com transparência, Alem dos benefícios financeiros é sociais que usufruem.</t>
  </si>
  <si>
    <t>Acho que NÃO olham o que é de fato o potencial que o cliente tem, nosso score é muito bom, tinham até conta física no banco tinha financiamento pagamos antes do vencimento, tentei comprar um veículo NÃO liberou o credito, uma desconfiança é aí encerramos a conta física, somente por isso.</t>
  </si>
  <si>
    <t>Um Bom Atendimento é Agilidade.</t>
  </si>
  <si>
    <t>Decepcionado</t>
  </si>
  <si>
    <t>NÃO recomendaria por alguns motivos. Um banco que implanta cobranças de taxas sem um aviso previo, é um absurdo, fere a legislação é as normas do Banco Central. Fui atraído para ser cliente do Sicoob pela NÃO cobrança de taxas, logo, começaram a cobrar algo próximo de R$ 17,00 é recentemente passaram a cobrar R$ 50,00 mensais, um ABSURDO. Outra situação, tive uma conta pessoa física encerrada por inatividade de 6 meses. Ocorre que nunca minha conta ficou 6 meses inativa, sem depósitos é saques. Tendo saldo em conta. Isso já são mais de 2 anos pedindo providências para sacar é nada. Sobre a taxa cobrada, estou pedindo retorno tem mais de 2 meses, é nada. Como dar uma nota maior que ZERO??? Impossível</t>
  </si>
  <si>
    <t>NÃO me oferece nada</t>
  </si>
  <si>
    <t>Os gerentes da agência de Para</t>
  </si>
  <si>
    <t>Nunca tive dificuldade de ser atendida é app dinâmico.</t>
  </si>
  <si>
    <t>Bom dia, somos cooperado do sicoob é tambem somos uma empresa especializada em desenvolvimento de sistema, já pedimos essa solicitação uma vez é pediram para nos procurar a nossa cooperativa, mais a mesma NÃO conhece esse procedimento, por isso voltamos a para o Open Banking (Sicoob Developers). Hoje na API de Cobrança v2 eu só consigo consultar os boletos liquidado é baixado em um curto período de 2 dias, usando os endpoint</t>
  </si>
  <si>
    <t>GRATIDÃO</t>
  </si>
  <si>
    <t>Um ótimo banco vê o lado do cliente</t>
  </si>
  <si>
    <t>Eu NÃO tenho cartão é NÃO consigo conversar com vcs o resto é  bom</t>
  </si>
  <si>
    <t>Atualmente é um dos melhores bancos</t>
  </si>
  <si>
    <t>Muito prestativo</t>
  </si>
  <si>
    <t>Um banco excepcional!</t>
  </si>
  <si>
    <t>NÃO oferece nada gente, cartão de credito</t>
  </si>
  <si>
    <t>Demora liberar credito</t>
  </si>
  <si>
    <t>Ótimo suporte ao cliente é estrutura compatível é adequada a demanda de serviço, o que evita filas é gargalos de atendimento.</t>
  </si>
  <si>
    <t>Vcs passaram a cobrar taxa de manutenção da conta dos associados sendo que é ilegal é nos temos o direito a isenção</t>
  </si>
  <si>
    <t>Pior banco/cooperativa que já vi.</t>
  </si>
  <si>
    <t>Confiabilidade é melhores taxas do mercado</t>
  </si>
  <si>
    <t>Dificuldade em conseguir credito,  NÃO consegui emprestimo, NÃO consegui cartão de credito,  nada.</t>
  </si>
  <si>
    <t>praticidade, cordialidade,</t>
  </si>
  <si>
    <t>VÁRIOS MOTIVOS</t>
  </si>
  <si>
    <t>NÃO dei 10 porque ,precisa mudar as assembleias da maneira que esta sendo feitas é outros, como saque do cartão de credito só no caixa é outros problemas que eu NÃO estou lembrando agora</t>
  </si>
  <si>
    <t>fácil</t>
  </si>
  <si>
    <t>A gerência!</t>
  </si>
  <si>
    <t>Excelente atendimento  Bem treinados  Bem atenciosos</t>
  </si>
  <si>
    <t>Taxas altas demais para realidade do mercado, já vemos muitas instituições financeiras para PJ com taxa zero nos serviços, sem contar que Alem da taxa NÃO existem benefícios na conta como cartão de credito ou cheque. Para uma simples análise é muita burocracia, enrolação é documentação. Por isso cancelei minha conta, tenho muito mais na conta digital com custo zero</t>
  </si>
  <si>
    <t>Gosto das taxas, atendimento,  mas ainda faltam alguns produtos.</t>
  </si>
  <si>
    <t>Porque tudo que vai fazer nesse banco a gente resolve com facilidade é um ótimo atendimento,por esse motivo dou nota 10.</t>
  </si>
  <si>
    <t>Pior Banco de Palmas ! NÃO tem nada de bom neste Banco !</t>
  </si>
  <si>
    <t>Portfólio de produtos é serviços, Atendimento muito bom, APP top.</t>
  </si>
  <si>
    <t>Nunca tive problemas com o sicoob</t>
  </si>
  <si>
    <t>Bom atendimento  Cordialidade  Credibilidade</t>
  </si>
  <si>
    <t>o banco nunca me ofereceu nenhuma vantagem</t>
  </si>
  <si>
    <t>Estou gostando muito os funcionários é os produtos são muito bons!!</t>
  </si>
  <si>
    <t>AGILIDADE NO ATENDIMENTO, PREÇOS DOS SERVIÇOS, CORDIALIDADE DOS FUNCIONÁRIOS.</t>
  </si>
  <si>
    <t>a relação humana  é por sermos cooperados.</t>
  </si>
  <si>
    <t>Excelentes profissionais</t>
  </si>
  <si>
    <t>Falta aproximação com o cliente.</t>
  </si>
  <si>
    <t>Banco diferenciado por se tratar de cooperativa</t>
  </si>
  <si>
    <t>Já trabalhei no Sicoob é sei do comprometimento da equipe com o associado sempre ajudando é fazendo o possível para atender da melhor maneira possível</t>
  </si>
  <si>
    <t>Rapidez</t>
  </si>
  <si>
    <t>Bom atendimento é clareza no seus serviços, juros menores. Uma equipe maravilhosa sicoob</t>
  </si>
  <si>
    <t>Bom atendimento é planos de conta excelentes!!!</t>
  </si>
  <si>
    <t>Tentei abrir uma conta é movimentar é NÃO consegui NÃO fui bem atendido</t>
  </si>
  <si>
    <t>Restrições/limitações de benefícios de creditos é de ausência de ofertas de investimentos que são disponibilizados por quaisquer instituições bancárias, o que desmotiva o cliente.</t>
  </si>
  <si>
    <t>AS TAXAS DE JUROS é O ATENDIMENTO DO PESSOAL, TUDO DE EXCELÊNCIA</t>
  </si>
  <si>
    <t>Bons serviços</t>
  </si>
  <si>
    <t>Excelente atendimento !!! Cordialidade  Prestativos</t>
  </si>
  <si>
    <t>Uma empresa de qualidade</t>
  </si>
  <si>
    <t>a relação humana é por sermos cooperados.</t>
  </si>
  <si>
    <t>os preços das tarifas é o atendimento</t>
  </si>
  <si>
    <t>Atenção é presteza</t>
  </si>
  <si>
    <t>Banco ótimo</t>
  </si>
  <si>
    <t>Porque sou cliente sicoob.</t>
  </si>
  <si>
    <t>Demora no atendimento.</t>
  </si>
  <si>
    <t>Adoro o sistema é o atendimento</t>
  </si>
  <si>
    <t>Já trabalhei na cooperativa é conheço  muito bem os beneficio, taxa de juro.</t>
  </si>
  <si>
    <t>Atendimento é Confiança.</t>
  </si>
  <si>
    <t>Um desconto COMPULSÓRIO DE 10,00 na minha CONTA!!! ISSO É UM ABSURDO!!!!</t>
  </si>
  <si>
    <t>Eficiência no atendimento!</t>
  </si>
  <si>
    <t>Porta giratória da entrada da entidade!! Gerente autoriza a entrada de alguns associados com metais ou diversos no bolso é barra demais clientes.</t>
  </si>
  <si>
    <t>Porque sou um cooperado é por isso essa é a minha nota</t>
  </si>
  <si>
    <t>Retorno imediato em minhas solicitações</t>
  </si>
  <si>
    <t>NÃO tem gerente jurídico. é tem um mais de 15 dias solicitei uma máquina de cartão é um cartão de credito é nunca me deram notícias.</t>
  </si>
  <si>
    <t>atendimento muito bom</t>
  </si>
  <si>
    <t>Um atendimento de muita qualidade os profissionais qualificados em atendimento</t>
  </si>
  <si>
    <t>Eles dão prioridades para quem tem mais dinheiro</t>
  </si>
  <si>
    <t>Atendimento é os produtos são ótimos</t>
  </si>
  <si>
    <t>Bom atendimento pelos gerentes é funcionários</t>
  </si>
  <si>
    <t>Parte do atendimento</t>
  </si>
  <si>
    <t>Gerentes mal preparados.</t>
  </si>
  <si>
    <t>Seriedade é atendimento</t>
  </si>
  <si>
    <t>A melhor instituição financeira.</t>
  </si>
  <si>
    <t>Cortesia dos empregados. Atendimento bom. De ruim: a instituição está deixando de ser uma Cooperativa é caminhando para se tornar um Banco Comercial,  face a taxas cobradas, juros altos. A Maquina de Cartão Alem de ser cara, os juros são muito altos em relação a outras empresas.</t>
  </si>
  <si>
    <t>Excelente atendimento dos funcionários</t>
  </si>
  <si>
    <t>NÃO consegui realizar muita coisa com o banco, gostaria de uma oportunidade de emprestimo empresarial para poder organizar as finanças é abrir um espaço para trabalhar. Porem, só tenho encontrado portas fechadas. Difícil organizar as coisas com oportunidades limitadíssimas.</t>
  </si>
  <si>
    <t>O atendimento que eu tenho é pessimo. Fica parecendo que estou pedindo favor para fazer operações, sendo que o banco é quem ganha com tais operações</t>
  </si>
  <si>
    <t>Segurança</t>
  </si>
  <si>
    <t>FACILIDADE, AGILIDADE é EFICIÊNCIA</t>
  </si>
  <si>
    <t>Burocracia na hora de pegar credito.</t>
  </si>
  <si>
    <t>MUITO BOM O RELACIONAMENTO</t>
  </si>
  <si>
    <t>Sou muito satisfeito com o Sicoob</t>
  </si>
  <si>
    <t>Presteza no atendimento, os atendentes demonstram conhecimento do assunto  . . .</t>
  </si>
  <si>
    <t>A melhor cooperativa de credito do Brasil, uma excelente gama de serviços.</t>
  </si>
  <si>
    <t>Ruim para liberar credito</t>
  </si>
  <si>
    <t>MAIS QUE UMA ESCOLHA FINANCEIRA A COOPERATIVA DO TOCANTINS!</t>
  </si>
  <si>
    <t>Excelência no atendimento prestado</t>
  </si>
  <si>
    <t>Porque é um banco que gostei 👍🏻</t>
  </si>
  <si>
    <t>Trabalho de excelência da equipe</t>
  </si>
  <si>
    <t>Sou cliente a vários anos é quando preciso de um emprestimo é uma burocracia danada.</t>
  </si>
  <si>
    <t>Todo processo é muito lento é burocrático, atrapalha demais o planejamento de uma empresa. Falta conhecimento tecnico dos funcionários da Cooperativa.</t>
  </si>
  <si>
    <t>Atendimento da Gerente da minha conta.</t>
  </si>
  <si>
    <t>muito bom de relacionamento</t>
  </si>
  <si>
    <t>Fui demitido sem justificativa</t>
  </si>
  <si>
    <t>SICOOB CERRADO</t>
  </si>
  <si>
    <t>Bom Atendimento</t>
  </si>
  <si>
    <t>Omissão de informações</t>
  </si>
  <si>
    <t>Bom dia, tenho pouco tempo de cliente, por enquanto estou satisfeito. Obrigado</t>
  </si>
  <si>
    <t>Um bom atendimento faz toda diferença</t>
  </si>
  <si>
    <t>Ele é um bom banco cooperativista</t>
  </si>
  <si>
    <t>O tratamento que tenho por parte dos colaboradores é principalmente do Gerente é perfeito! Nunca vi em outro banco.</t>
  </si>
  <si>
    <t>Tudo certo</t>
  </si>
  <si>
    <t>Atendimento pessoal</t>
  </si>
  <si>
    <t>A sinceridade das operações. Atendimento com presteza</t>
  </si>
  <si>
    <t>Presteza é atenção com o cooperado!</t>
  </si>
  <si>
    <t>acessibilidade, banco cooperativo</t>
  </si>
  <si>
    <t>Pelo bom atendimento</t>
  </si>
  <si>
    <t>Poucos benefícios</t>
  </si>
  <si>
    <t>Falta de força de vontade</t>
  </si>
  <si>
    <t>Como que vou indicar um banco que até hoje NÃO me entrega meu cartão? já tem 7 meis que NÃO chegou ainda</t>
  </si>
  <si>
    <t>ótimo relacionamento.</t>
  </si>
  <si>
    <t>NÃO quero entrar em detalhes.</t>
  </si>
  <si>
    <t>Facilidade no aplicativo, atendimento rápido é eficiente, menos burocracia.</t>
  </si>
  <si>
    <t>Taxas mais baratas, atendimento diferenciado.</t>
  </si>
  <si>
    <t>Tratamento muito bom, todos muito atenciosos</t>
  </si>
  <si>
    <t>Um excelente instituição financeira</t>
  </si>
  <si>
    <t>Com a agência</t>
  </si>
  <si>
    <t>Bom dia. Excelente atendimento!</t>
  </si>
  <si>
    <t>Sou cooperada Sicoob cerrado. Me sinto tão importante é acolhida quando vou à agência ou caso eu precise de algo, desde de os caixas, que se apresentam pelo nome, simpatissíssimos, Cássio é Wender, até a gerência Hellen, que NÃO mede esforços para agilizar minhas necessidades. Sou encantada pela praticidade em resolver coisas até mesmo por mensagem. Sicoob certamente é o meu banco do coração.</t>
  </si>
  <si>
    <t>Funcionários prestativos. Toda vez que procuro a unidade, sou bem recebida é resolvem minhas pendências.</t>
  </si>
  <si>
    <t>Um banco com atendimento ótimo</t>
  </si>
  <si>
    <t>Conheço bem o Sicoob é por isso recomendaria</t>
  </si>
  <si>
    <t>Taxas justas. Acesso</t>
  </si>
  <si>
    <t>É um excelente banco, personalizado atencioso é nos traz muitas perspectivas!</t>
  </si>
  <si>
    <t>Ótimo atendimento é eficiência do App</t>
  </si>
  <si>
    <t>Precisão é acessibilidade</t>
  </si>
  <si>
    <t>Tratamento diferenciado</t>
  </si>
  <si>
    <t>Trabalho, mas estou gostando bastante, muito satisfeito</t>
  </si>
  <si>
    <t>Gestão seria, transmite segurança, atendimento de qualidade.</t>
  </si>
  <si>
    <t>Humanidade</t>
  </si>
  <si>
    <t>Atendimento humanizado</t>
  </si>
  <si>
    <t>Satisfação, facilidade em resolver pendências</t>
  </si>
  <si>
    <t>Excelente instituição financeira um parceiro importante que o agricultor tem que é o Sicoob</t>
  </si>
  <si>
    <t>Melhor é mais completo Banco do Brasil</t>
  </si>
  <si>
    <t>SATISFEITO</t>
  </si>
  <si>
    <t>SICOOB EMPRECRED</t>
  </si>
  <si>
    <t>Até aqui fui muito bem atendido nota 10</t>
  </si>
  <si>
    <t>Banco é ótimo, mas deixa a desejar sobre as linhas de credito quando mais é preciso</t>
  </si>
  <si>
    <t>Ótima parceria</t>
  </si>
  <si>
    <t>começando pelo atendimento é o cuidado dos funcionários, é a facilidade dos atendimentos.</t>
  </si>
  <si>
    <t>Rapidez no atendimento</t>
  </si>
  <si>
    <t>sempre sou bem atendido NÃO tenho nada a reclamar</t>
  </si>
  <si>
    <t>Bom atendimento é responsabilidade</t>
  </si>
  <si>
    <t>Domínio no assunto</t>
  </si>
  <si>
    <t>Facilidade de atendimento, um App fácil de usar.</t>
  </si>
  <si>
    <t>É muito bom excelente banco</t>
  </si>
  <si>
    <t>Excelente atendimento é sempre me atendendo nas minhas solicitações é necessidade:</t>
  </si>
  <si>
    <t>Muito prático</t>
  </si>
  <si>
    <t>Boas taxas é juros... Porem, sem relacionamento, atendimento ruim é NÃO importa a sua situação, jamais liberam credito a NÃO ser com garantia real aí qualquer um faz...</t>
  </si>
  <si>
    <t>Atendimento é prestatividade.</t>
  </si>
  <si>
    <t>Ambiente de trabalho.</t>
  </si>
  <si>
    <t>Rápido é excelente atendimento é melhores taxas do mercado</t>
  </si>
  <si>
    <t>Entrei para a cooperativa com a informação de que teríamos condições diferenciadas, Porem Alem de precisar pagar 2.000,00 as condições são iguais ou piores.</t>
  </si>
  <si>
    <t>Atendimento, desburocracia, completude do aplicativo.</t>
  </si>
  <si>
    <t>Acho que tem espaço para melhorar!</t>
  </si>
  <si>
    <t>Pior banco</t>
  </si>
  <si>
    <t>me sinto seguro trabalhando com vcs</t>
  </si>
  <si>
    <t>Pela prestatividade dos funcionários!</t>
  </si>
  <si>
    <t>relacionamento muito bom</t>
  </si>
  <si>
    <t>Banco excelente em todos sentidos!! Funcionários exemplares !!</t>
  </si>
  <si>
    <t>Um banco com fácil acesso</t>
  </si>
  <si>
    <t>Cooperativa muito boa de trabalhar  recomendo</t>
  </si>
  <si>
    <t>Falta de credito/ total desatenção com cliente. Indisponibilidade de serviços!</t>
  </si>
  <si>
    <t>Atendimento rápido</t>
  </si>
  <si>
    <t>Comparando o sicoob de Minas  é a de foiás, em razão na cidade que eu moro, existem duas agências, a que tenho conta é de foiás, consultando é pesquisando, é cheguei a um resultado supriendente, a sicoob minas, oferece melhores opções a mais, do que a de goias. é sendo as mesmas instituições chamadas de sicoob, o que estou interessado mudar de agências.</t>
  </si>
  <si>
    <t>Ruim em tudo!</t>
  </si>
  <si>
    <t>Pelo desempenho em melhor de tudo para o cliente</t>
  </si>
  <si>
    <t>O atendimento muito bom principalmente nas agências</t>
  </si>
  <si>
    <t>Sempre que preciso de um credito a aprovação é imediata, ótimas parcelas é juros dentro do padrão.</t>
  </si>
  <si>
    <t>FECHEI A MINHA CONTA NO SICOOB EM DEZEMBRO DE 2022 HOJE SÃO 02 DE JUNHO DE 2023 AINDA NÃO RECEBI O VALOR QUE FICA RETIDO AO ABRIR A CONTA. SE EU TIVESSE PEGO 1.000,00 EMPRESTADO  COM CERTEZA EM 06 MESES EU TERIA QUE PAGAR QUASE O DOBRO DO VALOR é SERÁ QUANTO QUE VOU RECEBER Alem DOS 1.000,00 QUE FICOU RETIDO. NO ATO DO FECHAMENTO DA CONTA FALTOU ESCLARECIMENTO DE COMO SERIA O PROCEDIMENTO ATÉ FINALIZAR O ATO, COMUNICAÇÃO para peSSIMA  você SÓ  É VALORIZADO QUANDO VAI ABRIR A CONTA aí SIM você RECEBE LIGAÇÃO TODA HORA. MAS PARA FINALIZAR A CONTA você tem QUE FICAR ATRÁS LIGANDO é PASSANDO RAIVA. ESSE É O MEU MOTIVO.</t>
  </si>
  <si>
    <t>Eu fui muito bem atendido por todos.</t>
  </si>
  <si>
    <t>Eficiência, agilidade é segurança.</t>
  </si>
  <si>
    <t>Falta de responsabilidade</t>
  </si>
  <si>
    <t>Pasta um bom serviço</t>
  </si>
  <si>
    <t>Melhor banco</t>
  </si>
  <si>
    <t>Top mt bom ,o melhor que encontrei até hoje</t>
  </si>
  <si>
    <t>Atendimento frac</t>
  </si>
  <si>
    <t>AGILIDADE é PRONTO ATENDIMENTO.</t>
  </si>
  <si>
    <t>Por serem muito atencioso com seus clientes</t>
  </si>
  <si>
    <t>Satisfação com o Banco</t>
  </si>
  <si>
    <t>pior banco</t>
  </si>
  <si>
    <t>Atendimento da agência pessimo</t>
  </si>
  <si>
    <t>Muito bom o atendimento</t>
  </si>
  <si>
    <t>Por já conhecer o sistema a muito tempo é ver o quanto é mais vantajoso do que os bancos comerciais</t>
  </si>
  <si>
    <t>um banco com aplicativo excelente de trabalhar. Funcionários muito atenciosos.</t>
  </si>
  <si>
    <t>Ótimo atendimento aos associados.</t>
  </si>
  <si>
    <t>Atendimento muito bom, serviço correto, é perfeito</t>
  </si>
  <si>
    <t>Pq é um banco muito bom o atendimento é excelente rápido</t>
  </si>
  <si>
    <t>Muita burocracia, Porem os servidores atendem muito bem. A nota 4 se refere à burocracia no sistema do banco. O atendimento dos funcionários é nota 10.</t>
  </si>
  <si>
    <t>Fácil de usar</t>
  </si>
  <si>
    <t>Excelente atendimento!</t>
  </si>
  <si>
    <t>A</t>
  </si>
  <si>
    <t>é um banco muito bom, tudo fácil de se resolver, esta de parabéns o sicoob tem uma equipe maravilhosa.</t>
  </si>
  <si>
    <t>O fato de quando eu faço um investimento na poupança (depósito) ele NÃO cai no mesmo dia, falha horrível.</t>
  </si>
  <si>
    <t>NÃO liberou nada para mim  nota 0</t>
  </si>
  <si>
    <t>Sempre supera minhas expectativas</t>
  </si>
  <si>
    <t>Melhor banho</t>
  </si>
  <si>
    <t>Excelência em atendimento</t>
  </si>
  <si>
    <t>Bom atendimento é companheirismo</t>
  </si>
  <si>
    <t>Fácil,prático é rápido. Sem contar os benefícios</t>
  </si>
  <si>
    <t>Muitas coisas a deseja</t>
  </si>
  <si>
    <t>Relacionamento bom</t>
  </si>
  <si>
    <t>NÃO tive cartão de credito aprovado! Mesmo com CPF sem restrição! é deveria ser fácil para encerrar a conta! NÃO conseguir encerrar a conta pelo aplicativo...</t>
  </si>
  <si>
    <t>10 é o Atendimento é bom</t>
  </si>
  <si>
    <t>banco muito eficiente</t>
  </si>
  <si>
    <t>Atendimento é sistemas perfeitos. Falta agilizar liberação de limites de credito. Os procedimentos são excessivamente burocráticos, pois dependem da aprovação da diretoria em Goianesia</t>
  </si>
  <si>
    <t>A maneira como trabalham em prol daqueles que os procurão. Às condições oferecidas aos associados pensando tbem naqueles que investem. NÃO é uma instituição que pensa só em lucros abrem portas para quem quer investir,  trabalhar. Fator importante,  vez que, sem trabalho NÃO há lucros para instituição. Trabalho é  carro chefe faz crescer uma nação dando oportunidades..</t>
  </si>
  <si>
    <t>Atendimento  fraco</t>
  </si>
  <si>
    <t>O atendimento tem que ser igual para todos rico ou pobre</t>
  </si>
  <si>
    <t>Banco quase perfeito. Falta desburocratizar a liberação de credito</t>
  </si>
  <si>
    <t>Porque sempre fui muito bem atendida é consigo resolver todas as minhas coisas com muita facilidade .</t>
  </si>
  <si>
    <t>Taxas é benefícios</t>
  </si>
  <si>
    <t>Profissionalismo dos colaboradores!</t>
  </si>
  <si>
    <t>Muito satisfeito com a agilidade é eficiência.</t>
  </si>
  <si>
    <t>Juros responsável</t>
  </si>
  <si>
    <t>atendimento personalizado</t>
  </si>
  <si>
    <t>Bom atendimento baixo custo em tarifas</t>
  </si>
  <si>
    <t>Atendimento muito bom  Gentileza das pessoa muito boa</t>
  </si>
  <si>
    <t>Atendimento personalizado !</t>
  </si>
  <si>
    <t>Qualidade de atendimento é procedimentos ágeis</t>
  </si>
  <si>
    <t>Banco mentiroso, quando abrimos a conta è mil promessas, quando realmente precisamos do banco è muita burocracia, única intenção do banco è lucrar em cima dos associados. Em novembro irei encerrar minha conta pessoa jurídica, assim como eu fiz com a poupança, è um banco no qual eu nunca vou indicar , pq è só furada!</t>
  </si>
  <si>
    <t>Com certeza recomendo,10</t>
  </si>
  <si>
    <t>Bom atendimento, efetividade, atenção, rapidez, amabilidade é algumas coisas mais</t>
  </si>
  <si>
    <t>Atendente especial</t>
  </si>
  <si>
    <t>Estou tentando mudar minha cesta de serviços a 2 meses mas a cooperativa diz não ter essa opção</t>
  </si>
  <si>
    <t>Por mais que se movimenta NÃO tem credito</t>
  </si>
  <si>
    <t>não CONSIGO ACESSAR MINHA CONTA</t>
  </si>
  <si>
    <t>Porque cancelaram meu cartão</t>
  </si>
  <si>
    <t>excelente atendimento, é acessível plataforma online.</t>
  </si>
  <si>
    <t>Pequenas empresas tem poucas oportunidades.</t>
  </si>
  <si>
    <t>SICOOB SECOVICRED</t>
  </si>
  <si>
    <t>A questão da taxa da maquininha</t>
  </si>
  <si>
    <t>Excelente atendimento é serviços</t>
  </si>
  <si>
    <t>eficazes</t>
  </si>
  <si>
    <t>Muitos motivos.</t>
  </si>
  <si>
    <t>POR SE TRATAR DE UMA INSTITUIÇÃO FINANCEIRA  INCLINADA AO COOPERATIVISMO, DEVERIA OFERECER LINHAS DE creditos COM JUROS MAIS ATRAENTES é NÃO O FAZ, EIS QUE AS SUAS TAXAS SÃO SEMELHANTES ÀS DO MERCADO FINANCEIRO COMUM.</t>
  </si>
  <si>
    <t>Já tenho minha conta a muitos anos, nunca consegui nenhuma oferta de credito, já tentei sem qualquer sucesso anos atrás o Pronamp é nada, é o saldo capital tambem NÃO pode ser resgatado, somente se for encerrar a conta que me informaram...</t>
  </si>
  <si>
    <t>Era associada, tentei entrar em contato com a agência algumas vezes é me disseram que minha gerente ia me retornar, só que nunca retornou. Depois recebi uma carta me excluindo, tentei novamente entrar em contato, nada, aí me ligaram falando sobre essa carta, disse que eu queria alguem para me atender. Nunca retornaram. A algumas semanas perguntei se eles faziam financiamento imobiliário é a pessoa que me atendeu disse que eu já estava descredenciada.</t>
  </si>
  <si>
    <t>Transparência é rapidez na soluções financeiras.</t>
  </si>
  <si>
    <t>Bom relacionamento gerente com cliente</t>
  </si>
  <si>
    <t>Taxas boas, contato fácil é rapidez no atendimento, tolerância</t>
  </si>
  <si>
    <t>Comprometimento com o cliente</t>
  </si>
  <si>
    <t>Um bom banco...</t>
  </si>
  <si>
    <t>Melhor atendimento, menores tarifas é o associado recebe sobras.</t>
  </si>
  <si>
    <t>NÃO consegue nos atender a contento</t>
  </si>
  <si>
    <t>O SICOOB é para Cooperados somente.</t>
  </si>
  <si>
    <t>Promete uma coisa quando na abertura da conta é NÃO cumpre. pessimo</t>
  </si>
  <si>
    <t>Confiabilidade!</t>
  </si>
  <si>
    <t>Esse banco nunca me ofereceu nada ok</t>
  </si>
  <si>
    <t>É um banco que presta serviço aos seus clientes é procura conhecê-los</t>
  </si>
  <si>
    <t>O banco age de forma desonesta, principalmente quando é necessário negociar.</t>
  </si>
  <si>
    <t>Rapidez no Atendimento na agência.</t>
  </si>
  <si>
    <t>Dificuldade de negociação comercial</t>
  </si>
  <si>
    <t>Excelente cooperativa. Bom atendimento.</t>
  </si>
  <si>
    <t>SOU ANTIGO CLIENTE SICOOB, GOSTO MUITO é SOU FÃ</t>
  </si>
  <si>
    <t>Atendimento cordialidade planos</t>
  </si>
  <si>
    <t>Me atende no que preciso!!</t>
  </si>
  <si>
    <t>Atendimento, taxas reduzidas é facilidade nos app's.</t>
  </si>
  <si>
    <t>Baixo rendimento em investimentos de renda fixa. Muito abaixo de 100% do CDI.</t>
  </si>
  <si>
    <t>Atendimento sempre rápido é muito bom.</t>
  </si>
  <si>
    <t>bom relacionamento</t>
  </si>
  <si>
    <t>Interesse em resolver os problemas dos Associados, dentro do possível.</t>
  </si>
  <si>
    <t>Dificuldade em contato com as pessoas, banco desatualizado em relação as inovações do mundo. Dificuldade em desbloqueio da conta em razão de atualização de contrato social. Burocracia extrema para qualquer atitude tomada no banco.</t>
  </si>
  <si>
    <t>NÃO reconheço parceria nessa instituição, os gerentes tratam seus clientes com descaso.</t>
  </si>
  <si>
    <t>pelo atendimento</t>
  </si>
  <si>
    <t>abri uma conta juridica é queria ficar só nela. acontece que NÃO tenho nem cartão de debito . aí como preciso pagar debito em algum lugar, preciso transferir na conta da minha filha que é menor de idade para pagar debito. Lamentável</t>
  </si>
  <si>
    <t>Ser bem atendido!</t>
  </si>
  <si>
    <t>Excelência na prestação dos serviços ofertados é atendimento ao cliente.</t>
  </si>
  <si>
    <t>CONFIANÇA NO COOPERATIVISMO</t>
  </si>
  <si>
    <t>Tenho conta jurídica 3 vezes precisei de credito 3 vezes é nunca liberou, minhas vendas é transferências SÃO todas pelo banco é não tenho credito!! Resumindo vou procurar um.banco mais parceiro</t>
  </si>
  <si>
    <t>Excelente atendimento é serviço</t>
  </si>
  <si>
    <t>SICOOB DEIXOU DE SER UM BANCO COMPENSADOR PARA SER SÓ MAIS UM BANCO COMERCIAL NORMAL, CHEIO DE TAXAS é SEMPRE TENTANDO EMPURRAR PRODUTOS.</t>
  </si>
  <si>
    <t>Banco fácil de operar, credito mais rápido,  é capital que retorna depois</t>
  </si>
  <si>
    <t>Atendimento mais próximo é ágil Alem da participação nos resultados.</t>
  </si>
  <si>
    <t>Falta de contato do meu gerente ou da agência comigo. Sei de outras agências em que o contato é realizado frequentemente gerando satisfação.</t>
  </si>
  <si>
    <t>A instituição é seria, os profissionais tambem. São preparados é NÃO são como nos outros bancos, que vendem sonhos é existem taxas é cobranças por debaixo dos panos. A sinceridade é transparência do Sicoob, que tenho em minha agência (gerente é assistentes) é inspiradora é faz com que eu faça a propaganda boca a boca.</t>
  </si>
  <si>
    <t>Taxas mais atrativas</t>
  </si>
  <si>
    <t>banco normal...estão deixando de fazer a diferença...</t>
  </si>
  <si>
    <t>Tenho um giro bom é nunca liberaram um credito para mim  Fui na agência é NÃO liberou</t>
  </si>
  <si>
    <t>Fiz um consignado, NÃO sei o que aconteceu que NÃO foi realizado o pagamento pro banco é simplesmente protestaram meu nome, sem ao menos me ligar para informar, agora NÃO compro nem uma agulha. Fui ao banco é simplesmente foi me falado que eu tenho que pagar, até aí ok concordo em pagar mesmo porque o nome é meu NÃO é, depois corro atrás dos meus direitos, mas concordo em pagar um valor justo.</t>
  </si>
  <si>
    <t>Bom desempenho dos funcionários</t>
  </si>
  <si>
    <t>a agilidade com que me atenderam é as facilidades que temos nesse banco</t>
  </si>
  <si>
    <t>para pessima Gerente! Logo estarei trocando de banco.</t>
  </si>
  <si>
    <t>PELO SIMPLES FATO DE TER MUDADO NO EXTRATO O MODO DE TIRAR O SALDO DE APLICAÇÃO RDC FICOU MUITO RUIM</t>
  </si>
  <si>
    <t>Tento falar com a Gerente nunca atender é nunca retorna, desmerece o cliente, não sei onde está a ética profissional para tratar com seus Clientes.</t>
  </si>
  <si>
    <t>Banco que NÃO dá atenção para pessoa física, abri conta nunca me ofereceu nada.</t>
  </si>
  <si>
    <t>Ainda NÃO sou cliente</t>
  </si>
  <si>
    <t>pelo o atendimento pessoal</t>
  </si>
  <si>
    <t>NÃO costumo recomendar nada é nem ninguem. Essa nota apenas demonstra que há uma possibilidade.</t>
  </si>
  <si>
    <t>Atendimento!!!</t>
  </si>
  <si>
    <t>Apoio a programação da rede globo, claramente contra o agronegócio que sustenta esse país. Uma vergonha!</t>
  </si>
  <si>
    <t>O aplicativo dá muito erro</t>
  </si>
  <si>
    <t>O atendimento sempre profissional é eficiente. Os produtos é serviços adequados as minhas necessidades A competência da minha gerente</t>
  </si>
  <si>
    <t>excelente banco</t>
  </si>
  <si>
    <t>Pela qualidade dos serviços e atendimento</t>
  </si>
  <si>
    <t>Agilidade no atendimento</t>
  </si>
  <si>
    <t>BOA TARDE! Falta comunicação com o cliente, tentei fazer o seguro do predio, tentei um cartão NÃO obtive resposta</t>
  </si>
  <si>
    <t>Ótimo banco é aplicativo excelente.</t>
  </si>
  <si>
    <t>Pelo tempo de parcerias que vivemos.</t>
  </si>
  <si>
    <t>Gosto das facilidades, atendimento quando preciso é taxas são boas.</t>
  </si>
  <si>
    <t>Banco engessado é atendimento ruim</t>
  </si>
  <si>
    <t>Agilidade nos atendimentos</t>
  </si>
  <si>
    <t>Agilidade nos procedimentos é o excelente atendimento de minha gerente é de sua assistente com a minha pessoa</t>
  </si>
  <si>
    <t>Lançamentos feitos na conta sem consentimento ou aviso previo, com justificativa de que está no estatuto da empresa.</t>
  </si>
  <si>
    <t>Sempre fui correspondido em todas solicitações, sendo bem atendido.</t>
  </si>
  <si>
    <t>Todas as soluções financeiras encontro no sicoob</t>
  </si>
  <si>
    <t>Sempre que solicitei alguma coisa fui atendido de imediato</t>
  </si>
  <si>
    <t>Atendimento bom, mas o sistema do cartão é fraco</t>
  </si>
  <si>
    <t>Cooperativa de ricos!</t>
  </si>
  <si>
    <t>banco confiável é com baixo custo</t>
  </si>
  <si>
    <t>Aplicativo</t>
  </si>
  <si>
    <t>Bom atendimento, agilidade e  presteza na solicitação!!!!""</t>
  </si>
  <si>
    <t>Trabalhar melhor as cotas,,em benefício do cooperado</t>
  </si>
  <si>
    <t>Na minha agência faltam caixa 24 horas mas o restante é nota 10</t>
  </si>
  <si>
    <t>muitas facilidades</t>
  </si>
  <si>
    <t>Atendimento ruim.  Pouca liberação de credito</t>
  </si>
  <si>
    <t>O excelente atendimento na agência de Bela vista de goiás.</t>
  </si>
  <si>
    <t>Parceria, é ótimos profissionais</t>
  </si>
  <si>
    <t>Bom atendimento e rapidez para resolver</t>
  </si>
  <si>
    <t>nada a reclamar</t>
  </si>
  <si>
    <t>O Sicoob já foi uma boa instituição financeira. Hoje NÃO mais. Inclusive estou em busca de outro banco.</t>
  </si>
  <si>
    <t>Sempre que precisamos fomos atendidos.</t>
  </si>
  <si>
    <t>atenção às normas é alegria dos funcionários</t>
  </si>
  <si>
    <t>É o banco do futuro. É um banco concreto com suas ideias e objetivos, que passa para seus clientes uma segurança é transparência com seus negócios.</t>
  </si>
  <si>
    <t>Pelo bom atendimento!</t>
  </si>
  <si>
    <t>Atendimento com muita excelência!</t>
  </si>
  <si>
    <t>NÃO</t>
  </si>
  <si>
    <t>Burocracia para conseguir um cartão de credito</t>
  </si>
  <si>
    <t>Ótimo atendimento do gerente, supriu todas nossas dúvidas com rapidez, ficamos muito satisfeitos com a transferência que tiveram do início até o final do processo, já estamos indicando para muitos amigos, só gratidão 🙏🏾</t>
  </si>
  <si>
    <t>Trabalho numa empresa é já tinha</t>
  </si>
  <si>
    <t>Forma de relacionamento com o cooperado</t>
  </si>
  <si>
    <t>banco serio</t>
  </si>
  <si>
    <t>gerentes altamente capacitados e prestativos , a cooperativa atraves dos seus aplicativos facilitando a vida do empresario</t>
  </si>
  <si>
    <t>Gerentes nunca estão acessíveis por telefone, whatsapp ou pessoalmente.</t>
  </si>
  <si>
    <t>Bom atendimento, clareza no app</t>
  </si>
  <si>
    <t>Dificuldades no atendimento  Excesso de burocracia Falta de atenção é comunicação c clientes Aplicativo (banking) ruim</t>
  </si>
  <si>
    <t>O banco mais incoerente que eu já vi.</t>
  </si>
  <si>
    <t>Nunca tive problemas , ótimo atendimento</t>
  </si>
  <si>
    <t>Excelência no atendimento</t>
  </si>
  <si>
    <t>Agilidade no atendimento e profissionais capacitados!</t>
  </si>
  <si>
    <t>não conheço nem o gerente da minha conta</t>
  </si>
  <si>
    <t>Às vezes a demora em fala na agência</t>
  </si>
  <si>
    <t>Sicoob é um banco que nos atende sempre com excelência e agilidade.</t>
  </si>
  <si>
    <t>Pode melhorar é propor outros serviços.</t>
  </si>
  <si>
    <t>um excelente banco</t>
  </si>
  <si>
    <t>Melhor banco do mundo</t>
  </si>
  <si>
    <t>Facilidade de contato com a instituição na solução de demandas diversas.</t>
  </si>
  <si>
    <t>Eficiência, idoneidade é atendimento exemplar é profissional aos clientes cooperados do SICOOB.</t>
  </si>
  <si>
    <t>gerente muito prestativo conhecimento total em suas atribuições</t>
  </si>
  <si>
    <t>Excelente atendimento e agilidade</t>
  </si>
  <si>
    <t>Atendimento, atenção e cuidado com o cliente</t>
  </si>
  <si>
    <t>Insatisfeita com a forma com que o banco trata seus correntistas.</t>
  </si>
  <si>
    <t>O atendimento cordial da equipe do Banco.</t>
  </si>
  <si>
    <t>O atendimento está muito decadente. Precisa melhorar muito.</t>
  </si>
  <si>
    <t>Gerência 0</t>
  </si>
  <si>
    <t>Se NÃO fosse a segurança</t>
  </si>
  <si>
    <t>PRATICIDADE e AGILIDADE.</t>
  </si>
  <si>
    <t>Um bom relacionamento é atenção!!</t>
  </si>
  <si>
    <t>Ótimos</t>
  </si>
  <si>
    <t>O excelente atendimento prestado pela equipe da cooperativa 3333</t>
  </si>
  <si>
    <t>ÓTIMO BANCO EM TODOS OS QUESITOS.</t>
  </si>
  <si>
    <t>Sou cooperativista há 14 anos é conselheiro de uma singular. Sei como é, como funciona é dos benefícios coletivos proporcionados.</t>
  </si>
  <si>
    <t>qualidade no atendimento</t>
  </si>
  <si>
    <t>seriedade, carisma é agilidade no que foi pedido.</t>
  </si>
  <si>
    <t>O bom atendimento  , atenção é compromisso com o cooperado.</t>
  </si>
  <si>
    <t>Sim, banco prestativo</t>
  </si>
  <si>
    <t>Pela eficiência no atendimento e agilidade nos  serviços oferecidos.</t>
  </si>
  <si>
    <t>Facilidade é competência!</t>
  </si>
  <si>
    <t>Prático é seguro</t>
  </si>
  <si>
    <t>Pouca atenção com o cliente</t>
  </si>
  <si>
    <t>pessimo atendimento, é o app sicoob não presta.</t>
  </si>
  <si>
    <t>NÃO oferece nada a seu cliente</t>
  </si>
  <si>
    <t>Praticamente pelos serviços prestados.</t>
  </si>
  <si>
    <t>O ótimo atendimento</t>
  </si>
  <si>
    <t>O compromisso da cooperativa com os demais.</t>
  </si>
  <si>
    <t>Sim</t>
  </si>
  <si>
    <t>Fui um dos fundadores da Unicred, hoje SICOOB. Hoje toda movimentação financeira fazemos com nossa Cooperativa de credito.</t>
  </si>
  <si>
    <t>no meu caso a SICRED. virou um banco comum, o associado é simplesmente um correntista</t>
  </si>
  <si>
    <t>Bom relacionamento com meu gerente</t>
  </si>
  <si>
    <t>o atendimento é muito bom muito atenção é explicação é muito rápido</t>
  </si>
  <si>
    <t>Cooperação/Amizades</t>
  </si>
  <si>
    <t>Credibilidade confiança.</t>
  </si>
  <si>
    <t>Satisfação com o vínculo bancário</t>
  </si>
  <si>
    <t>As taxas e juros são baixos o que é muito bom, Porem o acesso ao financiamento é difícil</t>
  </si>
  <si>
    <t>fácil acesso as plataformas digitais</t>
  </si>
  <si>
    <t>Gama de vantagens e opções</t>
  </si>
  <si>
    <t>Tudo que preciso tenho que colocar meu dinheiro lá para poder pegar emprestado. Será que compensa</t>
  </si>
  <si>
    <t>eficiência, cordialidade da equipe</t>
  </si>
  <si>
    <t>Equipe atenciosa da 3333</t>
  </si>
  <si>
    <t>Mto bom é fácil de usar é de ser atendido!</t>
  </si>
  <si>
    <t>INSTITUIÇÃO QUE AINDA ESTÁ PRÓXIMA DO CORRENTISTA.</t>
  </si>
  <si>
    <t>Relacionamento com equipe do banco</t>
  </si>
  <si>
    <t>O atendimento do cartão de credito é muito ruim, as contestações de debitos fraudulentos, são difíceis, complicados é muito demoradas as soluções.  O setor de cadastro é outro fator ruim, suspendem o acesso on line, pq exigem, fora da lei, certidões por prazo indeterminado  As procurações são paraúblicas, qq pessoa tem acesso. Pq tenho de satisfazer exigências unilaterais do sicoob, totalmente fora da lei?</t>
  </si>
  <si>
    <t>Total atendimento em minhas necessidades!!!! Meu gerente é nota 1000</t>
  </si>
  <si>
    <t>Encerrei a minha conta no Sicoob é NÃO me devolveram o aporte inicial.  Só mudo esta nota depois que me devolverem o meu dinheiro. Meu contato é 62 98189-7755 Leandro</t>
  </si>
  <si>
    <t>Atendimento gerentes é demais colaboradores.</t>
  </si>
  <si>
    <t>Muito bom,mas o aplicativo poderia melhorar.</t>
  </si>
  <si>
    <t>O motivo pelo qual escolhi essa nota é justamente pelo fato da Sicoob se importar com seus cooperados, Alem disso o cooperativismo é o caminho para uma vida financeira mais justa, transformando sonhos em realidade, possui inúmeras vantagens dentre elas: em vez de ser cliente, ser dono, ter voz ativa é poder de decisão, participar dos resultados, crescimento para todos, parcerias muito mais próxima, contribuir com o desenvolvimento local.</t>
  </si>
  <si>
    <t>Muito satisfeito com todo quadro de funcionários,gerente etc</t>
  </si>
  <si>
    <t>Tirando a linha de credito ruim, o resto está muito bom…</t>
  </si>
  <si>
    <t>Pelo bom atendimento,</t>
  </si>
  <si>
    <t>Pouca atuação dos gerentes na oferta de produtos do banco.</t>
  </si>
  <si>
    <t>Sem relacionamento com o cliente</t>
  </si>
  <si>
    <t>SEMPRE ANDO CERTO COM A COOPERATIVA. POIS MESMO ASSIM NÃO CONFIAM NA GENTE EM GERAR UM credito MELHOR.</t>
  </si>
  <si>
    <t>Satisfeito</t>
  </si>
  <si>
    <t>Atendimento dos caixas, gerentes, todos muito disponíveis e profissionais</t>
  </si>
  <si>
    <t>Pelos serviços prestados</t>
  </si>
  <si>
    <t>BANCO COM EXCELENTE QUALIDADE</t>
  </si>
  <si>
    <t>Sicoob banco nota 10</t>
  </si>
  <si>
    <t>NÃO recomendo. Era um banco sem tarifas até pouco tempo, hoje, tudo é cobrado. NÃO compensa ter conta em cooperativa</t>
  </si>
  <si>
    <t>Desinteresse dos gerentes e atendentes em encontrar soluções aos clientes</t>
  </si>
  <si>
    <t>A facilidade de acesso é o atendimento no banco. O pessoal é extremamente gentil é rápido na resolução dos problemas apresentados.</t>
  </si>
  <si>
    <t>O sistema de proteção a golpes é falho. Os funcionários NÃO são selecionados pela sua competência. Eu NÃO tenho tempo para ir em assembleias então o sistema de cooperativa NÃO me convem. A minha cooperativa quase quebrou por pessima administração. A central de atendimento é lenta demais no atendimento do cliente. Estou profundamente insatisfeita com a sicoob desde que se juntou com a agropecuária. Tudo piorou. Agora fez outra junção mas o sistema de contratação de funcionários é a mesma NÃO é concurso. Alem disso o conselho fiscal NÃO é selecionado por competência no mercado financeiro. Eu quero sair o mais rápido possível desse sistema é assim como trabalhei para fundar a nossa cooperativa dos professores é credenciei centenas de pessoas hoje NÃO recomendo este sistema para ninguem.</t>
  </si>
  <si>
    <t>SEU ATENDIMENTO AO COOPERADO</t>
  </si>
  <si>
    <t>NÃO consegui falar com ADM do cartão é estou com conta bloqueada.</t>
  </si>
  <si>
    <t>PORQUE EU GOSTO DE TRABALHAR COM O SICOOB</t>
  </si>
  <si>
    <t>Agilidade é  fácil acesso</t>
  </si>
  <si>
    <t>Atende todos as necessidades que uma empresa precisa de um banco</t>
  </si>
  <si>
    <t>Excelência em atendimento.</t>
  </si>
  <si>
    <t>Da palavra oportunidades para grandes cooperados</t>
  </si>
  <si>
    <t>Gerente que me atende é prestativa e atenciosa , e juros baixos</t>
  </si>
  <si>
    <t>Cobrança de  taxas com valores bem baixo, participação dos resultados é o atendimento</t>
  </si>
  <si>
    <t>eficiente</t>
  </si>
  <si>
    <t>Cooperativa de credito é banco no qual você tem todos os serviços é ainda participa das sobras</t>
  </si>
  <si>
    <t>insatisfeito</t>
  </si>
  <si>
    <t>Falta Caxias eletrônico para atendimento fora do horário comercial</t>
  </si>
  <si>
    <t>Ainda NÃO recebi o meu cartão</t>
  </si>
  <si>
    <t>disponibilidade</t>
  </si>
  <si>
    <t>Nunca banco nenhum tinha me dado a oportunidade de ter credito logo quando abri a conta. Quero conhecer melhor a cooperativa é como posso participar tambem do cooperativismo</t>
  </si>
  <si>
    <t>Boa taxa de juros</t>
  </si>
  <si>
    <t>Só elogios,nada a reclamar</t>
  </si>
  <si>
    <t>Estou com um empreendimento há 6 meses que já evoluiu 50% no faturamento é mesmo assim NÃO consigo um emprestimo para expandir meu negócio. Se meu banco NÃO é parceiro para o crescimento, fica difícil. Quando a conta estiver mais recheada, com certeza virão oferecendo produtos, mas aí já NÃO precisarei mais...</t>
  </si>
  <si>
    <t>AGILIDADE e PROFISSIONALISMO NO ATENDIMENTO.</t>
  </si>
  <si>
    <t>O bom atendimento de toda a equipe do banco</t>
  </si>
  <si>
    <t>Ruim de retorno das solicitações</t>
  </si>
  <si>
    <t>Relacionamento</t>
  </si>
  <si>
    <t>travado em alguns assuntos</t>
  </si>
  <si>
    <t>A burocracia</t>
  </si>
  <si>
    <t>A utilização do banco é muito simples é eficiente, principalmente para programação de pagamentos.</t>
  </si>
  <si>
    <t>Aplicativo para acessar a conta corrente está sempre travando é com problemas. Todas as vezes que o APP apresenta problemas o cliente tem que ir presencialmente na Cooperativa para solucionar. NÃO apresentam nenhuma possibilidade de solução por outros meios. Para cadastrar um notebook para acesso à conta corrente você tem que ir presencialmente à agência, mesmo tendo a senha, a chave de acesso é o código de liberação da máquina. NÃO permitem que você libere o acesso da máquina pelo APP. Único banco que exige isso do cliente para acesso ao Internet Banking.</t>
  </si>
  <si>
    <t>Melhor cooperativa!</t>
  </si>
  <si>
    <t>sempre sou bem atendido é sempre resolvem o que preciso.</t>
  </si>
  <si>
    <t>Sou atendido por ótimos serviços</t>
  </si>
  <si>
    <t>O BANCO tem ATENDIMENTO HUMANO,é não TECNOLÓGICO</t>
  </si>
  <si>
    <t>dez</t>
  </si>
  <si>
    <t>Atendimento  Custo baixo  Facilidade de negócios</t>
  </si>
  <si>
    <t>Taxas de juros baixa é o atendimento é excelente.</t>
  </si>
  <si>
    <t>Sempre sou bem atendido por todos</t>
  </si>
  <si>
    <t>gerente horrível</t>
  </si>
  <si>
    <t>Conta capital... Sou síndico, meu condomínio NÃO tem limite de cheque especial, NÃO tem cartão de credito... Mesmo assim somos obrigados a ficar com 3700 reais parados... Resolvemos cancelar a conta... Pagamos manutenção de conta, taxa de boleto.</t>
  </si>
  <si>
    <t>NÃO gosto muito do atendimento da gerência de conta. Nunca conseguimos falar na hora que precisamos com o gerente da nossa conta. Temos que falar na central de atendimento. Isso é muito ruim.</t>
  </si>
  <si>
    <t>Mudança na forma de atendimento</t>
  </si>
  <si>
    <t>tem que melhorar muito o atendimento interpessoal</t>
  </si>
  <si>
    <t>Atendimento e prestatividade!</t>
  </si>
  <si>
    <t>Só quem tem Dinheiro que tem Valor LÁ</t>
  </si>
  <si>
    <t>Se Cooperado , portanto ser dono</t>
  </si>
  <si>
    <t>Facilidades do aplicativo tambem poderiam estar na versão para computador</t>
  </si>
  <si>
    <t>Pessoal atende muito bem</t>
  </si>
  <si>
    <t>Muito ruim de credito! você abre o open finance é NÃO consegue nem 10 % dos outros bancos , ainda é obrigado a comprar cotas que quando encerra a conta você tem que pagar o prejuízo de merda que os gestores fizeram!</t>
  </si>
  <si>
    <t>Geralmente NÃO são bem atendidos.</t>
  </si>
  <si>
    <t>descaso do gerente de minha agência, NÃO me dá satisfação de nada , deixar documento comprovante de imposto de rende para ver se aumenta o limite do cartão de credito é até hoje nem satisfação deu!!!</t>
  </si>
  <si>
    <t>Trabalho já tem 4 anos com o sicoob, é excelente..</t>
  </si>
  <si>
    <t>Nada resolve digital</t>
  </si>
  <si>
    <t>Atendimento da equipe agência SGPA-Goiânia</t>
  </si>
  <si>
    <t>Atendimento, compromisso, respeito com os clientes</t>
  </si>
  <si>
    <t>Presteza e gentileza no atendimento, estacionamento.</t>
  </si>
  <si>
    <t>é uma excelente cooperativa...</t>
  </si>
  <si>
    <t>sem relacionamento com cliente. atendimento pessimo.</t>
  </si>
  <si>
    <t>A comunicação NÃO é muito fácil</t>
  </si>
  <si>
    <t>..</t>
  </si>
  <si>
    <t>Gosto da funcionada de do sicoob é da gente que um amor de pessoa.</t>
  </si>
  <si>
    <t>De jeito nenhum, já recebi 5 é-mails dessa pesquisa.</t>
  </si>
  <si>
    <t>Sou muito satisfeita com todo atendimento que o Sicoob me dá</t>
  </si>
  <si>
    <t>O atendimento,a presteza é a atenção dos funcionários da minha agência.</t>
  </si>
  <si>
    <t>Demora nas resposta é solicitações. Mudança de gerente é a NÃO informação aos clientes.</t>
  </si>
  <si>
    <t>Gerente mt bom</t>
  </si>
  <si>
    <t>FALTA DE SUPORTE QUANDO PRECISEI</t>
  </si>
  <si>
    <t>Insatisfação com o cartão de credito,devolução de compra cancelada NÃO resolve , ficamos vários meses é NÃO foi resolvido em outros bancos é solucionado rapidamente , precisou de ligar na ouvidoria é ainda NÃO foi resolvido</t>
  </si>
  <si>
    <t>Atendimento ruim, dificuldade em liberação de credito, falta de tecnologia entre outros.</t>
  </si>
  <si>
    <t>Ótimo atendimento e rapidez</t>
  </si>
  <si>
    <t>EXCELENTE BANCO,ÓTIMAS TAXAS</t>
  </si>
  <si>
    <t>Ótimo atendimento é prestativos.</t>
  </si>
  <si>
    <t>Facilidade do sistema , a agilidade e presteza do dos gerentes é a simplicidade para trabalhar n a cooperativa</t>
  </si>
  <si>
    <t>Excelente atendimento, conto quando precisei de um emprestimo com garantia hipotecária, NÃO fui atendido a contento. Saudações Valdeir</t>
  </si>
  <si>
    <t>Porque o banco NÃO dá limite sem aplicação</t>
  </si>
  <si>
    <t>TENTEI ABRIR UMA CONTA NO SICOOB é FUI IGNORADO</t>
  </si>
  <si>
    <t>Agilidade!</t>
  </si>
  <si>
    <t>fui um dos fundadores da sicoob educação, estou  descontente com a nova administração da minha agência, gerente sem atenção com os cooperados.</t>
  </si>
  <si>
    <t>Sim minha família toda usa e recomenda  Todos somos do time sicoob</t>
  </si>
  <si>
    <t>Sicoob é confiável, instituição diferente dos bancos comuns.</t>
  </si>
  <si>
    <t>Excelente atendimento e produtos de qualidade!</t>
  </si>
  <si>
    <t>Banco atencioso com o cliente</t>
  </si>
  <si>
    <t>Atendimento  Integração com cliente</t>
  </si>
  <si>
    <t>Confiável, conforto e rapidez.</t>
  </si>
  <si>
    <t>é o melhor sistema de cooperativismo que existem, eu já fui colaborador é entendo o que estou falando, NÃO tem comparação.</t>
  </si>
  <si>
    <t>Falta mais opções de investimentos.</t>
  </si>
  <si>
    <t>O acesso ao credito poderia ser mais facilitado,obg!</t>
  </si>
  <si>
    <t>SICOOB JURISCREDCELG</t>
  </si>
  <si>
    <t>Atendimento, cuidado, educação, amooo</t>
  </si>
  <si>
    <t>Inovação e aprimoramento na qualidade de atendimento</t>
  </si>
  <si>
    <t>Falta taxa competitiva para aplicações em LCA, emissão própria ou de terceiros. Hoje mesmo apliquei no concorrente R$ 32 mil a 97% do CDI, emissão de terceiros.</t>
  </si>
  <si>
    <t>Atendimento do gerente é pessimo</t>
  </si>
  <si>
    <t>Porque é bom é verdadeiro</t>
  </si>
  <si>
    <t>fazer parte do Banco.</t>
  </si>
  <si>
    <t>Sentimento de propriedade</t>
  </si>
  <si>
    <t>Ser cooperado do banco.</t>
  </si>
  <si>
    <t>Pessoal muito atencioso. Sabem responder é sanar suas dúvidas com</t>
  </si>
  <si>
    <t>Banco Justo</t>
  </si>
  <si>
    <t>era perfeita mas depois que baixou o limite do cartão dos associados que pagavam a totalidade é até antes do vencimento, caiu muito a qualidade é reciprocidade que tinha com o banco</t>
  </si>
  <si>
    <t>Facilidade em comunicar com a gerência</t>
  </si>
  <si>
    <t>Presteza e qualidade no atendimento.</t>
  </si>
  <si>
    <t>Atende com qualidade</t>
  </si>
  <si>
    <t>Sou cooperada SicoobJuriscred desde o início da cooperativa é a proximidade que a cooperativa tem é algo que NÃO encontra-se em nenhum outro</t>
  </si>
  <si>
    <t>Parceria de é cliente!</t>
  </si>
  <si>
    <t>Cooperação.</t>
  </si>
  <si>
    <t>Estou satisfeito com relação dos atendimento via telefone quando PRECISO!</t>
  </si>
  <si>
    <t>NÃO estou conseguindo entrar no app é nem me conectar por outros canais</t>
  </si>
  <si>
    <t>Falta de interação do gerente com você. Quem é o gerente da sua conta? Uma ligação para 5 clientes custaria quanto?</t>
  </si>
  <si>
    <t>Atendimento pessoal é os avanços tecnicos é digitais!</t>
  </si>
  <si>
    <t>Excelência no atendimento.</t>
  </si>
  <si>
    <t>x</t>
  </si>
  <si>
    <t>As taxas de serviços influenciam muito na minha escolha por bancos.</t>
  </si>
  <si>
    <t>Excelente atendimento e bons produtos.</t>
  </si>
  <si>
    <t>Confiabilidade  é Excelente atendimento.</t>
  </si>
  <si>
    <t>Fui um dos fundadores do sicoobcelg na época em 2009 nunca tinha dado problema,de repente o banco retirou o pequeno limite que eu comprava parcelado,sem me falar nada estou até pensando em encerrar a minha conta aí,é tambem sei que NÃO vai fazer falta para o banco,estou muito aborrecido com tudo isso</t>
  </si>
  <si>
    <t>Excelência em todos atendimentos</t>
  </si>
  <si>
    <t>Tudo que precisamos fazer é complicado é muito burocrático.</t>
  </si>
  <si>
    <t>Em razão do atendimento, bem como os produtos oferecidos serem de excelência.</t>
  </si>
  <si>
    <t>Sicoob é um banco muito acessível, tem as melhores taxas do mercado, Alem de um atendimento excelente ágil e eficiente.</t>
  </si>
  <si>
    <t>A falta de análise contínua de credito é burocracia super rígida para liberá-lo.</t>
  </si>
  <si>
    <t>Eu me sinto muito bem servido pelo Sicoob.</t>
  </si>
  <si>
    <t>sempre são atenciosos quando preciso</t>
  </si>
  <si>
    <t>Excelente atendimento, isso desde o dia em que abri a conta no sicoob é quando preciso de explicações, tirar dúvidas é ou precisar de fazer alguma coisa pelo aplicativo, chegam até a fazer por mim, quando eu preciso é autorizo.</t>
  </si>
  <si>
    <t>toda grande organização precisa de um argumento regulador para atender melhor aos seus associados</t>
  </si>
  <si>
    <t>Atenção é resolução</t>
  </si>
  <si>
    <t>Sempre fui muito bem atendida</t>
  </si>
  <si>
    <t>Principalmente o bom atendimento e seriedade!</t>
  </si>
  <si>
    <t>Atendimento é taxa</t>
  </si>
  <si>
    <t>Taxas baixas para seus clientes aplicarem seus recursos.</t>
  </si>
  <si>
    <t>Facilidade de uso do aplicativo é excelente tratamento pela gerência.</t>
  </si>
  <si>
    <t>O atendimento  dos funcionários</t>
  </si>
  <si>
    <t>Atendimento está deixando a desejar</t>
  </si>
  <si>
    <t>O atendimento do Gerente Paulo, Sicoob Juriscred.  Diferenciadamente positivo.</t>
  </si>
  <si>
    <t>EXCELENTE!</t>
  </si>
  <si>
    <t>Atendimento,  funcionários prestativos,  produtos e taxas.</t>
  </si>
  <si>
    <t>Atendimento e agilidade</t>
  </si>
  <si>
    <t>Ótimo atendimento. Aplicativo de fácil manuseio é com todas as possibilidades de uma agência. Funcionários educados e prestativos.</t>
  </si>
  <si>
    <t>Estou sendo bem atendido pelo Sicoob.</t>
  </si>
  <si>
    <t>Todas as minhas demandas foram respondidas rapidamente é satisfatoriamente.</t>
  </si>
  <si>
    <t>Soluções financeiras completas, com foco em  pessoas é no desenvolvimento comunitário.</t>
  </si>
  <si>
    <t>Sempre me atendeu em tudo que precisei. Funcionários eficientes, carinhosos e prestativos. Estão de parabéns.</t>
  </si>
  <si>
    <t>Os funcionários NÃO fazem questão de atender bem</t>
  </si>
  <si>
    <t>Excelente atendimento e excelentes taxas</t>
  </si>
  <si>
    <t>Precisa melhorar algumas coisa.</t>
  </si>
  <si>
    <t>Atendimento de excelência, procurando sempre fazer o possível para preencher as nossas necessidades financeiras.</t>
  </si>
  <si>
    <t>excelente atendimento, taxas de juros mais vantajosas do mercado é atende as expectativas de um banco com tecnologia é interface faceis e modernas</t>
  </si>
  <si>
    <t>SICOOB CREDICER</t>
  </si>
  <si>
    <t>Atendentes, caixas,gerentes ... super atenciosos gosto muito de ser atendido em minha agência.</t>
  </si>
  <si>
    <t>Melhor banco para mexer.</t>
  </si>
  <si>
    <t>O atendimento é os benefícios que oferecem ao cliente.</t>
  </si>
  <si>
    <t>Um banco de fácil acesso.</t>
  </si>
  <si>
    <t>satisfação, gratidão, compromisso com o cooperado....</t>
  </si>
  <si>
    <t>excelência NO ATENDIMENTO</t>
  </si>
  <si>
    <t>banco com interesse próprio de ajudar quem já tem dinheiro, banco só quer parceria com quem já tem dinheiro , visa somente lucro é NÃO parceria com os associados mais fracos de renda ou bens.</t>
  </si>
  <si>
    <t>bom atendimento, taxas mais baixas, Alem de participar dos resultados</t>
  </si>
  <si>
    <t>Atendimento da gerência de pessoas físicas precisa melhorar muito, demora em resolver é responder o cliente</t>
  </si>
  <si>
    <t>NÃO tem nada cooperativa</t>
  </si>
  <si>
    <t>AT</t>
  </si>
  <si>
    <t>Rapidíssimo o atendimento é procurar sempre a melhor maneira para soluções de problemas</t>
  </si>
  <si>
    <t>Mim ajudou quando mais precisei,só acho que tinha que liberar uma opção para emprestimo..mais satisfeito..</t>
  </si>
  <si>
    <t>F</t>
  </si>
  <si>
    <t>sempre que</t>
  </si>
  <si>
    <t>No momento eu NÃO recomendo para ninguem.  Do nada me arrumaram uma cobrança de 20 reais/mês na minha conta   Vou é fechar a minha conta</t>
  </si>
  <si>
    <t>Isenção de taxa</t>
  </si>
  <si>
    <t>Sicoob é a melhor cooperativa do Brasil.</t>
  </si>
  <si>
    <t>É um banco pequeno, mas de alma gigantesca.</t>
  </si>
  <si>
    <t>Melhor atendimento é confiável</t>
  </si>
  <si>
    <t>Atendimento rápido, eficaz sem enrolação</t>
  </si>
  <si>
    <t>Um banco que só ajuda grandes empresa, ou seja quem tem dinheiro. Decepcionada</t>
  </si>
  <si>
    <t>Bom atendimento é dono</t>
  </si>
  <si>
    <t>Atendimento ótimo 👍</t>
  </si>
  <si>
    <t>SICOOB CREDIADAG</t>
  </si>
  <si>
    <t>Me mandou cartão de credito mais o limite é 0,00 NÃO entendi</t>
  </si>
  <si>
    <t>Gosto da operação via sicoob. Proporciona bom relacionamento é apresenta as menores tarifas, quando são indispensáveis.</t>
  </si>
  <si>
    <t>Ótima instituição financeira.</t>
  </si>
  <si>
    <t>Falta de retorno das demandas</t>
  </si>
  <si>
    <t>NÃO adquiri credito</t>
  </si>
  <si>
    <t>O atendimento é sempre de alto Nível com grande assertividade de soluções positivas que temos sempre que precisamos da cooperativa.</t>
  </si>
  <si>
    <t>Apenas por questões de governança para ajustes. O Sicoob em si é maravilhoso.</t>
  </si>
  <si>
    <t>Praticamente igual todo banco , quando você NÃO precisa te oferecem tudo, quando você está precisando NÃO tem apoio nenhum .</t>
  </si>
  <si>
    <t>a qualidade do atendimento em geral</t>
  </si>
  <si>
    <t>banco se, problemas</t>
  </si>
  <si>
    <t>Atendimento das demandas ágil, eficiente é eficaz na Ag.Trindade, precisando implementar aplicação com resgate diário, que NÃO disponibilize o recurso em D+1.</t>
  </si>
  <si>
    <t>Pouco experiência do time de gerentes</t>
  </si>
  <si>
    <t>Pessoal prestativo  atento às inovações</t>
  </si>
  <si>
    <t>Linha de credito negada</t>
  </si>
  <si>
    <t>NÃO tenho nenhum benefício</t>
  </si>
  <si>
    <t>Taxas boas , gerência regular.</t>
  </si>
  <si>
    <t>Faltam serviços básicos hoje para se levar um 9 ou 10, como por exemplo, Cartão de credito compatível com a carteira virtual de celulares apple ou android. Gerentes estão ficando cada vez mais parecidos com os gerentes de bancos normais. Se esquecem dos princípios básicos do cooperativismo na abertura da conta já.</t>
  </si>
  <si>
    <t>Atendimento  é  diferenciado.</t>
  </si>
  <si>
    <t>Atendimento diferenciado!!!!</t>
  </si>
  <si>
    <t>Fui roubado pelo banco é ninguem resolve</t>
  </si>
  <si>
    <t>O pior banco do mundo</t>
  </si>
  <si>
    <t>Fiz um emprestimo, é antecipei algumas parcelas. Após o termino da antecipação, veio um valor absurdo para eu pagar, e paguei. Achei pouco caso da cooperativa para com seu cooperado</t>
  </si>
  <si>
    <t>Extremamente insatisfeito estou nos Estados Unidos tento entrar na minha conta porque eu preciso receber e enviar dinheiro é NÃO consigo de forma nenhuma já tentei pelo aplicativo de várias formas com código com tudo é NÃO dá certo simplesmente NÃO dá certo se vocês por favor tiver uma solução para mim o meu WhatsApp aqui nos Estados Unidos é 774 778-4319</t>
  </si>
  <si>
    <t>Um banco maravilhoso</t>
  </si>
  <si>
    <t>Atendimento teria que ser mais personalizado, troca muita a gerência</t>
  </si>
  <si>
    <t>Precisei de pouquíssimo credito me negaram, mesmo já tendo feito outros é pago sempre em dias.</t>
  </si>
  <si>
    <t>O sistema empresarial de vocês é primitivo, só funciona em horários comerciais é NÃO funciona aos finais de semana, qualquer empresário serio, trabalha Alem do horário comercial é muitas vezes, durante o final de semana.</t>
  </si>
  <si>
    <t>Tinha um capital na Sicoob, já tinha um histórico de vários empréstimos quitados é em junho do ano passado estava com um saldo devedor no cartão meio alto. NÃO me ofereceram uma recomposição, alternativas, nada. Vendi meu carro , quitei tudo é agora só opero com bancos tradicionais.</t>
  </si>
  <si>
    <t>Ótimo atendimento  .</t>
  </si>
  <si>
    <t>Gosto do banco pelo atendimento é o que oferece. O fato de ser uma cooperativa me faz ser parte da instituição</t>
  </si>
  <si>
    <t>atenção</t>
  </si>
  <si>
    <t>Falta parceria com pequeno empreendedor</t>
  </si>
  <si>
    <t>Prático e eficiente.</t>
  </si>
  <si>
    <t>Sim, pela praticidade</t>
  </si>
  <si>
    <t>NÃO recomendo pois quando precisamos NÃO temos respaldo.</t>
  </si>
  <si>
    <t>Equipe de atendimento é ótima, o app é ágil e moderno.</t>
  </si>
  <si>
    <t>Pq sempre supriu minhas necessidades .</t>
  </si>
  <si>
    <t>Estou decepcionado com o Sistema, uma vez que sou uns dos fundadores, inclusive conselheiro é quando fui vítima de Rack, contas física e jurídica, NÃO me deram a menor atenção.</t>
  </si>
  <si>
    <t>Se NÃO for da panelinha do gerente NÃO pega credito.</t>
  </si>
  <si>
    <t>App ruim, cartão de credito promete NÃO cobrar anuidade Porem executa outra coisa, cobrando.</t>
  </si>
  <si>
    <t>Banco Eficiente</t>
  </si>
  <si>
    <t>Muito bom!!!</t>
  </si>
  <si>
    <t>O banco é bom para trabalhar mas é fraco para credito.</t>
  </si>
  <si>
    <t>Bom atendimento prestado.</t>
  </si>
  <si>
    <t>É um ótimo banco</t>
  </si>
  <si>
    <t>Pouco credito muito juros é atendimento pessimo</t>
  </si>
  <si>
    <t>Nota 10. ótimo atendimento</t>
  </si>
  <si>
    <t>muito fraco.</t>
  </si>
  <si>
    <t>NÃO vejo muita vantagem, pensei que teria benefícios que NÃO tenho.</t>
  </si>
  <si>
    <t>Muito democrático, na parte financeiro</t>
  </si>
  <si>
    <t>NÃO tenho limites de credito, NÃO tenho limites de cartão de credito, sequer meu cartão de debito chegou a minha residência.</t>
  </si>
  <si>
    <t>A Beatriz que deveria ser gerente.</t>
  </si>
  <si>
    <t>Tenho encontrado dificuldades em usar o aplicativo do banco. Acho muito complexo.</t>
  </si>
  <si>
    <t>NÃO supriu minhas necessidades</t>
  </si>
  <si>
    <t>Por ser excelente instituição financeira</t>
  </si>
  <si>
    <t>Explora o cooperado com taxas abusivas</t>
  </si>
  <si>
    <t>Satisfeita com o Banco é o atendimento</t>
  </si>
  <si>
    <t>NÃO existem proatividade na oferta de produtos é acompanhamento do cooperado para aumentar o relacionamento com a cooperativa</t>
  </si>
  <si>
    <t>Nem tenho contato nessa instituição, fiz o cadastro é nunca consegui entrar de novo</t>
  </si>
  <si>
    <t>Serviços de qualidade</t>
  </si>
  <si>
    <t>Serviços satisfatórios, boa atenção por parte de gerentes de contas, Porem deixa a desejar em relação a tecnologias como Porem a falta de integração com Apple Pay.</t>
  </si>
  <si>
    <t>Tenho tudo que quero no banco,minha Gerente é nota 10</t>
  </si>
  <si>
    <t>São atenciosos</t>
  </si>
  <si>
    <t>esta  cooperativa  é  muito fraca</t>
  </si>
  <si>
    <t>FALTA MAIS RIGIDEZ NA ANÁLISE DOCUMENTAL é ATOS PRATICADOS PELO SICOOB</t>
  </si>
  <si>
    <t>Aplicativo muito ruim. Debitos indevidos na conta. Quando você mostra o erro deles, demoram muito tempo para estornar. é esse espaço é pequeno para dizer os pontos negativos.</t>
  </si>
  <si>
    <t>pessimo atendimento da gerência</t>
  </si>
  <si>
    <t>Atendimento Gerência</t>
  </si>
  <si>
    <t>deixou de me atender na minha solicitação, nem sequer entrou em contato</t>
  </si>
  <si>
    <t>Atendimento do gerente, cordialidade de quem atende nos caixas.</t>
  </si>
  <si>
    <t>RAPIDEZ, TRANSPARÊNCIA, CUSTO é ATENDIMENTO - OBS: SOU COOPERADO.</t>
  </si>
  <si>
    <t>pessimo atendimento da secretaria da gerente, perguntei sobre o cartão de credito é ela já solicitou um para mim com anuidade é sem meu consentimento, ela deveria ter explicado as opções do cartão antes de ter emitido um para mim, ela só falou depois que eu questionei é após ela ter feito o pedido do cartão</t>
  </si>
  <si>
    <t>NÃO sei dizer</t>
  </si>
  <si>
    <t>Acessibilidade, presteza, boa vontade.</t>
  </si>
  <si>
    <t>Excelentes atendimentos</t>
  </si>
  <si>
    <t>Banco pessimo NÃO oferece nada ao cliente</t>
  </si>
  <si>
    <t>Sou cliente a vários anos é sempre tive apoio é o atendimento próximo é eficiente</t>
  </si>
  <si>
    <t>Atendimento da Crediadag considerando minhas solicitações é produtos;serviços.</t>
  </si>
  <si>
    <t>eficiência do atendimento</t>
  </si>
  <si>
    <t>NÃOs atendem em poucas situações.</t>
  </si>
  <si>
    <t>ATENDIMENTO, AGILIDADE é PREOCUPADO EM ATENDER AS NOSSAS NECESSIDADES</t>
  </si>
  <si>
    <t>é um banco de taxas boas Porem tem burocracia com o próprio dinheiro do cooperado</t>
  </si>
  <si>
    <t>MUITO LENTO OS RETORNOS</t>
  </si>
  <si>
    <t>NÃO tive nenhuma oferta de produto ou serviço que agregasse algo Alem da maioria dos bancos, pelo contrário, sicoob NÃO verificou cadastro nem liberou nem cartão (que seria o mínimo)</t>
  </si>
  <si>
    <t>agilidade é idoneidade</t>
  </si>
  <si>
    <t>excelente atendimento.</t>
  </si>
  <si>
    <t>Custos muitos altos, só vcs querem ganhar</t>
  </si>
  <si>
    <t>Um banco muito serio é de confiança</t>
  </si>
  <si>
    <t>App de fácil acesso, conta digital sem tarifas exageradas.</t>
  </si>
  <si>
    <t>Somente alguns associados são percebidos é acolhidos pelos gerentes.  Muita morosidade no atendimento devido à burocracia. Os gerentes NÃO tem total poder de decisão.  Os colaboradores NÃO decidem nada por medo de represálias.</t>
  </si>
  <si>
    <t>Gerentes sempre disponíveis para soluções! App de fácil uso.</t>
  </si>
  <si>
    <t>Dificuldade para conseguir financiamento</t>
  </si>
  <si>
    <t>Muito difícil de resolver qualquer problema com a conta,tudo tem que ir na agência..,Precisa muito melhorar o atendimento</t>
  </si>
  <si>
    <t>Pouca estrutura para financiamento</t>
  </si>
  <si>
    <t>pq indicaria. Ele só NÃO é melhor por que nunca consigo falar com alguem. Só virtual. é demorado..</t>
  </si>
  <si>
    <t>Taxas baratas , mas pouco interesse de relacionamento</t>
  </si>
  <si>
    <t>Na hora de vender o produto excelente, mas na hora que necessita zero atendimento</t>
  </si>
  <si>
    <t>O único “banco” que te devolve dinheiro! Atendimento maravilhoso dos meus gerentes e assistentes é Alem de tudo, com as melhores taxas do mercado para emprestimo e cheque especial</t>
  </si>
  <si>
    <t>Taxas</t>
  </si>
  <si>
    <t>Cobrança de tarifa maior que bancos convencionais é caixas eletrônicos reduzidos ou taxas exorbitante para saques</t>
  </si>
  <si>
    <t>NÃO tenho nenhuma vantagem em ser cliente. Nunca fui procurado pelo gerente, o sicoob nunca se interessou em minha conta.</t>
  </si>
  <si>
    <t>Em razão do atendimento de toda a equipe é, da boa relação que mantemos no trato comercial, bem como, nas respostas positivas que obtemos para o crescimento de nosso negócio.</t>
  </si>
  <si>
    <t>sou associado a mais de 20 anos, sou conselheiro de administração da minha COOPERATIVA, como tal, toda minha movimentação financeira é feita na COOPERATIVA.</t>
  </si>
  <si>
    <t>Tive muita dificuldade de levantar meu capital na saída do sicoob. A Gerente da minha unidade (goiânia, setor Marista), chamada Fernanda Rocha, NÃO foi nem um pouco solícita e colaborativa. Tive que lutar muito para fazer esse levantamento. Quem me ajudou foi a Valeria, sempre muito educada e gentil.</t>
  </si>
  <si>
    <t>Tudo muito difícil com vcs, acham que somos todos safados, desconfiam dos clientes</t>
  </si>
  <si>
    <t>Atendimento ruim, nunca recebi minha integração, cobrança de cartão mesmo sem ter cartão válido. Experiência geral para pessima.</t>
  </si>
  <si>
    <t>Meu motivo é transparência  agilidade   é um banco  muito  bom 👍</t>
  </si>
  <si>
    <t>BOM SISTEMA DE TRABALHO, SIMPLIFICA O RELACIONAMENTO COM O COOPERADO</t>
  </si>
  <si>
    <t>Legal</t>
  </si>
  <si>
    <t>NÃO sei por qual motivo mas cortaram muito meu credito,se NÃO sou apto a ter,era melhor nem liberar. Obgdo</t>
  </si>
  <si>
    <t>Muito bom a atendimento dos funcionários e gerentes.</t>
  </si>
  <si>
    <t>Por ser cooperativista a 23 anos, como diz por Brasil afora fui picado pelo bicho do cooperativismo.</t>
  </si>
  <si>
    <t>fácil acesso</t>
  </si>
  <si>
    <t>Aqui, eu faço parte.</t>
  </si>
  <si>
    <t>PIOROU INFORMAÇÕES DOS EXTRATO APLICAÇÕES, NÃO ESTÁ FAZENDO Pronamp</t>
  </si>
  <si>
    <t>Simplesmente me venderam uma coisa é depois descobri que era outra</t>
  </si>
  <si>
    <t>Gerente de Relacionamento</t>
  </si>
  <si>
    <t>pessimo atendimento da parte da gerência, nenhuma tentativa de solução dos problemas, a NÃO ser, ao perceber que você NÃO tem muito dinheiro, dizer para você cancelar a conta.</t>
  </si>
  <si>
    <t>Bom excelente</t>
  </si>
  <si>
    <t>Tá quase LÁ</t>
  </si>
  <si>
    <t>Facilidades</t>
  </si>
  <si>
    <t>Porque na prática é um banco particular seu.</t>
  </si>
  <si>
    <t>Dificuldade para credito. NÃO tem feedback das solicitações</t>
  </si>
  <si>
    <t>Ótimo atendimento da gerente de relacionamento.</t>
  </si>
  <si>
    <t>Dificuldade de negociação</t>
  </si>
  <si>
    <t>Demora no atendimento</t>
  </si>
  <si>
    <t>pessimo gerenciamento. Combinei uma taxa de máquina é quando recebi a máquina estavam me cobrando outra taxa. NÃO me notificaram que seria outra taxa após meses usando a máquina que eu percebi que a taxa era totalmente diferente.</t>
  </si>
  <si>
    <t>Vcs NÃO me deram nada de limite,é o banco Inter é o nubank me deram!</t>
  </si>
  <si>
    <t>muito eficiente</t>
  </si>
  <si>
    <t>ATENDIMENTO pessimo, QUANDO MAIS PRECISEI não ME AJUDOU</t>
  </si>
  <si>
    <t>Boa Cooperativa</t>
  </si>
  <si>
    <t>Solução</t>
  </si>
  <si>
    <t>A dinâmica do atendimento.</t>
  </si>
  <si>
    <t>É um pouco fraco o atendimento</t>
  </si>
  <si>
    <t>SICOOB EXECUTIVO</t>
  </si>
  <si>
    <t>falta mais liberação de credito</t>
  </si>
  <si>
    <t>Troca agência sem aviso, muda muito os funcionários, NÃO atende as necessidades</t>
  </si>
  <si>
    <t>pessimo atendi</t>
  </si>
  <si>
    <t>A LINHA DE credito QUE O Sicoob PROPORCIONA AOS SEUS CLIENTES.</t>
  </si>
  <si>
    <t>Ótimo atendimento e soluções financeiras.</t>
  </si>
  <si>
    <t>tem-se demonstrado muito burocrático é de difícil relacionamento. Bem diferente do que se vê com o tratamento dado pelo BRB, aos servidores do GDF. Espero que melhore nos próximos meses, para que eu continue mantendo minha conta nessa cooperativa.</t>
  </si>
  <si>
    <t>Achei a oferta de credito muito limitada mesmo depois de ter transferido o salário para a instituição</t>
  </si>
  <si>
    <t>Segurança...</t>
  </si>
  <si>
    <t>cordialidade com cliente</t>
  </si>
  <si>
    <t>Atendimento com informações desencontradas é incompletas, NÃO informam o que será cobrado é quanto cobram NÃO devolvem ( tarifas é consórcio obrigatório da cooperativa)!… entre outros erros! Para mim é insatisfação total !</t>
  </si>
  <si>
    <t>O Sicoob atende a todos as minhas necessidades bancárias.</t>
  </si>
  <si>
    <t>O excelente atendimento</t>
  </si>
  <si>
    <t>Falta de corretora. Programa de pontuação de baixa visibilidade</t>
  </si>
  <si>
    <t>Nada que solicitei fui atendida,vou encerrar minha conta.</t>
  </si>
  <si>
    <t>Lugar maravilhoso, com propósito de justiça financeira.</t>
  </si>
  <si>
    <t>Atendimento, serviços é txs</t>
  </si>
  <si>
    <t>Taxas mais em conta, conta capital</t>
  </si>
  <si>
    <t>O trato humanizado com os cooperados.</t>
  </si>
  <si>
    <t>Facilidade no aplicativo,é em resolver as situações sem precisar ir ao banco</t>
  </si>
  <si>
    <t>As dificuldades encontradas para utilizar o ATM ou caixa de outras cooperativas do próprio SICOOB. Nem todos as cooperativas tem disponibilidade de ATM é, agora tem um segundo fator de autenticação com o QR Code que só dificulta a utilização pelo cliente. Foi pessima essa escolha.</t>
  </si>
  <si>
    <t>Acredito que é um banco mais próximo é que tem atendimento direto ao cliente quando necessário.</t>
  </si>
  <si>
    <t>facilidade de acesso aos gerentes e facilitadores</t>
  </si>
  <si>
    <t>O atendimento é às taxas.</t>
  </si>
  <si>
    <t>Atendimento demorado</t>
  </si>
  <si>
    <t>Facilidade e agilidade do aplicativo é credito.</t>
  </si>
  <si>
    <t>Muitas situações vem causando serios transtornos aos correntistas (antes, podia sentir como COOPERADOS), infelizmente, os tratamentos hoje NÃO é pelo nome é sim pelo Número do CPF ou da Conta, NÃO há mais um atendimento humanizado, é sim, frio é discriminatório. Alem de outras atitudes serias que merecem adoção de medidas NÃO vou expor neste canal o que já sofri, mas, hoje essa instituição já NÃO permite lembrar de como éramos tratados enquanto COOMINAGRI.</t>
  </si>
  <si>
    <t>O atendimento muito bom</t>
  </si>
  <si>
    <t>NÃO tenho nenhum apoio do banco em que pese ter capital de mais de 6 mil reais é receber meu salário por ele</t>
  </si>
  <si>
    <t>é de muitas satisfação está trabalhando com vcs é indico para qualquer pessoa. Ótimo banco .</t>
  </si>
  <si>
    <t>Muito bem atendido, presencial, por telefone ou via aplicativo. parabéns.</t>
  </si>
  <si>
    <t>NÃO tive movimentação dessa conta</t>
  </si>
  <si>
    <t>Muito burocrático.</t>
  </si>
  <si>
    <t>Satisfação com os produtos e atendimento com o paraúblico!</t>
  </si>
  <si>
    <t>Muito bom, excelente.</t>
  </si>
  <si>
    <t>Problema com o atendimento</t>
  </si>
  <si>
    <t>Sempre muito bem até dida</t>
  </si>
  <si>
    <t>tem algumas coisas que deixam a desejar. Principalmente quando liberam taxas na conta sem informar o associado. Difícil falar com gerente.</t>
  </si>
  <si>
    <t>Um aborrecimento terrível. Me ligam  cobrando. Sendo que NÃO devo nada a cooperativa.</t>
  </si>
  <si>
    <t>Muito bom TDS os serviços do banco</t>
  </si>
  <si>
    <t>NÃO tenho acesso a nenhum tipo de credito</t>
  </si>
  <si>
    <t>Pior cartão de todos, desorganizado é muito complicado</t>
  </si>
  <si>
    <t>atendimento é informação</t>
  </si>
  <si>
    <t>Porque NÃO é 8 nem 10... Atte.,  Carlos</t>
  </si>
  <si>
    <t>Bom atendimento é juros baixos em favor dos clientes</t>
  </si>
  <si>
    <t>Forma alternativa é segura para se aplicar um dinheiro que você precisará para realizar algum projeto no futuro.</t>
  </si>
  <si>
    <t>NÃO correspondeu minhas expectativas de modo geral, Estou prestes a sair desse banco.</t>
  </si>
  <si>
    <t>Os aplicativos disponíveis no site.</t>
  </si>
  <si>
    <t>Quero mais limite no cartão de credito</t>
  </si>
  <si>
    <t>Pela eficiência, competência, atendimento personalizado, aplicativo mto bem organizado</t>
  </si>
  <si>
    <t>Recomendo</t>
  </si>
  <si>
    <t>Cancelam nosso cartão sem aviso previo. é ainda tenho que me indispor todo mês para ter o boleto do cartão para pagar. pessimo atendimento</t>
  </si>
  <si>
    <t>O aplicativo para cartões NÃO funciona, fala que pode retornar depois de 24hs para refazer o cadastro mais nunca funciona</t>
  </si>
  <si>
    <t>Ótimo atendimento é txs flexível</t>
  </si>
  <si>
    <t>Qualidade do atendimento</t>
  </si>
  <si>
    <t>NÃO transfere conta entre as agências. NÃO libera a capitalização no caso de encerramento de contas. Discriminação social com os correntista</t>
  </si>
  <si>
    <t>Sim recomendo! Gosto do atendimento do Sicoob mas precisa diminuir os juros é melhorar as formas de emprestimo</t>
  </si>
  <si>
    <t>Fui na minha agência da 509 sul é atendimento é pessimo, FIQUEI 10 MIN ESPERAndo AS BONITAS ME ATENDEREM COM UMA CARA FECHADA, NEM BOA TARDE RECEBI.</t>
  </si>
  <si>
    <t>Tentei várias vezes atendimento pelo chat é ninguem me responde.</t>
  </si>
  <si>
    <t>Banco ruim</t>
  </si>
  <si>
    <t>não houve oportunidade de utilizar os serviços dessa cooperativa apesar ser correntista desde 2011 para contribuir mensalmente somente não posso avaliar</t>
  </si>
  <si>
    <t>pessima política de análise de credito. NÃO há transparência</t>
  </si>
  <si>
    <t>Eficiência no atendimento. Juros mais baixos.</t>
  </si>
  <si>
    <t>A eficiência do sistema , confiabilidade é atendimento celere</t>
  </si>
  <si>
    <t>NÃO honra acordos, altera tarifas sem sinalizar quebrando assim acordos é pessimo atendimento do consultor.</t>
  </si>
  <si>
    <t>Excepcional.</t>
  </si>
  <si>
    <t>Demora em apresentar solução/explicação para divergência de rendimento em conta com aplicação. App com interface pouco amigável.</t>
  </si>
  <si>
    <t>Excelência no atendimento bancário. Da agência ao aplicativo.</t>
  </si>
  <si>
    <t>Há pouco retorno e acompanhamento dos gerentes com as contas PJ</t>
  </si>
  <si>
    <t>Pela eficiência e capacitação de vocês</t>
  </si>
  <si>
    <t>Espera por atendimento longo, app NÃO resolve as demandas, o atendimento pelo WhatsApp é ruim é as atendentes demonstram NÃO ter paciência...</t>
  </si>
  <si>
    <t>Gerente da minha conta demora muito com os retornos.</t>
  </si>
  <si>
    <t>Sicoob é top</t>
  </si>
  <si>
    <t>Melhor instituição financeira!</t>
  </si>
  <si>
    <t>Qualidade do atendimento e disponibilidade dos Gerentes Heloísa é Murilo. Alem da atenção disponibilizada pelo Presidente Lesse</t>
  </si>
  <si>
    <t>NÃO consigo contato NÃO me respondem</t>
  </si>
  <si>
    <t>Apesar de NÃO conseguir usar o aplicativo,o atendimento na agência ou por whatsapp é satisfatório</t>
  </si>
  <si>
    <t>Presteza no atendimento</t>
  </si>
  <si>
    <t>Não consigo falar</t>
  </si>
  <si>
    <t>Atendimento virtual muito moroso, é sem resolução</t>
  </si>
  <si>
    <t>Poderia enumerar vários motivos, Alem de ter sido cliente do banco, pela cordialidade dos funcionários.</t>
  </si>
  <si>
    <t>Serviço prestado</t>
  </si>
  <si>
    <t>Taxa de juros pode melhorar</t>
  </si>
  <si>
    <t>Estou satisfeita</t>
  </si>
  <si>
    <t>Por ser cooperativa oferece vantagens extras que outros bancos</t>
  </si>
  <si>
    <t>rapidez e eficiência no atendimento</t>
  </si>
  <si>
    <t>Sou muito bem atendida é respeitada pelos funcionários, pois ele se esforçam o máximo possivel para atender minhas solicitações é resolvê-las. parabéns a equipe do SICOOB/MAPA</t>
  </si>
  <si>
    <t>Pq o atendimento do é pessimo preciso falar na minha cooperativa há dias tento é NÃO consigo retorno de ninguem</t>
  </si>
  <si>
    <t>O Sicoob era muito melhor, agora que tem que ter celular está muito difícil. NÃO consigo fazer uma transação é diz que sou, tambem a dona do sicoob. Por isso que NÃO dou nota 10. é o nove é pelos serviços que um dia fui servida.</t>
  </si>
  <si>
    <t>Ótimo atendimento da gerente da conta.</t>
  </si>
  <si>
    <t>O Sicoob NÃO oferece nada, absolutamente nada ao cooperado</t>
  </si>
  <si>
    <t>NÃO consegui nenhum limite de credito</t>
  </si>
  <si>
    <t>Falta de oportunidades</t>
  </si>
  <si>
    <t>Difícil comunicação com a agência.</t>
  </si>
  <si>
    <t>Sempre que solicito algo a demora é grande para retorno</t>
  </si>
  <si>
    <t>Muito bem atendido.</t>
  </si>
  <si>
    <t>Recebi atendimento super personalizado para abertura da conta. Hoje NÃO tenho nem atendimento mais.</t>
  </si>
  <si>
    <t>O pessimo atendimento que recebemos da central. Já NÃO basta as máquinas que NÃO entende o que falamos, agora as pessoas. Ninguem merece. NÃO é!</t>
  </si>
  <si>
    <t>No setor de cobrança executivo, atendem muito bem.até</t>
  </si>
  <si>
    <t>sempre fui atendida</t>
  </si>
  <si>
    <t>Pelo atendimento prestado na última vez que precisei dos serviços</t>
  </si>
  <si>
    <t>O único problema é a demora nas análises de propostas de emprestimo.</t>
  </si>
  <si>
    <t>Atendimento maravilhoso.</t>
  </si>
  <si>
    <t>Recebi um pix é o banco descontou parte do valor recebido.</t>
  </si>
  <si>
    <t>por ser uma cooperativa de credito</t>
  </si>
  <si>
    <t>Sicoob cooperativa que se acha, é esnoba seus clientes, 8 anos de Sicoob NÃO consigo contratar um seguro de carro.</t>
  </si>
  <si>
    <t>NÃO houve nenhuma oferta de credito, então cessei a movimentação nesta conta</t>
  </si>
  <si>
    <t>É um banco que possui atendimento na maioria das grandes cidades é permite a utilização em terminais do Banco24horas. Sem contar que se for possível a compra de cotas parte, fará jus a taxas diferenciadas.</t>
  </si>
  <si>
    <t>pessimo atendimento. Fui tratada como se estivesse pedindo esmolas. Funcionários despreparados.</t>
  </si>
  <si>
    <t>Excelente taxas</t>
  </si>
  <si>
    <t>Pronto atendimento sempre</t>
  </si>
  <si>
    <t>Confiança é Simplicidade.</t>
  </si>
  <si>
    <t>Tarifas baixas é praticidade</t>
  </si>
  <si>
    <t>Relacionamento aberto é empatia dos atendentes</t>
  </si>
  <si>
    <t>NÃO oferece nenhum limite nem no cartão é nem na conta</t>
  </si>
  <si>
    <t>Falta de consideração com os clientes mais antigos.</t>
  </si>
  <si>
    <t>O cartão que me disponibilizaram NÃO possui as vantagens que tenho em diversos outros cartões, logo, a motivação para utilizá-lo é mínima</t>
  </si>
  <si>
    <t>NÃO dou nota maior pq vcs ainda cobram muitas tarifas.</t>
  </si>
  <si>
    <t>credito barato</t>
  </si>
  <si>
    <t>Às vezes age mais como instituição financeira do que cooperativa</t>
  </si>
  <si>
    <t>Falta de parceria</t>
  </si>
  <si>
    <t>NÃO estou satisfeito com a atual gestão da minha Cooperativa (Sicoob Executivo), então NÃO recomendaria por hora.</t>
  </si>
  <si>
    <t>receptividade</t>
  </si>
  <si>
    <t>Facilidade na comunicação</t>
  </si>
  <si>
    <t>SEMPRE QUE FUI ATRÁS DO SICOOB, FUI BEM ATENDIDO, NUNCA ME FALTOU UMA ATENÇÃO CARINHOSA e EDUCADA DOS ATENDENTES DA agência, ONDE MANTENHO A MINHA CONTA CORRENTE.</t>
  </si>
  <si>
    <t>A gente NÃO consegue conversar com ninguem. A central telefônica NÃO atende</t>
  </si>
  <si>
    <t>Até o momento NÃO fui atendido, quando for posso indicar com mais certeza.</t>
  </si>
  <si>
    <t>Carência de  operar com Benefícios.</t>
  </si>
  <si>
    <t>Demora as demandas dos clientes.</t>
  </si>
  <si>
    <t>Precisa evoluir nas avaliações que são muito lentas</t>
  </si>
  <si>
    <t>Nunca me deram limite de credito</t>
  </si>
  <si>
    <t>Estou descontente, no momento com SICOOB, no passado foi melhor!</t>
  </si>
  <si>
    <t>sempre  fui bem  atendido  pelo  sicoob</t>
  </si>
  <si>
    <t>27276680</t>
  </si>
  <si>
    <t>A parceria, a clareza é a cordialidade em solucionar questões é esclarecer alguma dúvida.</t>
  </si>
  <si>
    <t>Ótimo atendimento, taxas mais acessíveis que outros bancos, agências fáceis de encontrar, etc....</t>
  </si>
  <si>
    <t>Eu sou sócio  mais ou menos 30 anos, NÃO tenho nada a reclamar.</t>
  </si>
  <si>
    <t>Pouca atenção na hora de fazer emprestimo</t>
  </si>
  <si>
    <t>Enquanto tinha credito as coisas fica maravilha as dificuldades crescentes a inflação alta economista nenhum equilibra com alimentos ficarem escassos com isso credito sumindo.</t>
  </si>
  <si>
    <t>Muito bom serviço, mas podia melhorar a avaliação de credito tenho o mesmo limite a 1 ano</t>
  </si>
  <si>
    <t>Pq sempre que eu precisei fui bem atendido é resolvido o que eu estava precisando.</t>
  </si>
  <si>
    <t>Eu estou com uma duvida alta por algo que NÃO foi minha culpa. Agora tenho que pagar um juros absurdo por erro do banco.</t>
  </si>
  <si>
    <t>banco não tem relacionamento claro com cliente é muita dificuldade de credito e facilidades...</t>
  </si>
  <si>
    <t>troquei de telefone é nunca mais consegui o Numero da minha cooperativa é conta para acessar</t>
  </si>
  <si>
    <t>O aplicativo com alto Nível</t>
  </si>
  <si>
    <t>Apesar de mais baixas que as de outros bancos, ainda há cobrança de tarifas.</t>
  </si>
  <si>
    <t>Porque o associado tem várias vantagens.</t>
  </si>
  <si>
    <t>Sicoob NÃO oferece serviços para determinados associados</t>
  </si>
  <si>
    <t>Horrível,taxas altas.</t>
  </si>
  <si>
    <t>Praticidade é confiança</t>
  </si>
  <si>
    <t>Falha na comunicação pelo whatsapp</t>
  </si>
  <si>
    <t>Bom!!!</t>
  </si>
  <si>
    <t>Presteza do banco, bom atendimento!</t>
  </si>
  <si>
    <t>Tentei cancelar um cartão feito on-line NÃO pode tenho que ir na agência, um cartão com 0 limite</t>
  </si>
  <si>
    <t>Porque é um banco que tem poucas opções de credito ,é a taxa da cooperativa é alta</t>
  </si>
  <si>
    <t>Conhecimento do Sistema.</t>
  </si>
  <si>
    <t>Super recomendo</t>
  </si>
  <si>
    <t>A minha experiência como associada.</t>
  </si>
  <si>
    <t>excelente!</t>
  </si>
  <si>
    <t>Acho que o SICOOB já esteve mais preocupado em ajudar o correntista, mas atualmente NÃO mais.</t>
  </si>
  <si>
    <t>Muita complicação para conseguir um limite de credito</t>
  </si>
  <si>
    <t>Um bom atendimento.</t>
  </si>
  <si>
    <t>Juros razoável, ótimo atendimento.</t>
  </si>
  <si>
    <t>Ótima alternativa para a sociedade.</t>
  </si>
  <si>
    <t>Prática juros iguais aos bancos normais.</t>
  </si>
  <si>
    <t>O Sicoob Executivo está sempre pronto a me atender quando preciso.</t>
  </si>
  <si>
    <t>Tranquilidade é bom atendimento</t>
  </si>
  <si>
    <t>Tenho uma parceria de muitos anos</t>
  </si>
  <si>
    <t>Momentos de constrangimento’</t>
  </si>
  <si>
    <t>Pela acessibilidade.</t>
  </si>
  <si>
    <t>Excelente atendimento na agência bancária (Sobradinho / SICOOB Executivo), com presteza e agilidade é aplicativo muito bom.</t>
  </si>
  <si>
    <t>demora no atendimento, nunca dão resposta direta, atendentes com má vontade com cliente</t>
  </si>
  <si>
    <t>NÃO recomendo produtos, serviços etc a pessoas amigas e familiares, suficientemente informadas para fazer suas escolhas. é de se a indicação frustrar terceiros, como fico eu?</t>
  </si>
  <si>
    <t>Sempre fui muito bem atendido!</t>
  </si>
  <si>
    <t>credito muito restrito comparado a outros bancos</t>
  </si>
  <si>
    <t>Procedimentos pouco claros.</t>
  </si>
  <si>
    <t>inclusão de pacote de serviço em conta digital, inclusão de seguros no cartão de credito sem solicitação, dificuldade em encerrar conta corrente...</t>
  </si>
  <si>
    <t>São muito prestativos.</t>
  </si>
  <si>
    <t>Aplicativo funcional</t>
  </si>
  <si>
    <t>Rapidez atendimento</t>
  </si>
  <si>
    <t>Antes de você ser associado, o tratamento é muito bom, depois....só Deus sabe muitas dificuldades.</t>
  </si>
  <si>
    <t>Porque é propaganda enganosa,fala que é cartão de credito é depois de abrir a conta de debito,mentirosos,NÃO manda mais mensagem para mim,NÃO recomendo essa mentira para ninguem.</t>
  </si>
  <si>
    <t>O cooperativismo de credito é sinônimo de justiça financeira.</t>
  </si>
  <si>
    <t>Excêntrico em tudo</t>
  </si>
  <si>
    <t>Atende as minhas necessidades.</t>
  </si>
  <si>
    <t>Gosto bastante do Sicoob. Nunca tive problemas.  9 é  uma boa nota.</t>
  </si>
  <si>
    <t>ATENDIMENTO MARAVILHOSO</t>
  </si>
  <si>
    <t>Pontualidade</t>
  </si>
  <si>
    <t>O sicoob  dificulta muito para as pessoas que ganham pouco.</t>
  </si>
  <si>
    <t>Há muitos anos que NÃO sou mais cliente. Mas quando movimentava conta salário, nunca tive nenhum problema é nem atrito com esse banco, é sempre fui bem atendida</t>
  </si>
  <si>
    <t>Muito requisitos para abrir uma conta</t>
  </si>
  <si>
    <t>Atendimento é cuidados para com o cliente, muito, Gerente Marcelo muito eficiente!</t>
  </si>
  <si>
    <t>Nota 1.00000</t>
  </si>
  <si>
    <t>Excelente Atendimento virtual é presencial</t>
  </si>
  <si>
    <t>Porque quando eu era cliente, quando caía meu salário suado do dia inteiro, o banco tirava a metade, ou seja eu trabalhava um dia inteiro no Home Care para ganhar de plantão míseros 80 reais é vocês iam lá é catavam tudo. Ficava indignada. Fiz a conta com vocês NÃO porque eu queria, me obrigaram, senão NÃO recebia, pois eu já tinha uma conta, NÃO era necessário fazer outra. Mas a cooperativa só podia efetivar o pagamento se fosse nesse banco. Até hoje NÃO sei por quê, muito estranho. Até hoje NÃO devolveram meu dinheiro, estou indignada desde então. é eu ainda pedi que fosse conta salário na época, para que apenas caísse meu pagamento ali é NÃO tivesse descontos. Por isso cancelei o vínculo com vocês.</t>
  </si>
  <si>
    <t>Sicoob uma cooperativa que me dá segurança e confiabilidade!</t>
  </si>
  <si>
    <t>Cuidado com o associado</t>
  </si>
  <si>
    <t>Porque o sistema cooperativo, seja de credito ,produção, etc, é mais democrático. Todos participam.</t>
  </si>
  <si>
    <t>quase todos os dias em horários de pico o aplicativo NÃO funciona; programa de linhas de credito empresariais são irrisórios é deixa a desejar quanto ao crescimento das empresas associadas.</t>
  </si>
  <si>
    <t>O SICOOB NÃO valoriza os clientes como deveria</t>
  </si>
  <si>
    <t>NÃO facilita cliente muita burocracia...</t>
  </si>
  <si>
    <t>Eu NÃO recebi uma resposta até hoje do que eu quero resolver no meu aplicativo</t>
  </si>
  <si>
    <t>Agilidade no atendimento. Falta de retorno às consultas. Falta de "tino" para comercializar os produtos. Tenho investimentos é NÃO uso o cartão de credito do Sicoob, uso o da Caixa. NÃO recomendaria. ÑÃO TENHO NADA PARA RECLAMAR DO ATENDIMENTO PRESENCIAL QUE É ÓTIMO. Estou falando do SICOOB, enquanto um prestador de serviços.</t>
  </si>
  <si>
    <t>As agências NÃO estão interligadas no país é dificuldade para fazer saque na conta capital.</t>
  </si>
  <si>
    <t>é um banco cooperativo, onde você participa dos lucros do exercício</t>
  </si>
  <si>
    <t>estimo é maravilhoso</t>
  </si>
  <si>
    <t>Atendimento e acolhimento de todos os colaboradores.</t>
  </si>
  <si>
    <t>Achei o atendimento da profissional Shirley excelente. Coisa de um outro país mais respeitoso é responsável com o cliente. Já que informações são as únicas coisas mais caras do planeta.</t>
  </si>
  <si>
    <t>Limite de cartão ridículo, no mês de abril a fatura NÃO está disponível para pagar porque falava que a data de vencimento era em 11/05 no app é chegou uma carta ameaçando incluir meu nome no Serasa bem Banco tradicional age assim isso NÃO é papel de Cooperativa Cooperativa é Cooperativa é NÃO banco Tradicional é como está no nosso estatuto é o que o BC nos permitiu é é ao o que eu me associei uma Cooperativa</t>
  </si>
  <si>
    <t>até agora um bom atendimento</t>
  </si>
  <si>
    <t>Tenho absoluta certeza de que o cooperativismo é o melhor caminho para o crescimento da sociedade é que o sistema Sicoob é a melhor solução para a vida econômica/financeira das pessoas.</t>
  </si>
  <si>
    <t>porque todas vez que   precisei  da instituição  fui bem recebido</t>
  </si>
  <si>
    <t>NÃO temos suporte algum do Sicoob. Faz tempo pedi máquina de cartão é nada.</t>
  </si>
  <si>
    <t>Por ser um banco confiável.</t>
  </si>
  <si>
    <t>O atendimento do sicoob Sobradinho</t>
  </si>
  <si>
    <t>Excelência na prestação de serviço continue assim.</t>
  </si>
  <si>
    <t>NÃO consigo nenhuma negociação.</t>
  </si>
  <si>
    <t>Cobranças na conta que falaram que NÃO teria.</t>
  </si>
  <si>
    <t>NÃO possuo nenhum benefício a anos</t>
  </si>
  <si>
    <t>burocrático, desorganizado, nada parceiro, retirei , quase 2 milhões da minha conta é voltei operar no Santander</t>
  </si>
  <si>
    <t>NÃO satisfeito.</t>
  </si>
  <si>
    <t>NÃO oferece linhas de credito automático</t>
  </si>
  <si>
    <t>As taxas sobem sem consentimento do consumidor</t>
  </si>
  <si>
    <t>ATENDIMENTO MARAVILHOSO,JUROS BAIXOS</t>
  </si>
  <si>
    <t>Entraram com uma ação judicial sem me provocar é hoje é descontado mais de 30% do meu soldo.</t>
  </si>
  <si>
    <t>A demora na liberação de credito.</t>
  </si>
  <si>
    <t>Esta cooperativa sempre me ajudou muito na minha vida pessoal, a enfrentar vários problemas serios. para mim isso basta, para eu admirar a todos que sempre me atenderam tão bem.</t>
  </si>
  <si>
    <t>rápido</t>
  </si>
  <si>
    <t>Satisfação com os serviços prestados.</t>
  </si>
  <si>
    <t>Atendimento excelente ag sobradinho</t>
  </si>
  <si>
    <t>Tudo no Sicoob é muito complicado. Exigem coisas demais é faz pouco pelo cliente. Decepção</t>
  </si>
  <si>
    <t>Horrível a conta, o App é feio, a conta é lenta o atendimento é uma merda.</t>
  </si>
  <si>
    <t>NÃO gostei</t>
  </si>
  <si>
    <t>Os serviços e taxas são excelentes.</t>
  </si>
  <si>
    <t>Já fui cliente é um banco para quem deseja ter sucesso financeiro</t>
  </si>
  <si>
    <t>É  o único banco sem tarifas absurdas.</t>
  </si>
  <si>
    <t>Sou correntista do sicoob desde 1985. Sempre muito satisfeita.</t>
  </si>
  <si>
    <t>Qualidade do atendimento. Minha gerente é  excelente.  Praticidade do app. Juros mais baixos.</t>
  </si>
  <si>
    <t>NÃO estou satisfeita</t>
  </si>
  <si>
    <t>Atendimento muito atencioso</t>
  </si>
  <si>
    <t>Só pecam na demora da devolução do saldo da Conta Capital. kkk</t>
  </si>
  <si>
    <t>Funcionários falam mentiras para encobrir desonestidade da Sicoob</t>
  </si>
  <si>
    <t>sem comentários</t>
  </si>
  <si>
    <t>Sou Sicoob 100%</t>
  </si>
  <si>
    <t>Eficiência....</t>
  </si>
  <si>
    <t>Hj vcs mudou</t>
  </si>
  <si>
    <t>Banco com atratividade de taxas é bom atendimento.</t>
  </si>
  <si>
    <t>VOCÊS   SÃO   MUITO   CARINHOSOS   COM   OS  USUÁRIOS    para  MIM   é   ISTO  é   MAIS</t>
  </si>
  <si>
    <t>o bom  atendimento</t>
  </si>
  <si>
    <t>Eficiência!</t>
  </si>
  <si>
    <t>Sempre fui bem atendido, estou satisfeito.</t>
  </si>
  <si>
    <t>Atendimento no whatsapp demora um seculo para responder.</t>
  </si>
  <si>
    <t>Satisfatório</t>
  </si>
  <si>
    <t>Pela facilidade no atendimento</t>
  </si>
  <si>
    <t>Tudo muito difícil para o cooperado.</t>
  </si>
  <si>
    <t>Porque já sou cliente mas de 30 anos é nele confio</t>
  </si>
  <si>
    <t>Dificuldade em encerrar minha conta corrente desde abril do corrente ano, apesar de NÃO ter nenhum debito ativo</t>
  </si>
  <si>
    <t>Ter mais ofertas de credito é benefícios</t>
  </si>
  <si>
    <t>Segue algumas razões pelas quais dou essa nota para trabalhar no Sicoob. Em resumo, algumas das principais motivações são a reputação é solidez da instituição financeira, seu modelo de negócio cooperativo, a possibilidade de crescimento profissional, a valorização dos colaboradores, o foco no atendimento ao cliente é a cultura organizacional que valoriza a ética, a transparência é o trabalho em equipe.</t>
  </si>
  <si>
    <t>os prazos</t>
  </si>
  <si>
    <t>bom atendimento, é uma cooperativa, está em pleno crescimento</t>
  </si>
  <si>
    <t>A falta de pessoas para esclarecimentos, contato. Tudo é por máquina.</t>
  </si>
  <si>
    <t>Ofertas de juros mais atrativas para consignados é renovação com troco do mesmo.</t>
  </si>
  <si>
    <t>tudo de bom top</t>
  </si>
  <si>
    <t>Presteza, juros justos,bom atendimento</t>
  </si>
  <si>
    <t>Comparando com antigamente,hoje NÃO me client    é quando procuro sicoob,me sinto invisível</t>
  </si>
  <si>
    <t>A falta de informação</t>
  </si>
  <si>
    <t>Atendimento digital muito bom</t>
  </si>
  <si>
    <t>Satisfeita</t>
  </si>
  <si>
    <t>Um banco muito bom</t>
  </si>
  <si>
    <t>Toda hora tem mudança de gerência. Agora colocaram uma gerente financeira super ineficiente. Vcs deveriam priorizar a qualidade no Atendimento...</t>
  </si>
  <si>
    <t>Muito difícil de liberação de credito</t>
  </si>
  <si>
    <t>me consideram com pessoa politicamente exposta. Meus tem função então são</t>
  </si>
  <si>
    <t>Sempre temos que melhorar</t>
  </si>
  <si>
    <t>Atendimento feito pela equipe é a praticidade na solução dos negócios</t>
  </si>
  <si>
    <t>NÃO me atende como eu gostaria. Mesmo assim tenho recomendado.</t>
  </si>
  <si>
    <t>Excelente Banco, é tem muitas vantagens tanto para pessoa Física como tambem Jurídica.</t>
  </si>
  <si>
    <t>Atenção da gerência,facilidade e segurança no aplicativo,juros menores no cheque especial é consignado.</t>
  </si>
  <si>
    <t>NÃO serve para nada</t>
  </si>
  <si>
    <t>Falta de relacionamento</t>
  </si>
  <si>
    <t>SICOOB JUDICIÁRIO</t>
  </si>
  <si>
    <t>Simplesmente a melhor cooperativa do Brasil</t>
  </si>
  <si>
    <t>Simplesmente achei bom em relação app facilidade navegação rápida etc.</t>
  </si>
  <si>
    <t>porque acho o justo</t>
  </si>
  <si>
    <t>A Sicoob NÃO dá oportunidade para quem está começando. As taxas são altas aquem de quem tem MEI. DIFÍCIL recomeçar sem chances.</t>
  </si>
  <si>
    <t>A praticidade das operações</t>
  </si>
  <si>
    <t>sou correntista é tinha um cartão de credito pré aprovado é até o momento não recebi, não tem um linha de credito para o cliente, já falei com gerente é nada, se for assim não recomendo para ninguem</t>
  </si>
  <si>
    <t>Presteza, atenção e cordialidade</t>
  </si>
  <si>
    <t>kkkkkkkk</t>
  </si>
  <si>
    <t>Sou dono do meu próprio banco...!</t>
  </si>
  <si>
    <t>Desde que criei minha conta meu cartão ainda NÃO chegou</t>
  </si>
  <si>
    <t>NÃO me deram cartão de credito</t>
  </si>
  <si>
    <t>O banco NÃO libera credito</t>
  </si>
  <si>
    <t>Atendimento humanizado é facilidade.</t>
  </si>
  <si>
    <t>Pela excelência, atenção e presteza no atendimento de seus associados!</t>
  </si>
  <si>
    <t>A cada vez que eu abria minha conta ou recebia um pagamento, o Sicoob descontava taxas é mais taxas do meu salto, isso é inconcebível, tive uma pessima experiência. Alem do mais eu solicitei o cancelamento da minha conta é devolução da poupança forçada (que por sinal foi mais um dos descontos aleatórios que houve do meu dinheiro) é até agora eu NÃO RECEBI O ESTORNO DO MEU VALOR. O aplicativo é dificílimo de acessar, pois precisa de inúmeras informações. Possuo cópia do e-mail que me foi solicitado com as devidas informações para encerramento da conta; Munido disto eu irei realizar uma reclamação formal junto ao BACEN, pois Alem de todos os transtornos que eu enfrentei, a minha chave pix CNPJ está vinculada a minha conta Pessoa Jurídica do Sicoob é, devido os rigores excessivos de informações para cessar o aplicativo, eu NÃO consigo desvinculá-LA, haja vista que eu perdi tais informações de acesso quando solicitei o encerramento da conta é desinstalei o aplicativo é sei o quão burocrático é entrar em contato por SAC para conseguí-las novamente.</t>
  </si>
  <si>
    <t>Retorno</t>
  </si>
  <si>
    <t>Tudo bem prático, rápido e objetivo</t>
  </si>
  <si>
    <t>Um ótimo atendimento .</t>
  </si>
  <si>
    <t>Banco incrível que oferece oportunidades.</t>
  </si>
  <si>
    <t>Oferta de credito.</t>
  </si>
  <si>
    <t>Atendimento tempestivo é de ótima qualidade</t>
  </si>
  <si>
    <t>O atendimento é excelente</t>
  </si>
  <si>
    <t>Excelente banco.</t>
  </si>
  <si>
    <t>Acreditei mas , mas NÃO obtive resultados que queria para ser meu banco</t>
  </si>
  <si>
    <t>Sicoob é moderno é atende as necessidades de qualquer um dentro do perfil de cada um.</t>
  </si>
  <si>
    <t>bom</t>
  </si>
  <si>
    <t>NÃO dá cartão de credito, NÃO distribui as sobras, dificulta o resgate do capital social de quem pretende encerrar a conta.</t>
  </si>
  <si>
    <t>Estou muito satisfeita, facilidade de emprestimo, feedback é atendimento de excelência</t>
  </si>
  <si>
    <t>Meu DNA é Sicoob</t>
  </si>
  <si>
    <t>É uma instituição  confiável é onde a gente se sente acolhido, diferentemente dos bancos tradicionais. Oferece todos os produtos que outras instituições financeiras é com menos onerosidade para os seus cooperados. de fácil acesso para solucionar eventuais dúvidas, caso tenha. Muito bom ser Sicoobiano!</t>
  </si>
  <si>
    <t>Eficiência no atendimento e cordialidade para responder as dúvidas</t>
  </si>
  <si>
    <t>O atendimento do gerente de conta é na agência.</t>
  </si>
  <si>
    <t>Há mais de 20 anos sou cliente é cooperado é tenho tido um tratamento é atendimento de alta qualidade</t>
  </si>
  <si>
    <t>Juros baixos atendimento ótimo é muitos produtos para você é para seus negócios</t>
  </si>
  <si>
    <t>Bom atendimento e agilidade.</t>
  </si>
  <si>
    <t>Banco fraco , tenho limite de credito no Bradesco de 50.000,00 o sicoob deu 0.00 , nem quero saber desse Banco , exclua meu e-mail desse Banco , conta foi encerrada</t>
  </si>
  <si>
    <t>Excelente!!!</t>
  </si>
  <si>
    <t>Horrível,te dão cartão de credito sem limites,NÃO tem limite de emprestimo,ou seja nota 0</t>
  </si>
  <si>
    <t>NÃO consigo contato com o SICOOB Judiciário de BSB</t>
  </si>
  <si>
    <t>Tenho cartão de credito mas NÃO tem saldo</t>
  </si>
  <si>
    <t>Sem limite de credito</t>
  </si>
  <si>
    <t>Banco excelente</t>
  </si>
  <si>
    <t>Liberação de credito</t>
  </si>
  <si>
    <t>Sou participante do cooperativismo a decadas é sempre encontrei as melhores opções no Sicoob</t>
  </si>
  <si>
    <t>Contentamento com o bom atendimento.</t>
  </si>
  <si>
    <t>Por que eu abri a conta mim deram o cartão com limite de 1.000,00 reais é assim que o cartão chegou estava zerado o limite sem usar</t>
  </si>
  <si>
    <t>Cobranças de alguma inadimplência de maneira agressivo psicológica, gerência de postos sem autonomia</t>
  </si>
  <si>
    <t>Atendimento atencioso</t>
  </si>
  <si>
    <t>Ainda precisa melhorar nas taxas é atendimento no app</t>
  </si>
  <si>
    <t>Excelências no atendimento. Menores taxas do mercado</t>
  </si>
  <si>
    <t>pessimo de negociação</t>
  </si>
  <si>
    <t>Obrigado</t>
  </si>
  <si>
    <t>Só acho que devia , ter mais creditos aos terceirizados  exemplo,  limite de empréstimos NÃO conta, 13 aditamentos....</t>
  </si>
  <si>
    <t>Empresa seria é seus profissionais atendem com agilidade e segurança.</t>
  </si>
  <si>
    <t>Atendimento personalizado!</t>
  </si>
  <si>
    <t>NÃO OBSTANTE TER QUE SACAR DINHEIRO PARA PAGAR TRIBUTOS COMO IPVA, MULTAS DE TRÂNSITO, ETC, DEVIDO A AUSÊNCIA DE CONVÊNIOS COM ESSAS ENTIDADES, tambem AS SOLICITAÇÕES DE debito AUTOMÁTICO PARA CONTAS SIMPLES, COMO PROVEDORES DE INTERNET, ETC...TENHO QUE RECORRER À CONTA DA MINHA ESPOSA (SANTANDER). EM DUAS OCASIÕES DISTINTAS PRECISEI EFETUAR UMA PRÉ-RESERVA DE CASAS PARA FeRIAS é NÃO OBTIVE ÊXITO, SIMPLESMENTE O CARTÃO ERA RECUSADO, é NOVAMENTE TENHO QUE RECORRER A OUTRAS PESSOAS PARA QUE ELES PAGUEM COM SEUS RESPECTIVOS CARTÕES é EU FAÇO A TRANSFERÊNCIA PARA ELAS. ISSO QUANDO JÁ NÃO HAVIA MAIS TEMPO é A RESERVA ESTAVA CANCELADA! NO MÍNIMO HUMILHANTE</t>
  </si>
  <si>
    <t>Cartão de debito o brasileiro NÃO gosta a nota é 0 ok</t>
  </si>
  <si>
    <t>a cooperativa da minha vida</t>
  </si>
  <si>
    <t>Atendimento personalizado, ágil e direto!</t>
  </si>
  <si>
    <t>atendimento do gerente e funcionários</t>
  </si>
  <si>
    <t>Banco com taxas boas, o único motivo para 10 é que minha agência fica num local muito complicado de acesso</t>
  </si>
  <si>
    <t>Atendimento é confiança</t>
  </si>
  <si>
    <t>Muito bom relacionamento</t>
  </si>
  <si>
    <t>O bom atendimento, seriedade, é prontidão em atender as necessidades do cliente.</t>
  </si>
  <si>
    <t>De positivo temos o sentimento de pertencimento, a possibilidade de juros mais baixos é o atendimento gentil da maior parte da equipe. De negativo, a comunicação. Anteriormente, falávamos direto com a agência, obtendo soluções imediatas. nos últimos tempos, a comunicação com o Sicoob está ruim, pois as mensagens demoram a ser respondidas. Isso quando vêm as respostas.</t>
  </si>
  <si>
    <t>promessa de redução de aluguel sipag é de tarifa de boleto que não estornou até agora</t>
  </si>
  <si>
    <t>Precisei é o comitê me virou as costas numa precisão de saúde.</t>
  </si>
  <si>
    <t>atendimento excelente</t>
  </si>
  <si>
    <t>Lixo</t>
  </si>
  <si>
    <t>Ruim</t>
  </si>
  <si>
    <t>Simplicidade é presteza.</t>
  </si>
  <si>
    <t>Ótimo atendimento da minha gerente Dilma da cooperativa 3233.</t>
  </si>
  <si>
    <t>Fazem pelo 5 anos que tento fechar a conta é NÃO consigo, pois meu dinheiro da conta capital NÃO pode ser devolvido.</t>
  </si>
  <si>
    <t>Excelente trabalho de todos</t>
  </si>
  <si>
    <t>NÃO tenho muita movimentação financeira.</t>
  </si>
  <si>
    <t>Tenho minha conta salário no Sicoob é limite de credito é muito baixo</t>
  </si>
  <si>
    <t>Pior experiência que teve com uma instituição que oferta produtos financeiros. Cartão sem vantagem é com anuidade . emprestimo consignado com juros de CDC. NÃO fez o menor sentido ter aderido é por isso, pedi o cancelamento</t>
  </si>
  <si>
    <t>Sicoob realiza sonhos de quem sonha.</t>
  </si>
  <si>
    <t>Sempre fui  prontamente atendido. Servico excelente     Ronta</t>
  </si>
  <si>
    <t>Gostava muito no início que éramos tratadas com um atendimento mais humanizado, depois ficou igual os outros bancos.</t>
  </si>
  <si>
    <t>Conta funcional pela empresa, estou me adaptando, antes NÃO gostaria;</t>
  </si>
  <si>
    <t>excepcional!</t>
  </si>
  <si>
    <t>Trata-se de uma cooperativa que NÃO deixa nada a dever a qualquer instituição bancária tradicional. Alem do mais, como cooperado, você se sente dono do negócio.</t>
  </si>
  <si>
    <t>Estou muito satisfeito em fazer parte da Sicoob, são muitas vantagens e facilidades que temos à nossa disposição.</t>
  </si>
  <si>
    <t>Pela sua força é por ser uma cooperativa de credito, eu recomendo o Sicoob para todos de minha rede de relacionamentos.</t>
  </si>
  <si>
    <t>Sempre fui muito bem atendida, com rapidez e clareza de informações.</t>
  </si>
  <si>
    <t>Equipe eficiente.</t>
  </si>
  <si>
    <t>Tudo que precisei fui muito bem atendida</t>
  </si>
  <si>
    <t>Uma cooperativa que NÃO tem um gerente para atender por whatsapp, entra em contato para nada,sou cliente Sicredi é é totalmente diferente,vou fechar a conta.</t>
  </si>
  <si>
    <t>Até agora NÃO me ofereceram cheque especial, cartão de credito é já adquiri seguro de vida sem auxílio.</t>
  </si>
  <si>
    <t>VoCês estão pior que bancos. fiz emprestimo de 10 mil.vou pagar com 23 mil. Nunca mais quero fazer negocio com vcs</t>
  </si>
  <si>
    <t>sou cliente mais de 6 anos.</t>
  </si>
  <si>
    <t>Criei uma conta pelo APP, coloquei meu endereço de recife é a conta foi para uma agência em João Pessoa, é foi um caos para trocar para uma agência de Recife, até que desistir de ter uma conta na sicoob</t>
  </si>
  <si>
    <t>É um bom banco só isso</t>
  </si>
  <si>
    <t>Burocrático, App meio complicado de usar, canais de atendimento difícil acesso é sistemas fora do ar as vezes na hora de usar o cartão de debito.</t>
  </si>
  <si>
    <t>Convicção de ser uma ótima alternativa do mercado financeiro, com o diferencial do engajamento comunitário</t>
  </si>
  <si>
    <t>A sicoob NÃO oferece nenhuma linha de credito foi uma pessima escolha minha abrir conta na sicoob</t>
  </si>
  <si>
    <t>Bom atendimento, facilidade em solucionar problemas, prático em benefício, cartão de credito</t>
  </si>
  <si>
    <t>Muito bom!!</t>
  </si>
  <si>
    <t>O atendimento do Sicoob é muito bom. Mas o SICOOB prometeu ratear os lucros entre os associados é NÃO está cumprindo. Atualmente tanto faz ser associado ao Sicoob ou ser cliente de um outro Banco tradicional pois NÃO temos nenhum direito a participação nos lucros de ambos. NEM MESMO 1% DOS LUCROS. SICOOB FICA AGORA COM TUDO é ASSOCIADO COM O RESTANTE... OU SEJA, NADA, NADA, NADA....Precisam REPENSAR ESSA POLÍTICA EQUIVOCADA COM OS ASSOCIADOS SICOOB!</t>
  </si>
  <si>
    <t>parabéns</t>
  </si>
  <si>
    <t>Atendimento, produtos ofertados, boas taxas.</t>
  </si>
  <si>
    <t>abrir minha conta, é não tenho credito no cartão de credito!</t>
  </si>
  <si>
    <t>É um banco que facilita o nosso dia a dia</t>
  </si>
  <si>
    <t>Em pouco tempo descontou 100 reais da minha conta, infelizmente NÃO recomendo</t>
  </si>
  <si>
    <t>é um banco que oferece bons serviços é com boas taxas mas em alguns serviços ocorre certa burocracia e demora inerentes a um banco cooperativa.</t>
  </si>
  <si>
    <t>A forma de atendimento, presteza e agilidade.</t>
  </si>
  <si>
    <t>O bom relacionamento é as vantagens que tenho obtido .</t>
  </si>
  <si>
    <t>Conhecimento do sistema</t>
  </si>
  <si>
    <t>Sempre fui bem recebida</t>
  </si>
  <si>
    <t>Bom atendimento de forma geral.</t>
  </si>
  <si>
    <t>Muito complicado solicitar o cartão de credito desde quando solicitar o cartão só apareceu limite 0,00</t>
  </si>
  <si>
    <t>credito difícil é juros altos</t>
  </si>
  <si>
    <t>Nota zero, cancelaram meu cartão mesmo pagando tudo na data certa é até mesmo antes da data de vencimento.</t>
  </si>
  <si>
    <t>Dificuldade para fechar a conta cobrando taxa  entre outros</t>
  </si>
  <si>
    <t>Atendimento maravilhoso, respeito com os cooperados.</t>
  </si>
  <si>
    <t>Tarifas baixas, Porem investimentos ruins.</t>
  </si>
  <si>
    <t>O atendimento é de excelência.</t>
  </si>
  <si>
    <t>Deixou de pagar participação nos lucros. Tô caindo fora</t>
  </si>
  <si>
    <t>excelente atendimento e bons produtos.</t>
  </si>
  <si>
    <t>Presteza e segurança no atendimento.</t>
  </si>
  <si>
    <t>Sem credito</t>
  </si>
  <si>
    <t>Tomei, paguei é findou!</t>
  </si>
  <si>
    <t>1. Banco extremamente burocrático. Até hoje exige 2 referências para abrir uma conta. A minha ficou parada durante dias por falta disso. 2. A papelada da minha empresa foi totalmente digital. Expliquei isso à atendente. Mas ela insistiu que eu deveria ir ao cartório é autenticar as assinaturas! Oi! Como assim?! Como um cartório autentica assinatura digital? kkk 3. A conta-capital é uma armadilha. O aporte mensal NÃO tem correção é se deteriora pelo efeito inflacionário. NÃO bastasse isso, você só faz retirada dela com o encerramento de relacionamento é nesse momento é que o Sicoob te avisa que vai te devolver em suaves parcelas sem juros ou correção!</t>
  </si>
  <si>
    <t>Tudo funciona muito bem é sem muita burocracia. O aplicativo de celular funciona muito bem. Quando raramente preciso de dinheiro vivo, consigo sacar dinheiro com facilidade nos caixas 24h, quando NÃO há uma agência do Sicoob por perto.</t>
  </si>
  <si>
    <t>TRANQUILIDADE. JUROS MAIS BAIXO .LINHA DE TRABALHO CONFORTÁVEL.</t>
  </si>
  <si>
    <t>Resolvi meu problema  rápido</t>
  </si>
  <si>
    <t>00000</t>
  </si>
  <si>
    <t>O forte empenho em superar as resistências para disponibilizar um serviço mais que necessário a um paraúblico carente.</t>
  </si>
  <si>
    <t>O tratamento</t>
  </si>
  <si>
    <t>A prestação de serviços</t>
  </si>
  <si>
    <t>Tive dificuldade em sacar dinheiro no terminal</t>
  </si>
  <si>
    <t>evolução</t>
  </si>
  <si>
    <t>De forma empresarial, o gerente deixa a desejar. Diversas vezes tentei negociar a máquina da própria cooperativa no meu estabelecimento "sispag" é NÃO tive posicionamento do gerente. A fatura do sicoobcard, NÃO chega no endereço, é via e-mail só chega com atraso.</t>
  </si>
  <si>
    <t>É muito legal banco confiável, me ajudou muito quando eu abri meu negócio.um banco bom para investir o dinheiro é tambem guardar.</t>
  </si>
  <si>
    <t>Abrir a conta NÃO tenho nenhuma restrição,  o meu score no Serasa é 928 PONTOS é o banco NÃO liberou nem R$10 reais de credito. 😭</t>
  </si>
  <si>
    <t>confiança e facilidade no  atendimento</t>
  </si>
  <si>
    <t>Acho legal</t>
  </si>
  <si>
    <t>Muita burocracia para tirar a carta de credito</t>
  </si>
  <si>
    <t>O sicoob já NÃO  o mesmo para com seus sócios.</t>
  </si>
  <si>
    <t>Bom demais</t>
  </si>
  <si>
    <t>A atenção dispensada pelos seus representantes na cidade.</t>
  </si>
  <si>
    <t>Ótimo banco recomendo</t>
  </si>
  <si>
    <t>Investimento</t>
  </si>
  <si>
    <t>Porque enquanto temos dinheiro para investir ou movimentar é um grande banco, veste a camisa do cliente, mas quando as coisas mudaram é o desemprego chegou, NÃO tem disponibilidade para negociação, impondo valores de até 40% da dívida para poder iniciar algum início de negociação, ou seja NÃO nos fazendo sentir parceiros, realmente NÃO vale a pena sermos honestos, falarmos a verdade, é nos apresentarmos de boa fé sem nem Mesmos sermos cobrados, infelizmente a ida imediata para negociação sem antes mesmo ser negativado, NÃO foi valorizado essa atitude… enfim, como todo banco, valemos o que temos</t>
  </si>
  <si>
    <t>Melhores taxas</t>
  </si>
  <si>
    <t>Propaganda enganosa</t>
  </si>
  <si>
    <t>Os serviços prestados pela equipe são muito bom</t>
  </si>
  <si>
    <t>o Sicoob é dez</t>
  </si>
  <si>
    <t>Cooperativa amigável.</t>
  </si>
  <si>
    <t>fácil comunicação</t>
  </si>
  <si>
    <t>Indico sem medo pois é o melhor!</t>
  </si>
  <si>
    <t>já tenho conta há muito tempo no Sicoob.</t>
  </si>
  <si>
    <t>Muito bom, ainda tem que melhorar o atendimento.</t>
  </si>
  <si>
    <t>Fazem quase 5 anos que possuo um relacionamento com o banco, entretanto até o momento NÃO liberaram Cartão de credito.</t>
  </si>
  <si>
    <t>O excelente serviço Sicoob</t>
  </si>
  <si>
    <t>...NÃO levou 10, porque NÃO tem boa diversidade de títulos.</t>
  </si>
  <si>
    <t>PELA EFICIÊNCIA NA RESOLUÇÃO DAS DEMANDAS.</t>
  </si>
  <si>
    <t>muito bom é eficiente parabéns</t>
  </si>
  <si>
    <t>O sicoob se transformou em um banco muito bom em todo Brasil!</t>
  </si>
  <si>
    <t>atende minhas necessidades financeiras é deias cooperativista!</t>
  </si>
  <si>
    <t>O Sicoob é dez</t>
  </si>
  <si>
    <t>Problemas sem resoluções e informações distorcidas</t>
  </si>
  <si>
    <t>Esperando meu estorno,?</t>
  </si>
  <si>
    <t>É um bom banco</t>
  </si>
  <si>
    <t>Atendimento é competência!!</t>
  </si>
  <si>
    <t>porquê desde que eu fiz esse cartão não quis aumentar o valor do limite do cartão</t>
  </si>
  <si>
    <t>Porque atende todas as necessidades</t>
  </si>
  <si>
    <t>O atendimento ficou horrível</t>
  </si>
  <si>
    <t>ENTIDADE BUROCRÁTICA DOMINADA POR PELEGOS é COM COMITÊ QUE NINGUeM SABE QUEM SÃO, pessimo SERVIÇOS, NÃO tem NENHUM RESPEITO COM O INFELIZ ASSOCIADO</t>
  </si>
  <si>
    <t>Abri a conta pensando que o cartão seria credito para assim aproveitar os benefícios do cartão debito nem uma mas agora é só pix</t>
  </si>
  <si>
    <t>Difícil aprovação de credito, limite baixo, demora na entrega do cartão</t>
  </si>
  <si>
    <t>Principalmente para o atendente Luan João Pessoa/PB</t>
  </si>
  <si>
    <t>NÃO ganhei um cartão de credito.</t>
  </si>
  <si>
    <t>2</t>
  </si>
  <si>
    <t>Fácil é prático</t>
  </si>
  <si>
    <t>O serviço tem piorado bastante. Está mais difícil atendimento pessoal, PIX para pessoa jurídica vem sendo taxado, entre outros problemas</t>
  </si>
  <si>
    <t>Ótimo banco, poucos problemas</t>
  </si>
  <si>
    <t>Atendimento reativo, todas as vezes que precisei resolver qualquer coisa na minha conta eu que fui atrás.</t>
  </si>
  <si>
    <t>Boa tarde. Deste que fiz minha conta que tento falar com vcs é NÃO consigo.</t>
  </si>
  <si>
    <t>o Sicoob é fantástico, mas ainda há muito o que melhorar, principalmente na parte de atendimento pré é pós venda</t>
  </si>
  <si>
    <t>Apesar da boa variedade de produtos é dos bons aplicativos, é muito difícil conseguir aumento de limite ou um bom cartão para participar do programa de fidelidade coopera.</t>
  </si>
  <si>
    <t>Cooperativa confiável, atendentes prestativos é oferece o serviço que necessito.</t>
  </si>
  <si>
    <t>NÃO tiver experiência com este banco ainda</t>
  </si>
  <si>
    <t>Gerente é agência são atenciosos</t>
  </si>
  <si>
    <t>Tudo bem ordem</t>
  </si>
  <si>
    <t>prático</t>
  </si>
  <si>
    <t>Excelente atendimento, cortesia...</t>
  </si>
  <si>
    <t>clima da empresa</t>
  </si>
  <si>
    <t>Semana passada solicitei um emergencial, vocês tiraram a opção de fazer na agência,por outro lado,complicaram demais para fazer on line.Está parecendo um banco comum, estou tão insatisfeito que desisti de pegar o emprestimo</t>
  </si>
  <si>
    <t>o conjunto, atendimento, eficiência ...</t>
  </si>
  <si>
    <t>O aplicativo do Banco é excelente; quando preciso de atendimento, a resposta pelo whatsapp é rápida.</t>
  </si>
  <si>
    <t>Muito top de verdade</t>
  </si>
  <si>
    <t>Si falta credito no meu cartão</t>
  </si>
  <si>
    <t>é um excelente banco</t>
  </si>
  <si>
    <t>pessimos funcionários, dificuldade de negociação.</t>
  </si>
  <si>
    <t>Atendimento espetacular!! Muitas opções de serviços e custos compatíveis.</t>
  </si>
  <si>
    <t>Falta de parceria. De assistência ao correntista.</t>
  </si>
  <si>
    <t>Sem atendimento de gerente, limite de credito incompatível com minha renda, sem assistência.</t>
  </si>
  <si>
    <t>Nunca consegui nada</t>
  </si>
  <si>
    <t>Com certeza, é uma ótima empresa para trabalhar, colegas bem afinados e atualizados.</t>
  </si>
  <si>
    <t>Boa tarde, sou YouTube, tenho vários canais rede social , NÃO posso falar mal é nem bom ..Porem em termos de creditos nota (3 }.</t>
  </si>
  <si>
    <t>Acho ineficiente</t>
  </si>
  <si>
    <t>Poucas agências é poucos Auto-atendimento exclusivo.</t>
  </si>
  <si>
    <t>Gostaria de ter um credito</t>
  </si>
  <si>
    <t>As taxas NÃO são atrativas, tive dificuldades até para ter um cartão de debito, é na hora de encerrar a conta, a burocracia foi enorme.</t>
  </si>
  <si>
    <t>para continuar procurando melhor para chegar a nota 10</t>
  </si>
  <si>
    <t>Quando ligo ou entro em contato com vocês pelo whatsapp NÃO dão resposta</t>
  </si>
  <si>
    <t>Porque gosto de tudo que te</t>
  </si>
  <si>
    <t>Demora para conseguir alguma operação de credito</t>
  </si>
  <si>
    <t>Correntista satisfeita</t>
  </si>
  <si>
    <t>Difícil comunicação</t>
  </si>
  <si>
    <t>Excelente atendimento, sistema operacional prático.</t>
  </si>
  <si>
    <t>Sou associada há mais de 20 anos e nunca tive problemas com o Sicoob. Já fiz empréstimos consignados, com muita facilidade, sou do Poder Judiciário é,  por último tive uma ótima experiência na área de consórcio é foi muito bom.</t>
  </si>
  <si>
    <t>Está aparecendo seguro no meu cartão eu NÃO solicitei aí quando liga para cancelar manda para várias pessoas é NÃO resolver</t>
  </si>
  <si>
    <t>para mim NÃO serviu para nada precisei de um cartão é me negaram</t>
  </si>
  <si>
    <t>Uma cooperativa justa é transparente com os sócios.</t>
  </si>
  <si>
    <t>O atendimento bom</t>
  </si>
  <si>
    <t>O Sicoob é uma instituição financeira que at3nde todas as necessidades é ainda aplica a menor taxa do mercado, acima de tudo tem um atendimento diferenciado</t>
  </si>
  <si>
    <t>Cooperativa seria e comprometida em servir bem o cliente</t>
  </si>
  <si>
    <t>Agilidade e clareza no atendimento!</t>
  </si>
  <si>
    <t>Interação com os app's de forma mais ágil.</t>
  </si>
  <si>
    <t>falta de informação é contato para aumento de credito no cartão</t>
  </si>
  <si>
    <t>Sou muito bem atendido no Sicoob!</t>
  </si>
  <si>
    <t>O Tratamento diferenciado com o cooperado/cliente, em relação às outras instituições financeiras, NÃO cooperativas.</t>
  </si>
  <si>
    <t>Facilidade em solucionar questões por WhatsApp, amabilidade do pessoal</t>
  </si>
  <si>
    <t>Um banco que NÃO tem parceria, nem linha de credito, atendimento com o gerente muito fraco.</t>
  </si>
  <si>
    <t>Análise de credito fraca</t>
  </si>
  <si>
    <t>Atendentes muito preparados. Fácil negociação. Atendimento celere.</t>
  </si>
  <si>
    <t>prático, boas taxas</t>
  </si>
  <si>
    <t>Eu NÃO tenho nada com essa sicoob. Até cobrança indevida de cartão mandaram por e-mail.  Ridículo vocês</t>
  </si>
  <si>
    <t>Sempre tem alguma para melhorar</t>
  </si>
  <si>
    <t>pessimo. Mesmo com renda bruta entre 26 a 28 mil, é NENHUMA restrição em qualquer órgão de proteção de credito, até a presente data NENHUM produto foi liberado, cartão, nem cheque. Apesar de ter feito a abertura de conta, NÃO recomendo MESMO. Otávio Rocha CPF 72626046191</t>
  </si>
  <si>
    <t>Dificuldade em resolver problemas, quando eles surgem.</t>
  </si>
  <si>
    <t>o atendimento é show</t>
  </si>
  <si>
    <t>Uma cooperativa que pratica juros menores que o mercado. O lucro é distribuído entre os associados.</t>
  </si>
  <si>
    <t>É um bom serviço é os funcionários bem atenciosos</t>
  </si>
  <si>
    <t>O atendimento é demorado</t>
  </si>
  <si>
    <t>Taxas de juros ofertadas para cheque especial no mesmo patamar dos bancos comerciais é limites de cartão muito baixos.</t>
  </si>
  <si>
    <t>Conta similar a de outros bancos, a única diferença é a aplicação na conta capital. tem boas taxas para consórcio. Cartão de credito NÃO é aprovado na abertura da conta.</t>
  </si>
  <si>
    <t>Facilidade de usar o app.</t>
  </si>
  <si>
    <t>O SICOOB É COOPERATIVISMO</t>
  </si>
  <si>
    <t>Perfeito</t>
  </si>
  <si>
    <t>estou com a minha conta capital presa é NÃO consigo utilizar para cobrir debitos com a cooperativa.</t>
  </si>
  <si>
    <t>Taxas boas</t>
  </si>
  <si>
    <t>Rapidez no atendimento. Cordialidade e profissionalismo dos funcionários da Cooperativa.</t>
  </si>
  <si>
    <t>ambiente confortável, atendimento respeitoso</t>
  </si>
  <si>
    <t>Eu nem quero usar essa conta pq NÃO tenho benefício de nada</t>
  </si>
  <si>
    <t>Um bom atendimento funcionários solícitos rápido prático app de fácil uso é seguro  parabéns a Sicoob!!</t>
  </si>
  <si>
    <t>Apesar de tudo de bom que há em se ter uma conta no Sicoob, com destaque para os juros do cheque especial é a natureza cooperativa, penso que há uma inexplicável burocracia para certas coisas, que poderiam ser facilmente automatizadas, como se tem no Nubank, por exemplo. Entre elas, aumento do limite do cheque especial é a obtenção de emprestimo consignado, que sempre exige envio de documentos é a ida à Agência para assinatura física...</t>
  </si>
  <si>
    <t>Deixou de ser uma cooperativa não distribuindo mais as sobras devidas, é passou a ser um banco ganancioso</t>
  </si>
  <si>
    <t>Gosto da proposta da instituição</t>
  </si>
  <si>
    <t>O atendimento é a boa oferta de credito</t>
  </si>
  <si>
    <t>Satisfação atendimento.</t>
  </si>
  <si>
    <t>Aplicativo muito complicado,difícil liberar credito,NÃO consegue fechar a conta pelo aplicativo</t>
  </si>
  <si>
    <t>Bomm</t>
  </si>
  <si>
    <t>O profissionalismo dos funcionários do banco em buscar soluções financeiras para as demandas dos clientes, Alem do Sicoob apresentar melhores taxas que os demais bancos.</t>
  </si>
  <si>
    <t>Estou muito satisfeito em ser correntista do  Sicoob.</t>
  </si>
  <si>
    <t>A nota dada foi em razão da má qualidade na prestação de informações, transparência dos produtos oferecidos pela Cooperativa, dentre outros. A título de exemplo, encaminhei comprovante de rendimento com intuito de obter melhores produtos é simplesmente foi ignorado pela Cooperativa. Decepção!</t>
  </si>
  <si>
    <t>Eficiente é moderno</t>
  </si>
  <si>
    <t>Atendimento!</t>
  </si>
  <si>
    <t>Satisfação em ser Cooperado</t>
  </si>
  <si>
    <t>O atendimento e nas informações prestada é disponíveis, com destaque especial para o atendimento.</t>
  </si>
  <si>
    <t>A equipe do SICOOB é seria é ágil, NÃO tem sequer uma vírgula para me queixar das tratativas que venho tendo ao longo de mais de 2 anos que opero com a instituição financeira, meus votos é que cresçam é ajudem a capitalizar os clientes que aderem a seus serviços.</t>
  </si>
  <si>
    <t>Banco que infelizmente NÃO tem nenhuma linha de credito. Perca de tempo.</t>
  </si>
  <si>
    <t>Um atendimento para</t>
  </si>
  <si>
    <t>Baixo custo é bom atendimento.</t>
  </si>
  <si>
    <t>Sicoob é uma excelente empresa para se trabalhar, é uma excelente instituição financeira</t>
  </si>
  <si>
    <t>banco descomplicado é sem empurrar produtos.</t>
  </si>
  <si>
    <t>Sempre falta alguma coisa, ou oferta vantajosa...</t>
  </si>
  <si>
    <t>Atendimento ágil</t>
  </si>
  <si>
    <t>Poderia ser 10, mas a cooperativa NÃO está mais distribuindo o seu lucro com os cooperados.</t>
  </si>
  <si>
    <t>Excelente atendimento, produtos é segurança.</t>
  </si>
  <si>
    <t>Abri minha conta Sicoob, Porem NÃO tive um benefício sequer. Abri a conta no Bradesco é mesmo sendo um limite, baixo, tive cheque especial é cartão de credito.</t>
  </si>
  <si>
    <t>o atendimento foi uma decepção, tenho a conta a um ano mais o menos, abri atraves da internet, compareci a uma agencia sicoob em Campina Grande é fui informada de que LÁ não era minha agência ... era coisa simples do aplicativo é o descaso em tentar me ajudar foi incrível , alias vou deixar de usar a conta é tambem fechar a conta</t>
  </si>
  <si>
    <t>Um Banco confiável. Juros abaixo do mercado é funcionários atenciosos!                      O SICOOB é para todos!</t>
  </si>
  <si>
    <t>Competência, agilidade, cortesia</t>
  </si>
  <si>
    <t>Bom atendimento e atenção para com os correntistas.</t>
  </si>
  <si>
    <t>Eu encerrei minha conta já, para que ficam mandando essas merda</t>
  </si>
  <si>
    <t>Impossível encerrar a conta sem ir a uma agência física</t>
  </si>
  <si>
    <t>Pesquisa chata</t>
  </si>
  <si>
    <t>NÃO estou conseguindo ter acesso a minha conta, tinha que ter a opção de mudar a senha por email</t>
  </si>
  <si>
    <t>Sempre fui bem atendida</t>
  </si>
  <si>
    <t>NÃO levou 10 pq os produtos/serviços ainda são poucos.</t>
  </si>
  <si>
    <t>NÃO tenho limite de credito</t>
  </si>
  <si>
    <t>FACILIDADE NO credito</t>
  </si>
  <si>
    <t>Acreditar no propósito</t>
  </si>
  <si>
    <t>NÃO tenho credito</t>
  </si>
  <si>
    <t>Preço e atendimento rápido.</t>
  </si>
  <si>
    <t>Sicoob nunca me ajudou em nada! Sem política de boas vindas, juros altos… sem qq diferencial!</t>
  </si>
  <si>
    <t>NÃO resolveu meu problema</t>
  </si>
  <si>
    <t>tem algumas coisas ultimamente que NÃO estou gostando, Porem entre outros que já tive conta ainda é o melhor.</t>
  </si>
  <si>
    <t>atendimento excelente, boas taxas</t>
  </si>
  <si>
    <t>A seriedade da instituição é a força do cooperativismo, dois pilares sobre os quais se assenta a nossa entidade.</t>
  </si>
  <si>
    <t>O atendimento é cordial é os servidores do SICOOB são bem prestativos na solução de problemas. Recomendo.</t>
  </si>
  <si>
    <t>Pelo excelente atendimento que sempre recebi.</t>
  </si>
  <si>
    <t>Atendimento !</t>
  </si>
  <si>
    <t>Bom atendimento é bom aplicativo.</t>
  </si>
  <si>
    <t>Segurança é política de ganha-ganha com os cooperados</t>
  </si>
  <si>
    <t>Cartão de credito</t>
  </si>
  <si>
    <t>A facilidade no atendimento aos clientes é acesso ao credito.</t>
  </si>
  <si>
    <t>Estou muito satisfeito com o atendimento. é as condições que o banco fornece NÃO ótimas.</t>
  </si>
  <si>
    <t>A cooperativa atende as minhas necessidades .</t>
  </si>
  <si>
    <t>Cooperativismo melhor que banco tradicional.</t>
  </si>
  <si>
    <t>Exclusividade no atendimento</t>
  </si>
  <si>
    <t>SICOOB CREDIBRASÍLIA</t>
  </si>
  <si>
    <t>excelente atendimento e clareza</t>
  </si>
  <si>
    <t>A qualidade dos serviços oferecidos é seus valores.</t>
  </si>
  <si>
    <t>Atendimento e taxas</t>
  </si>
  <si>
    <t>Por que perdi minha agência é conta é o Sicoob NÃO me manda ... Já tem 8 meses que NÃO consigo acessar o aplicativo</t>
  </si>
  <si>
    <t>Propósito é qualidade.</t>
  </si>
  <si>
    <t>ATENDIMENTO PESSOAL ótimo</t>
  </si>
  <si>
    <t>É a pontuação que considero justa</t>
  </si>
  <si>
    <t>pessimo NÃO libera nada para clientes,</t>
  </si>
  <si>
    <t>Bom atendimento dos funcionários.</t>
  </si>
  <si>
    <t>pessimo em solução de problemas, NÃO oferece possibilidades se você tem pouco dinheiro, mas quando eu investi valores mais significativos fui super bem atendida. Isso qualquer banco faz. pessimo atendimento, faz acepção de pessoas.</t>
  </si>
  <si>
    <t>É um banco NÃO oneroso, dá boas oportunidades de investimento é rendimentos. Mas um pouco impessoal.</t>
  </si>
  <si>
    <t>Dificuldade em alimentar o limite do cartão, dificuldade em melhor emprestimo a funcionário paraúblico</t>
  </si>
  <si>
    <t>Atendimento com eficiência é agilidade</t>
  </si>
  <si>
    <t>0 atendimento é a educação dos funcionários são  nota 1000</t>
  </si>
  <si>
    <t>Otimistas</t>
  </si>
  <si>
    <t>0 zero</t>
  </si>
  <si>
    <t>Ótimo banco. é ótimas relações</t>
  </si>
  <si>
    <t>Fui Mal Atendido.</t>
  </si>
  <si>
    <t>Dificuldade para liberar cartão de credito mesmo com movimento diário, NÃO chegar às notificações na tela do celular</t>
  </si>
  <si>
    <t>o atendimento, às facilidades oferecidas pelo banco é a praticidade encorajam a recomenda-lo.</t>
  </si>
  <si>
    <t>suporte muito ruim da gerência</t>
  </si>
  <si>
    <t>Equipe de atendimento muito atenciosa, é o banco em si muito bom.</t>
  </si>
  <si>
    <t>Super indico</t>
  </si>
  <si>
    <t>Com certeza</t>
  </si>
  <si>
    <t>Fiz uma solicitação de uma linha de credito na minha conta pessoa jurídica é NÃO fui atendido sob uma justificativa ridícula é sem defesa para área de credito</t>
  </si>
  <si>
    <t>Ótimo atendimento sempre</t>
  </si>
  <si>
    <t>Deveria abrir mais portas com oportunidades para os jovens, principalmente sobre aprendiz! é tambem deveria existir mais reconhecimento, pois isso falta muito.</t>
  </si>
  <si>
    <t>resolvido</t>
  </si>
  <si>
    <t>No geral o sicoob é bom, Porem quando a questão é empréstimos, é muito burocrático.</t>
  </si>
  <si>
    <t>Ótimo relacionamento</t>
  </si>
  <si>
    <t>NÃO dá resposta o cliente</t>
  </si>
  <si>
    <t>Achei o acesso do cartão de credito por exemplo difícil, o aplicativo é complicado.</t>
  </si>
  <si>
    <t>Melhorar atendimento via sistema eletrônico é rede social. Atendimento via Whatsapp NÃO consegue solucionar o problema, tentado mais algumas vezes, chegam a NÃO atender mais a solicitação, deixando de responder.</t>
  </si>
  <si>
    <t>Ótimo desempenho da instituição.</t>
  </si>
  <si>
    <t>Prático</t>
  </si>
  <si>
    <t>Atendimento rápido e eficaz. parabéns!!</t>
  </si>
  <si>
    <t>Bom atendimento e atenção das pessoas</t>
  </si>
  <si>
    <t>Simpatia</t>
  </si>
  <si>
    <t>Banco Muito bom</t>
  </si>
  <si>
    <t>Muita demora nas respostas</t>
  </si>
  <si>
    <t>Muito bom em tudo</t>
  </si>
  <si>
    <t>NÃO são acessíveis para negociação ..</t>
  </si>
  <si>
    <t>Porque quando há um problema, só é possível resolvê-lo na própria cooperativa, tipo troca de senha.</t>
  </si>
  <si>
    <t>Por ser um espaço de construção coletiva.</t>
  </si>
  <si>
    <t>Atendimento diferenciado.</t>
  </si>
  <si>
    <t>Praticidade e segurança</t>
  </si>
  <si>
    <t>O app é muito bom, bem objetivo é pelo Sicoob ser mais que um banco :)</t>
  </si>
  <si>
    <t>Até hoje NÃO recebi os 20 que depositei na cota, é olha que já cancelei a conta a meses. Imagina se tivesse aplicado dinheiro nesse banco?</t>
  </si>
  <si>
    <t>Insatisfação com o banco e agência no seu atendimento aos clientes</t>
  </si>
  <si>
    <t>É uma Cooperativa, onde você é tratado como pessoa é NÃO como um Número qualquer.</t>
  </si>
  <si>
    <t>Sicoob NÃO ajuda a quem precisa ,pois todas as vezes que eu precisei o meu credito foram negado , estou muito insatisfeito, pois me arrependi de ter aberto a conta</t>
  </si>
  <si>
    <t>tem melhorar muito ainda</t>
  </si>
  <si>
    <t>Até o momento, a melhor instituição bancária pela minha experiência. Mas deixa a desejar nas reuniões, certos argumentos dos associados a instituição NÃO responde. Deixando uma aparência que o alto escalão NÃO faz o serviço profissional.</t>
  </si>
  <si>
    <t>Muito burocrático sem automação tudo muito manual é NÃO leva em conta as movimentações bancárias nem dentro da própria cooperativa é nem de outros bancos. Difícil demais de trabalhar experiência horrível.  Só uma ressalva os funcionários são ótimos atendimento deles perfeito mais eles tem inúmeras limitações.</t>
  </si>
  <si>
    <t>Sem oportunidades para o empresário. Linha de financiamento. Cartão de credito. Limite de credito. Tudo muito complicado !</t>
  </si>
  <si>
    <t>Praticidade sobre tudo que se refere a Sicoob, app muito fácil é dinâmico</t>
  </si>
  <si>
    <t>Insatisfação</t>
  </si>
  <si>
    <t>Banco ótimo juros baixos!!!</t>
  </si>
  <si>
    <t>Confiança na empresa . Facilidade de acesso aos produtos. Explicações claras e objetivas</t>
  </si>
  <si>
    <t>Sempre sou muito bem atendido!</t>
  </si>
  <si>
    <t>Até  agora  tudo que precisei fui super bem atendido pela minha gerente e equipe sem dificuldade alguma que continue assim obrigado</t>
  </si>
  <si>
    <t>benefícios</t>
  </si>
  <si>
    <t>NÃO estou satisfeito com o banco vou cancelar as 2 conta que eu tenho.</t>
  </si>
  <si>
    <t>pessimo o serviço, solicitei uma análise de credito, nunca me responderam é nem o cartão me enviaram. Ninguem nem se importa para dar suporte uma vergonha.</t>
  </si>
  <si>
    <t>Excelente trabalho</t>
  </si>
  <si>
    <t>é muito ruim atendimento  no telefone é a malhou dificuldade  NÃO tem credito quando Tem que só falta pedir o coração</t>
  </si>
  <si>
    <t>Difícil acesso. é você perde dinheiro</t>
  </si>
  <si>
    <t>é um ótimo banco bom atendimento.</t>
  </si>
  <si>
    <t>Pouca verba para clientes.</t>
  </si>
  <si>
    <t>é bom</t>
  </si>
  <si>
    <t>PODERIA COLOCAR DETALHADAMENTE NO EXTRATO AS BOLETOS RECEBIDOS DO DIA  UM POR UM para MELHOR IDENTIFICAÇÃO DO RECEBIDO,POIS VEM TODOS DO JUNTO é AGORA FICOU MUITO RUIM ASSIM,POIS ANTES VINHA DETALHADO PELO NOSSO número é AGORA não VEM MAS, DESDE já AGRADEÇO</t>
  </si>
  <si>
    <t>Até agora NÃO tive nenhum suporte nem uma assistência.</t>
  </si>
  <si>
    <t>Tudo perfeito</t>
  </si>
  <si>
    <t>Todas as vezes que eu precisei fui muito bem atendida, todos os funcionários da minha agência sicoob são excelentes...</t>
  </si>
  <si>
    <t>Em questão de atendimento é zero informações atravessadas . protestou meu nome é cartório não recomendo</t>
  </si>
  <si>
    <t>Um banco totalmente desligado do seu cliente, NÃO recomendo</t>
  </si>
  <si>
    <t>Um banco excelente com pessoas educadas é gentil ótimas condições de emprestimo</t>
  </si>
  <si>
    <t>Toda vez que vou a Sicoob sou muito bem atendida...</t>
  </si>
  <si>
    <t>Melhor banco é o app é incrível.</t>
  </si>
  <si>
    <t>Falta de rendimento, linha de credito ruim,aplicativo com problemas.</t>
  </si>
  <si>
    <t>Excelência no geral .</t>
  </si>
  <si>
    <t>Pessoas abaixo de resultados é distante da entidade.  Concorrência entre os Sicoob demonstra desorganização é prejuízo do todo. Lastimável</t>
  </si>
  <si>
    <t>Relacionamento com o Gerente</t>
  </si>
  <si>
    <t>Abri um conta não utilizei tentei fechar a conta tem mais de 90 é nada, pessimo atendimento</t>
  </si>
  <si>
    <t>Atendimento na agência muito ruim</t>
  </si>
  <si>
    <t>Falta iniciativa do banco em procurar o cliente para perecer produtos que possam ser úteis. Muitas vezes eu que precisei procurar a cooperativa.</t>
  </si>
  <si>
    <t>Sistema de segurança da instituição é falho.</t>
  </si>
  <si>
    <t>Nunca recomendaria. Tenho conta PF e PJ em outros bancos é um excelente relacionamento com credito. No Sicoob minha PF não nem nada é minha PJ NÃO deixaram nem abrir. Fernanda Raber 05958884107</t>
  </si>
  <si>
    <t>Gerente excelente mas processo interno demorado</t>
  </si>
  <si>
    <t>gerente não resolve nada</t>
  </si>
  <si>
    <t>Mandei meu salário em out de 2022 é até hoje nem um cartão de credito. Fiz seguro é já quero cancelar.</t>
  </si>
  <si>
    <t>Por que tendo um limite de credito é NÃO consigo é NÃO tenho uma explicação por que NÃO sou aprovado com limite de credito</t>
  </si>
  <si>
    <t>Excelente banco é atendimento</t>
  </si>
  <si>
    <t>Bom atendimento e atenção com os clientes</t>
  </si>
  <si>
    <t>Atendimento é precisão nas diretrizes de credito...</t>
  </si>
  <si>
    <t>Banco muito caro em relação à concorrência. Propaganda enganosa</t>
  </si>
  <si>
    <t>Bom relacionamento com o gerente</t>
  </si>
  <si>
    <t>Filha</t>
  </si>
  <si>
    <t>Tenho um excelente atendimento, rapidez na entrega de minhas solicitações, é por ser um banco com as menores taxas dentre as linhas comparadas com outras instituições.</t>
  </si>
  <si>
    <t>Uma cooperativa que sempre me agrada é me atende bem</t>
  </si>
  <si>
    <t>O sistema de segurança do banco deixa a desejar.</t>
  </si>
  <si>
    <t>Confiança e respeito.</t>
  </si>
  <si>
    <t>Praticidade.</t>
  </si>
  <si>
    <t>Ótima opção de serviço!</t>
  </si>
  <si>
    <t>No momento que eu mais precisei NÃO me ajudaram! Uma burocracia muito grande!</t>
  </si>
  <si>
    <t>Nada a descrever</t>
  </si>
  <si>
    <t>NÃO dar limites de credito</t>
  </si>
  <si>
    <t>bom atendimento, fácil acesso, só tem que simplificar um pouco mais o aplicativo, mas tudo bem...</t>
  </si>
  <si>
    <t>Muito tempo para formalizar o encerramento de conta</t>
  </si>
  <si>
    <t>Seguro</t>
  </si>
  <si>
    <t>quem coopera cresce</t>
  </si>
  <si>
    <t>Ótimo atendimento, só faltou meu cartão de credito 😄</t>
  </si>
  <si>
    <t>Considero o Sicoob a melhor empresa pois trabalha o melhor para as pessoas, no convívio em sociedade. Falo para todos do benefício. Muito obrigado.</t>
  </si>
  <si>
    <t>Acho que poderia ser interessante para outras pessoas.</t>
  </si>
  <si>
    <t>O melhor de todos os tempos!</t>
  </si>
  <si>
    <t>Juros muito alto</t>
  </si>
  <si>
    <t>Falta gerente!</t>
  </si>
  <si>
    <t>Possui princípios e soluções financeiras justas</t>
  </si>
  <si>
    <t>É muito burocrático para conseguir um emprestimo.</t>
  </si>
  <si>
    <t>Muito descanso com o cliente, depois que virou uma potência de dinheiro!!!!</t>
  </si>
  <si>
    <t>Mau atendimento, é NÃO cumpriu o que me prometeu.</t>
  </si>
  <si>
    <t>facilidades é atendimento personalizado</t>
  </si>
  <si>
    <t>tem muita qualidade e bom atendimento</t>
  </si>
  <si>
    <t>Atendimento muito bom</t>
  </si>
  <si>
    <t>Cordialidade, credibilidade é  segurança para com seus associados.</t>
  </si>
  <si>
    <t>Bom atendimento é clareza nas negociações</t>
  </si>
  <si>
    <t>fácil,rápido em soluções</t>
  </si>
  <si>
    <t>Muita burocracia, se tornou um banco como os outros, o que antes oferecia mais aos cooperados.</t>
  </si>
  <si>
    <t>Menos capitalismo, mas cooperativismo!</t>
  </si>
  <si>
    <t>Apesar do filosofia, há uma grande interferência política implementada por grupos, que permanecem na direção</t>
  </si>
  <si>
    <t>Uma dos melhores atendimentos</t>
  </si>
  <si>
    <t>Nunca consegui um credito nessa cooperativa Nem pessoal nem para comprar veículo. Muita burocracia</t>
  </si>
  <si>
    <t>Um ótimo banco com aplicativo seguro.</t>
  </si>
  <si>
    <t>Muito bem recebido</t>
  </si>
  <si>
    <t>Minha gerente Carla é a sua assistente Jessica são espetaculares, sempre me atendem com prontidão e agilidade.</t>
  </si>
  <si>
    <t>O melhor banco que conheço. Super indico</t>
  </si>
  <si>
    <t>Seguro expedido sem a minha autorização, agência física de difícil acesso, "call center" robotizado é ineficiente. Funcionária impaciente é mal educada atendendo no SAC.</t>
  </si>
  <si>
    <t>Banco que NÃO negocia. Passem bem longe.</t>
  </si>
  <si>
    <t>8,5</t>
  </si>
  <si>
    <t>pessimo! Para cobrar é uma beleza mas para o restante é pessimo! Atendimento horrível é super demorado…</t>
  </si>
  <si>
    <t>ótimo atendimento!</t>
  </si>
  <si>
    <t>Gratidão pelo sicoob</t>
  </si>
  <si>
    <t>Atendimento humanizado, espírito em resolver os problemas dos cooperados.</t>
  </si>
  <si>
    <t>Excelente atendimento tanto pelo whatsapp, quanto ligação, aplicativo funciona bem rápido para transferir ou fazer pagamento</t>
  </si>
  <si>
    <t>Ache um banco bom Atendimento bom</t>
  </si>
  <si>
    <t>Um banco muito bom para trabalhar, no meu caso faltou o credito.</t>
  </si>
  <si>
    <t>A melhor cooperativa que existem!</t>
  </si>
  <si>
    <t>Aprendi a gostar deste banco pois o atendimento  sempre é muito rápido é todos o funcionário  atende agente na maior educação  e presteza .</t>
  </si>
  <si>
    <t>Em geral, app pouco complicado.</t>
  </si>
  <si>
    <t>Atendimento perfeito.</t>
  </si>
  <si>
    <t>insatisfação</t>
  </si>
  <si>
    <t>Atendimento. é complicado fornecer emprestimo</t>
  </si>
  <si>
    <t>Pouco tempo que estou usando o Sicoob</t>
  </si>
  <si>
    <t>Respeito; atenção e rapidez!</t>
  </si>
  <si>
    <t>Pelo cooperativismo</t>
  </si>
  <si>
    <t>Um excelente banco</t>
  </si>
  <si>
    <t>Mais atenção aos questionamentos</t>
  </si>
  <si>
    <t>É preciso que a cooperativa seja mais humana com seus cooperados que estejam passando por dificuldades financeiras, senão se tornará igual aos outros Bancos. Sugiro que o cooperado nessa situação tenha acesso às linhas de credito normalmente (cheque especial, cartão de credito, empréstimos etc.), caso a sua inadimplência NÃO seja com a cooperativa.</t>
  </si>
  <si>
    <t>Sou cliente é gosto muito</t>
  </si>
  <si>
    <t>Vejo com muita clareza, a parceria que o Sicoob oferece,em detrimento dos bancos particulares.</t>
  </si>
  <si>
    <t>Muito eficiente</t>
  </si>
  <si>
    <t>Nunca obtive as respostas que eu precisava</t>
  </si>
  <si>
    <t>Muito bom, ótimas pessoas!!</t>
  </si>
  <si>
    <t>Bom atendimento,</t>
  </si>
  <si>
    <t>Achei que teria alguma linha de credito por receber o meu salário no Sicoob mas infelizmente NÃO tive</t>
  </si>
  <si>
    <t>Muito demorado para resolver certas questões</t>
  </si>
  <si>
    <t>nada em especial</t>
  </si>
  <si>
    <t>Disseram que eu receberia um cartão de credito</t>
  </si>
  <si>
    <t>Já precisei do Sicoob é fui muito bem atendida.</t>
  </si>
  <si>
    <t>A forma de trabalhar com o Sicoob é muito satisfatória. é o atendimento ao cooperativado tambem é muito bom.</t>
  </si>
  <si>
    <t>NÃO oferece credito</t>
  </si>
  <si>
    <t>Total desamparo da minha gerente. Até hoje NÃO recebi meu cartão. Duas vezes que precisei de assistência, falei com duas gerentes diferentes. Depositei 80 mil, é ninguem se preocupou em me ligar para poder aplicar esse valor (coisa que acontece no meu banco). NÃO tenho interesse em continuar sendo cliente/ sócio</t>
  </si>
  <si>
    <t>Muito informal gerente é sem conhecimento e sem vontade de trabalhar .Abri conta em planaltina DF faz 8 meses nunca me ligaram paguei 80.00 que estava para abrir conta nunca me mandaram cartão no me ligaram .muito informal</t>
  </si>
  <si>
    <t>Atendente muito prestativa</t>
  </si>
  <si>
    <t>Excelente atendimento e presteza em tudo que é solicitado. Minha agência é na Cidade de São João D'aliança - goiás.</t>
  </si>
  <si>
    <t>Fui cliente mas NÃO vi vantagem</t>
  </si>
  <si>
    <t>Contato direto com gerente é retorno imediato</t>
  </si>
  <si>
    <t>Estou em outro Estado é NÃO consigo desbloquear meu cartão</t>
  </si>
  <si>
    <t>Muita burocracia é pouco resultado.</t>
  </si>
  <si>
    <t>Maravilhoso</t>
  </si>
  <si>
    <t>Pela qualidade do atendimento é condições dos serviços.</t>
  </si>
  <si>
    <t>Gosto de trabalhar com o sistema do SICOOB</t>
  </si>
  <si>
    <t>Ok</t>
  </si>
  <si>
    <t>?</t>
  </si>
  <si>
    <t>Atendimento demorado, poucas opções de credito, gerente seletivo</t>
  </si>
  <si>
    <t>Falta de suporte e acompanhamento</t>
  </si>
  <si>
    <t>Cordialidade, prontidão é resolução de problemas.</t>
  </si>
  <si>
    <t>Experiências positivas</t>
  </si>
  <si>
    <t>NÃO tem dado oportunidade de crescimento para o empresário é consequentemente empresa</t>
  </si>
  <si>
    <t>Gosto do banco</t>
  </si>
  <si>
    <t>....</t>
  </si>
  <si>
    <t>NÃO dá credito ao cliente</t>
  </si>
  <si>
    <t>não recebi a resposta de uma solicitação</t>
  </si>
  <si>
    <t>O banco é excelente 😀</t>
  </si>
  <si>
    <t>muito difícil o acesso às coisas</t>
  </si>
  <si>
    <t>Pior banco que estive é infelicidade de ter conta</t>
  </si>
  <si>
    <t>Excelente atendimento ao cliente, satisfação total.</t>
  </si>
  <si>
    <t>Super atendimento.</t>
  </si>
  <si>
    <t>Eu já uso Sicoob é recomendo sim</t>
  </si>
  <si>
    <t>Falta de transparência quanto à TR no financiamento imobiliário.</t>
  </si>
  <si>
    <t>É um lugar tranquilo com pessoas engajadas, nos proporciona segurança e satisfação.</t>
  </si>
  <si>
    <t>Atendimento, pessoalidade, contas abertas participação</t>
  </si>
  <si>
    <t>Seriedade</t>
  </si>
  <si>
    <t>Pessoas ambientes agradáveis. Alguma melhorias na concessão de  credito é disponibilização de.talões de  cheque.</t>
  </si>
  <si>
    <t>Facilidade no relacionamento</t>
  </si>
  <si>
    <t>Cobrança de pacotes de serviço  sem entregá-los.</t>
  </si>
  <si>
    <t>Burocracia</t>
  </si>
  <si>
    <t>7</t>
  </si>
  <si>
    <t>estou gostando</t>
  </si>
  <si>
    <t>O banco de maneira geral é muito bom!</t>
  </si>
  <si>
    <t>Poucos limite  de credito em outra cooperativa bem mais alto</t>
  </si>
  <si>
    <t>Muita agilidade no aplicativo é bem como muita receptividade dos seus colaboradores</t>
  </si>
  <si>
    <t>Rapidez e cordialidade</t>
  </si>
  <si>
    <t>Pouco apoio ao cliente</t>
  </si>
  <si>
    <t>A ´PRESTEZA e eficiência NO ATENDIMENTO</t>
  </si>
  <si>
    <t>Indicaria sim</t>
  </si>
  <si>
    <t>respeito...</t>
  </si>
  <si>
    <t>É um banco para todos</t>
  </si>
  <si>
    <t>Trava o tempo todo o app</t>
  </si>
  <si>
    <t>NÃO gostei do modelo da  agência de Águas Claras. Estou migrando para o Itaú.</t>
  </si>
  <si>
    <t>tem que melhorar muito mas já vindo com creditos automáticos</t>
  </si>
  <si>
    <t>Devido um bom atendimento é as menores taxas de juro</t>
  </si>
  <si>
    <t>sei la pouca vezes que precisei NÃO fui muito sucedido</t>
  </si>
  <si>
    <t>sempre muito solicito meu gerente de conta</t>
  </si>
  <si>
    <t>Uma família</t>
  </si>
  <si>
    <t>Esse banco muito bom</t>
  </si>
  <si>
    <t>Incrível</t>
  </si>
  <si>
    <t>Facilidade, melhores taxas é comprometimento com o cliente.</t>
  </si>
  <si>
    <t>é o melhor banco</t>
  </si>
  <si>
    <t>O gerente Pedro Lima de Campos Altos, muito prestativo! Sem pronto para te atender da melhor forma possível!</t>
  </si>
  <si>
    <t>Bom atendimento, bom app, credito com boas taxas, funcionários atenciosos é colaborativos.</t>
  </si>
  <si>
    <t>Porque é bom</t>
  </si>
  <si>
    <t>Atendimento e resolução de problemas horrível!!!</t>
  </si>
  <si>
    <t>Facilidade em abrir a conta. Profissionais qualificados é sempre dispostos a ajudar.</t>
  </si>
  <si>
    <t>Transparência e segurança</t>
  </si>
  <si>
    <t>Banco muito bom, ótimo atendimento. Porem tive um problema é NÃO foi resolvido</t>
  </si>
  <si>
    <t>Ótimo atendimento é profissionalismo</t>
  </si>
  <si>
    <t>Nunca consegui nada de benefício com o banco</t>
  </si>
  <si>
    <t>Constantes problemas de cobrança de compras com cartão de credito NÃO desbloqueado. Dificuldade em solucionar problemas via telefone.</t>
  </si>
  <si>
    <t>bom atendimento é taxas menores!</t>
  </si>
  <si>
    <t>atendimento de excelência</t>
  </si>
  <si>
    <t>Me indicaram o sicoob, na verdade umas clientes minhas, é meu primo, mas fiquei decepcionado, pois consultaram meu cpf é NÃO liberaram nada para mim, gerente nunca entrou em contato comigo, nem para falar o que eu poderia fazer para melhorar o relacionamento enfim, até meu primo de 20 anos conseguiu credito é eu NÃO, é olhe que não tenho nome sujo.</t>
  </si>
  <si>
    <t>Aplicativo muito difícil de usar</t>
  </si>
  <si>
    <t>A cooperativa se preocupa com o cooperado, por esse motivo, sinto confiança em estar aqui é ser cooperativista. Faço questão de falar para as pessoas do bem estar que é estar aqui.</t>
  </si>
  <si>
    <t>Zero ainda é muito, atendimento horrível NÃO dá a opção de trocar o Número de telefone no aplicativo é nunca tive sequer um atendimento do banco.</t>
  </si>
  <si>
    <t>A gerência nunca ajuda, nunca mesmo.</t>
  </si>
  <si>
    <t>Sicoob é um banco que tem atendimento personalizado, individual é boas taxas</t>
  </si>
  <si>
    <t>ESTOU SATISFEITO NO ATENDIMENTO</t>
  </si>
  <si>
    <t>Taxa de manutenção de conta muito alta.</t>
  </si>
  <si>
    <t>Boas taxas de juros</t>
  </si>
  <si>
    <t>Dificuldade de credito</t>
  </si>
  <si>
    <t>O melhor banco com taxas mais baratas, atendimento mais humanizado, como consequência eu indico sem medo.</t>
  </si>
  <si>
    <t>Taxa muito alta de emprestimo</t>
  </si>
  <si>
    <t>Inovador prático e eficiente.</t>
  </si>
  <si>
    <t>Muita dificuldade na liberação de credito,  seja na PF ou na PJ. Alem de quase NÃO haver benefícios. O sistema oscila muito é NÃO é confiável.</t>
  </si>
  <si>
    <t>Atendimento rápido e atencioso</t>
  </si>
  <si>
    <t>SICOOB CREDIEMBRAPA</t>
  </si>
  <si>
    <t>Bom atendimento é clareza.</t>
  </si>
  <si>
    <t>Entendo ser uma nota razoável para boa</t>
  </si>
  <si>
    <t>considero uma nota boa</t>
  </si>
  <si>
    <t>Sucesso....</t>
  </si>
  <si>
    <t>Sempre que eu precisei Fui bem atendido</t>
  </si>
  <si>
    <t>A eficiência, bom atendimento, aplicativos de boa compreensão, logística é fácil acesso.</t>
  </si>
  <si>
    <t>Gosto do atendimento, mas sempre tem algo a melhorar principalmente para os atendimentos de fora de Brasília.</t>
  </si>
  <si>
    <t>Bom atendimento e rapidez no processo</t>
  </si>
  <si>
    <t>Juros baixo</t>
  </si>
  <si>
    <t>A cooperativa é excelente! Atendimento rápido e eficaz.</t>
  </si>
  <si>
    <t>Rapidez no atendimento, cordialidade,   interesse em resolver os problemas do cliente é principalmente por ter tudo que eu preciso em uma Instituição Financeira.</t>
  </si>
  <si>
    <t>Proposta de cooperativa é excelente para todos.</t>
  </si>
  <si>
    <t>Jamais recomendaria injustiça financeira é anti prosperidade para qualquer conhecido</t>
  </si>
  <si>
    <t>Atende todas as minhas prioridades</t>
  </si>
  <si>
    <t>NÃO oferece muitas vantagens como cooperativa, as que têm são de pouco valor para os cooperados ou quando tem valor é um sorteio onde somente um sai beneficiado!!</t>
  </si>
  <si>
    <t>Gosto do atendimento, assim mesmo muitas das vezes NÃO ficando satisfeito.</t>
  </si>
  <si>
    <t>não obtive retorno nos esclarecimentos que pedi!</t>
  </si>
  <si>
    <t>Facilidade de contratar, quitar empréstimos, contatar pessoas pelo whatsapp...</t>
  </si>
  <si>
    <t>NÃO me orgulho mais do Sicoob diante de alguns fatos.</t>
  </si>
  <si>
    <t>já foi era que o SIcoob era bom para os cooperados</t>
  </si>
  <si>
    <t>Cooperativa NÃO permite adesão a todos as linhas de credito, NÃO há proatividade na oferta de serviços é consultoria financeira. NÃO há um entendimento razoável por parte dos atendentes. Demora na análise de credito. Atendimento superficial é sem contato com a gerência.</t>
  </si>
  <si>
    <t>Respeito ao cliente....</t>
  </si>
  <si>
    <t>Atendimento super legal!</t>
  </si>
  <si>
    <t>Bom atendimento é credibilidade, avanço do cooperativismo.</t>
  </si>
  <si>
    <t>atendimento , se tivesse resposta mais rápida seria melhor</t>
  </si>
  <si>
    <t>Por oferecer um excelente atendimento</t>
  </si>
  <si>
    <t>Banco muito ruim</t>
  </si>
  <si>
    <t>O sicoob sempre me tratou com respeito.</t>
  </si>
  <si>
    <t>Sempre fui bem atendido é sempre indico.</t>
  </si>
  <si>
    <t>Tenho tido bom atendimento quando precis...</t>
  </si>
  <si>
    <t>nesses dias fui até uma agência do sicoob é NÃO tinha um caixa eletrônico, como um banco NÃO possui o seu próprio caixa eletrônico? tive que enfrentar a fila do caixa, é acabei indo embora, pois NÃO consegui esperar, nessa agência possuía um caixa, por isso fui lá.</t>
  </si>
  <si>
    <t>parceria com o cliente</t>
  </si>
  <si>
    <t>Há burocracia excessiva para resolver questões simples.</t>
  </si>
  <si>
    <t>Prontidão é clareza nas informações.</t>
  </si>
  <si>
    <t>Melhorou muito. É um banco fácil de mexer.</t>
  </si>
  <si>
    <t>Banco sem responsabilidade, sem ética. Comprei um Consórcio dentro do Sicoob, vendido por um gerente do Sicoob é quando a gente quer tratar o assunto NÃO é com eles</t>
  </si>
  <si>
    <t>Sempre que necessário todas as vezes que preciso da instituição financeira nunca fui mal atendido.. o o que tenho para resolver sempre sou 100% satisfeito.  Att,  Carlos Alberto Monte Verde Pinheiro Embrapa Amapá - Matrícula 252.306</t>
  </si>
  <si>
    <t>Serviços eficientes com segurança é atendimento prestativo é cordial.</t>
  </si>
  <si>
    <t>atendimento imediato.</t>
  </si>
  <si>
    <t>NÃO procuram resolver certos  problemas NÃO temos respostas pelo menos</t>
  </si>
  <si>
    <t>Atendimento pessimo é extremamente lento</t>
  </si>
  <si>
    <t>O bom serviço prestado.</t>
  </si>
  <si>
    <t>O atendimento gerencial é muito ruim para empresas</t>
  </si>
  <si>
    <t>sou associado com vocês, já paguei todo o meu debito mais de 01 ano, mas até o momento NÃO retornaram o meu credito.</t>
  </si>
  <si>
    <t>O banco é muito bom mas é o único banco que até hoje NÃO me deu linha de credito. Como pode isso. . se tivesse usaria bem mais o app</t>
  </si>
  <si>
    <t>precisa melhorar o atendimento on line</t>
  </si>
  <si>
    <t>Precisa melhorar os acessos é comunicação, quando se está fora do domicílio bancário é, se precisa fazer algum serviço ou informação em alguma agência fora do domicílio bancário ou outra cooperativa do sistema Sicoob.</t>
  </si>
  <si>
    <t>até o momento atendimento maravilhoso</t>
  </si>
  <si>
    <t>Limitação nas operações financeiras. O banco NÃO gosta nem é muito chegado a empréstimos é negociações é situações que NÃO favoreçam o próprio banco.</t>
  </si>
  <si>
    <t>Porque é um banco que está sempre nos ajudar é tem um excelente atendimento</t>
  </si>
  <si>
    <t>Melhor banco do Brasil</t>
  </si>
  <si>
    <t>confiabilidade</t>
  </si>
  <si>
    <t>tem certos procedimentos que eu NÃO concordo</t>
  </si>
  <si>
    <t>Na minha avaliação, raras instituições receberiam nota 10. O Sicoob precisa melhorar a qualidade no atendimento</t>
  </si>
  <si>
    <t>Sempre fui bem recepcionado é atendido na cooperativa Sicoob por isso estamos de parabéns</t>
  </si>
  <si>
    <t>Por conta do bom atendimento que a cooperativa nos dispensa...</t>
  </si>
  <si>
    <t>atendimento eficiente, pronta resposta, opções de solução financeira</t>
  </si>
  <si>
    <t>Atendimento ruim, nada de cooperativismo</t>
  </si>
  <si>
    <t>Porque é uma instituição, responsável, confiável é seria. Vê as pessoas, vai Alem de Números..</t>
  </si>
  <si>
    <t>O serviço de excelência prestado pelo Sicoob.</t>
  </si>
  <si>
    <t>A falta de comunicação, de empatia é porque a Cooperativa age completamente igual aos outros bancos antigos. Infelizmente 😔 me arrependo</t>
  </si>
  <si>
    <t>Na hora de pagar as dívidas do banco o correntista é solicitado a participar mas na hora de perguntar se queremos que a agência vire virtual a conduta NÃO é igual</t>
  </si>
  <si>
    <t>Versatilidade. O atendimento whatsapp agiliza demais!</t>
  </si>
  <si>
    <t>tem um excelente atendimento.</t>
  </si>
  <si>
    <t>Uso o cartão. Gosto.</t>
  </si>
  <si>
    <t>NÃO liberou credito para mim</t>
  </si>
  <si>
    <t>Muita burocracia comparando com banco particulares é público</t>
  </si>
  <si>
    <t>Gosto muito</t>
  </si>
  <si>
    <t>Falta uma política mas social , juros mais baixos</t>
  </si>
  <si>
    <t>Banco concreto colaboradores prestativo é atenciosos</t>
  </si>
  <si>
    <t>o Sicoob é nota 1000</t>
  </si>
  <si>
    <t>Já tenho a conta desde 2019 é sempre o mesmo limite no cartão é sem nenhuma linha de credito, mesmo movimentando a conta é usando o cartão de credito!</t>
  </si>
  <si>
    <t>Prezado, NÃO entendo o envio desse NPS, NÃO adquirir nada no sicoob é NÃO tenho serviços na instituição. Tive uma conta a muito tempo atras, que esta desativada</t>
  </si>
  <si>
    <t>gostaria de dar nota 10. Mas fico em dúvida se os cartões Sicoob NÃO deveriam retornar cashback.</t>
  </si>
  <si>
    <t>não tem surpresa nos produtos.</t>
  </si>
  <si>
    <t>Adoro resolver tudo rapidinho é sem burocracia. Estão de parabéns!</t>
  </si>
  <si>
    <t>dificuldade c</t>
  </si>
  <si>
    <t>Agradeço pela atenção de vocês no meu momento.</t>
  </si>
  <si>
    <t>processos complicado para saque dinheiro no ATM</t>
  </si>
  <si>
    <t>NÃO conheço bem o SICOOB, por isso a nota.</t>
  </si>
  <si>
    <t>Muita burocracia é demora para NÃO atender o cliente, NÃO por falta de produto, mas sim por falta de praticidade de querer resolver a situação, os bancos grandes, são grandes porque NÃO tem toda essa burocracia, pois NÃO tem os melhores produtos, então NÃO adianta ter ótimos produtos se o processo para chegar até o final é para fazer o cliente desistir. Muito decepcionado com a cooperativa, pois sou muito incentivador do cooperativismo na área financeira!</t>
  </si>
  <si>
    <t>O atendimento via whatsapp ainda é muito precário é demorado.</t>
  </si>
  <si>
    <t>Dificuldade de Agências.</t>
  </si>
  <si>
    <t>A equipe NÃO tem eficácia, processos são lentos, a comunicação é difícil. É difícil de entender o organograma da agência. 0800 sem nenhuma proatividade.</t>
  </si>
  <si>
    <t>NÃO estou vendo muitas vantagens</t>
  </si>
  <si>
    <t>não valoriza seus clientes</t>
  </si>
  <si>
    <t>O SICOOB É UMA INSTITUIÇÃO SeRIA, POR ISSO EU FALO PAR DA FAMÍLIA SICOOB</t>
  </si>
  <si>
    <t>bom atendim</t>
  </si>
  <si>
    <t>O atendimento dos profissionais  que NÃOs atende , junto a essa instituição</t>
  </si>
  <si>
    <t>ATENDIMENTO EXCELENTE</t>
  </si>
  <si>
    <t>só em NÃO ter fila já é alguma coisa.</t>
  </si>
  <si>
    <t>Demora em resolver.</t>
  </si>
  <si>
    <t>Entendendo que haja busca da segurança nas transações com o Banco, Porem, penso que a obrigatoriedade do uso de celular para muitas operações NÃO seja um requisito imprescindível. Impor ao cliente o uso de celular para fazer operações em terminal ATM seja uma exposição a risco pessoal.</t>
  </si>
  <si>
    <t>Negociação</t>
  </si>
  <si>
    <t>é um ótimo  banco</t>
  </si>
  <si>
    <t>Atendimento personalizado é presteza.</t>
  </si>
  <si>
    <t>Está no caminho mas há muito o que evoluir ainda.</t>
  </si>
  <si>
    <t>Atendimento NÃO ouve a gente, só fala besteira</t>
  </si>
  <si>
    <t>Pelo fato de ser uma associação</t>
  </si>
  <si>
    <t>Muito complicado resolver as coisa nesse banco. Tudo que se vai resolver tem que ligar. Os bancos nas capitais NÃO tem autonomia para fazer muita coisa</t>
  </si>
  <si>
    <t>Agilidade no tratamento com os clientes é resolução rápida  de problemas</t>
  </si>
  <si>
    <t>Horrível! Mesmo com movimentação na conta, sem nenhuma restrição, score alto, é NÃO liberaram nenhum limite. Enquanto outros bancos que abri, já mandaram com limite alto.</t>
  </si>
  <si>
    <t>Burocrático demais para liberação de empréstimos.</t>
  </si>
  <si>
    <t>site muito ruim</t>
  </si>
  <si>
    <t>Atenção é personalização no atendimento</t>
  </si>
  <si>
    <t>Atendimento personalizado da gerente Karoline</t>
  </si>
  <si>
    <t>Facilidade que tive nas aberturas de contas física é empresarial, inclusive sem taxa.</t>
  </si>
  <si>
    <t>Pela burocracia.  Toda vez que preciso que alguma coisa tenho que atualizar cadastro sendo que os dados NÃO mudaram</t>
  </si>
  <si>
    <t>Atendimento demorado. Já faz quase uma semana que solicito um consignado é até agora nada. Antes era praticamente no mesmo dia. Vou acabar fazendo em outro banco, assim como já fiz anteriormente. No whatsapp tambem é uma enrolação, tudo demora, tem que solicitar várias vezes a mesma coisa, o atendente parece que esquece o que está sendo solicitado. Sinto falta do atendimento que era dado anteriormente aos seus associados, onde éramos atendidos rapidamente, é sem precisar dizer para quê estava solicitando credito. Se tem margem para o credito, que enrolação é essa?</t>
  </si>
  <si>
    <t>por que os são educado é eu sou atendido logo</t>
  </si>
  <si>
    <t>Presteza no atendimento.</t>
  </si>
  <si>
    <t>Gosto dos produtos do SICOOB é do atendimento, mesmo virtual</t>
  </si>
  <si>
    <t>Fácil relacionamento, menos taxas é maior atenção dedicada ao cliente.</t>
  </si>
  <si>
    <t>Melhorar beneficio</t>
  </si>
  <si>
    <t>Acho que o serviço piorou depois que virou online, o chat demora demais toda hora o limite cai, limite de transação muito baixa, todo m6es temos que liberar cartão internacional, excesso de segurança que NÃO condiz com a praticidade que um banco atual deve ter.</t>
  </si>
  <si>
    <t>Sempre sou bem atendida é solucionado os problemas com agilidade é clareza.</t>
  </si>
  <si>
    <t>Tenho excelente relacionamento com o Sicoob/Crediembrapa, todas as vezes que recorro com demandas sou sempre muito bem atendido! Serviço de Auta qualidade! NÃO trocaria por outro Banco. Por isso o grau 10 para recomendação.</t>
  </si>
  <si>
    <t>Instituição de respeito, sem muita burocracia é tarifas mais em conta é com todas as vantagens de um banco.</t>
  </si>
  <si>
    <t>Pelo compromisso que o Sicoob tem prestado, bom atendimento é agilidade nos serviços prestados.</t>
  </si>
  <si>
    <t>Precisei de uma informação é fui pessimamente atendido, NÃO recebo extrato</t>
  </si>
  <si>
    <t>Bom atendimento é serviços atrativos</t>
  </si>
  <si>
    <t>Qualidade no atendimento.</t>
  </si>
  <si>
    <t>a demora para resposta</t>
  </si>
  <si>
    <t>Pela excelência em prestação de serviços em todos os sentidos.</t>
  </si>
  <si>
    <t>Bons produtos é a facilidade de operar com o SICOOB</t>
  </si>
  <si>
    <t>O atendimento é ótimo mas a liberação de emprestimo emergencial é demorada</t>
  </si>
  <si>
    <t>Consistência, valores, taxas uma excelente instituição financeira.</t>
  </si>
  <si>
    <t>Todas as minhas solicitações são atendidas pontualmente!</t>
  </si>
  <si>
    <t>NÃO utilizei completamente os serviços totais da Sicoob, apenas pago o auxílio funeral.</t>
  </si>
  <si>
    <t>sempre que eu precisei o sicoob mim ajudou</t>
  </si>
  <si>
    <t>Sempre recebo ótimos atendimentos, Ótima credibilidade tambem.</t>
  </si>
  <si>
    <t>bom investimento</t>
  </si>
  <si>
    <t>Recomendo porque me ajudou muito na que mais precisei</t>
  </si>
  <si>
    <t>São necessidades específicas para cada um é portanto depende da cesta de opções oferecida que se adaptam ao cliente.</t>
  </si>
  <si>
    <t>Sou o dono!!!</t>
  </si>
  <si>
    <t>O Sicoob é de grande importância para nos</t>
  </si>
  <si>
    <t>Sou Cliente é sempre obtive soluções no SICOOB.</t>
  </si>
  <si>
    <t>Esse banco sicoob sim é um banco ótimo</t>
  </si>
  <si>
    <t>Atendimento, confiabilidade, vantagens nas aplicações.</t>
  </si>
  <si>
    <t>Na cooperativa tudo é muito difícil de resolver, depende do conselho tudo nada é direcionado para cooperado de baixa renda do para os grandes da Embrapa!!!</t>
  </si>
  <si>
    <t>Atendimento efetuado com rapidez é de forma eficiente.</t>
  </si>
  <si>
    <t>Estou muito satisfeito com o trabalho do SICOOB.</t>
  </si>
  <si>
    <t>Excelente atendimento facilidade nas previsões quando solicitado , muito satisfeito.</t>
  </si>
  <si>
    <t>Pelo Excelente atendimento aos  cooperados é  isso faz a diferença!</t>
  </si>
  <si>
    <t>Bom atendimento na agência</t>
  </si>
  <si>
    <t>Tenho perspectivas de trabalhar com taxas mais favoráveis.</t>
  </si>
  <si>
    <t>É 10</t>
  </si>
  <si>
    <t>A Sicoob tem um bom serviço</t>
  </si>
  <si>
    <t>Sempre fui bem atendido em meus pleitos pelo Sicoob.</t>
  </si>
  <si>
    <t>Banco bom você copeira bom para futuro</t>
  </si>
  <si>
    <t>Oferece um Serviço justo é honesto, com muita credibilidade.</t>
  </si>
  <si>
    <t>É uma bom banco.... Mas tem dia que vcs estão corpo mole é morosidade...</t>
  </si>
  <si>
    <t>O banco é bom</t>
  </si>
  <si>
    <t>Fiquei muito surpresa ao saber que, ao fechar minha conta, NÃO posso automaticamente resgatar o meu dinheiro que está na conta capital. Fui informada que só há uma liberação por ano é ainda de forma parcelada. Achei muito revoltante NÃO ter acesso ao meu dinheiro</t>
  </si>
  <si>
    <t>é MUITO  BOM</t>
  </si>
  <si>
    <t>Atendimento personalizado, normalmente sou atendido nas minhas solicitações de esclarecimentos é orientado quanto aos procedimentos de forma atenciosa é educada. NÃO é 10 por que sempre pode melhorar, principalmente quanto à rapidez de atendimento.</t>
  </si>
  <si>
    <t>NÃO tem nada de cooperativismo</t>
  </si>
  <si>
    <t>Excelência dos serviços é atendimentos.</t>
  </si>
  <si>
    <t>Bom dia! Solicitei o cancelamento da conta é cartão de credito a meses é até hoje NÃO foi cancelada, solicito o cancelamento urgente é retorno.</t>
  </si>
  <si>
    <t>Sempre fui bem atendida por todos os funcionários é, no último atendimento fui bem orientada é esclarecida sobre a contratação prática é segura de credito consignado. A Equipe Sicoob está de parabéns!</t>
  </si>
  <si>
    <t>Indicação de ótimos serviços é produtos</t>
  </si>
  <si>
    <t>Sempre pronto em atender as demandas ... resposta rápida.</t>
  </si>
  <si>
    <t>Excelente cooperativa.</t>
  </si>
  <si>
    <t>Cooperativismo.</t>
  </si>
  <si>
    <t>É uma excelente cooperativa.</t>
  </si>
  <si>
    <t>Burocrático</t>
  </si>
  <si>
    <t>aplicativo é top é a ti deles eh muito eficiente</t>
  </si>
  <si>
    <t>Aumentar a segurança para poder simplificar os serviços oferecidos aos clientes.</t>
  </si>
  <si>
    <t>O Sicoob é sempre 10 em tudo.</t>
  </si>
  <si>
    <t>Atendimento é conhecimento.</t>
  </si>
  <si>
    <t>Atendimento Alem da expectativa. Segurança.</t>
  </si>
  <si>
    <t>Tentei tirar o dinheiro da conta capital que é meu é todos atendentes quiseram atrelar esse resgate a atualização cadastral, o que tem haver liberação de meu dinheiro com atualização cadastral. NÃO só NÃO indico como estou fazendo propaganda contra</t>
  </si>
  <si>
    <t>NÃO tenho contato do meu gerente a mais de um ano !Como posso recomendar .</t>
  </si>
  <si>
    <t>Uma conta (do mesmo tipo é agência da conta que eu possuo) foi aberta em meu nome, sem minha solicitação</t>
  </si>
  <si>
    <t>Rápido atendimento</t>
  </si>
  <si>
    <t>Sempre fui bem atendido</t>
  </si>
  <si>
    <t>atendimento, juros mais baixos é boas ofertas de credito</t>
  </si>
  <si>
    <t>O pessimo atendimento</t>
  </si>
  <si>
    <t>RECOMENDARIA</t>
  </si>
  <si>
    <t>Pronto atendimento no canal on line. Espero que seja seguro, que esteja seguro as nossas informações.</t>
  </si>
  <si>
    <t>Está bom, mas pode melhorar muito</t>
  </si>
  <si>
    <t>Pq é muito ágil nas demandas de NÃOs clientes.</t>
  </si>
  <si>
    <t>excelência</t>
  </si>
  <si>
    <t>Minha Cooperativa é a 4198, é recentemente pedi o encerramento da minha conta por entender que a Cooperativa vem perdendo a essência do Cooperativismo em, contribuir para o desenvolvimento dos negócios, esquecendo-se de manter um atendimento mais humanizado. Entendo que devemos sempre aproveitar o melhor da Tecnologia, mais NÃO acredito que a mesma deve ser usada para substituir um bom relacionamento entre Cooperativa e Cooperado.</t>
  </si>
  <si>
    <t>FALTA DE SISTEMA FÍSICO, PARA TRATARMOS OLHANDO NO OLHOS</t>
  </si>
  <si>
    <t>Atendimento Prático é Rápido !</t>
  </si>
  <si>
    <t>Agilidade nos processos é rapidez nas solicitações.</t>
  </si>
  <si>
    <t>agilidade no atendimento, aplicativo de fácil utilização é segurança</t>
  </si>
  <si>
    <t>versatilidade é confiança</t>
  </si>
  <si>
    <t>É muito bom. Ao mesmo tempo, há outros bancos como SICREDI, bem como bancos digitais que oferecem benefícios semelhantes. é, em alguns casos, atendimentos mais rápidos.</t>
  </si>
  <si>
    <t>É uma cooperativa de credito em que você tambem é dono. tem todos os recursos que um banco convencional tem é cobra taxas mais baixas.</t>
  </si>
  <si>
    <t>Sou muito bem atendido.</t>
  </si>
  <si>
    <t>Eu NÃO tenho conta com vcs. Tenho? Por favor, veja se tem algum cadastro em meu nome.</t>
  </si>
  <si>
    <t>o banco atende todas as minhas demandas de forma rápida é humana, sinto que faço parte de uma cooperativa</t>
  </si>
  <si>
    <t>Estou tentando sair da Cooperativa faz tempo é NÃO consigo. Então, como posso indicar para uma pessoa entrar para uma cooperativa da qual ele ficará refem? Se tiverem uma solução ou contato para onde eu possa telefonar ou escrever, meu é-mail é marciapreis@gmail.com. Obrigada</t>
  </si>
  <si>
    <t>Atenção, excelente atendimento, agilidade nas respostas.</t>
  </si>
  <si>
    <t>Sempre me ajuda quando preciso é nunca me deixou na mão</t>
  </si>
  <si>
    <t>Rapidez e eficiência.</t>
  </si>
  <si>
    <t>Rapidez no atendimento.</t>
  </si>
  <si>
    <t>Juros da minha cooperativa são mais altas que a de todos os bancos. Cooperativa deveria ser melhor que os bancos para os clientes.</t>
  </si>
  <si>
    <t>Sempre bem atendida por todos, principalmente por minha gerente Sâmia. Super satisfeita com tudo que oferecem é resolvem.</t>
  </si>
  <si>
    <t>A demora no atendimento</t>
  </si>
  <si>
    <t>Excelente atendimento, taxas ótimas.</t>
  </si>
  <si>
    <t>Parabenizo  o Atendente Alex por sua gentileza objetividade é atenção. Boa tarde</t>
  </si>
  <si>
    <t>Boa tarde, o Banco está deixando a deseja entrei com o documento é BO,  que levei um golpe em 18/05/2023, até presente data NÃO tiver resposta.</t>
  </si>
  <si>
    <t>Bom atendimento. Investimentos ok.</t>
  </si>
  <si>
    <t>Confiabilidade e agilidade.</t>
  </si>
  <si>
    <t>Prestatividade</t>
  </si>
  <si>
    <t>excelência dos serviços prestados</t>
  </si>
  <si>
    <t>O melhor atendimento em todos os meu problemas</t>
  </si>
  <si>
    <t>satisfatório</t>
  </si>
  <si>
    <t>Sempre que precisei fui bem atendido pela equipe do Sicoob</t>
  </si>
  <si>
    <t>empresa conceituada, competentes profissionais</t>
  </si>
  <si>
    <t>Poderia melhorar o tempo de solicitação de empréstimos é tornar o site é o app mais tecnológico/independente</t>
  </si>
  <si>
    <t>Acho o atendimento bom , principalmente pelo whatsApp</t>
  </si>
  <si>
    <t>Mudanças de regras no meio do jogo baixa a credibilidade do sistema.</t>
  </si>
  <si>
    <t>Atendimento agilidade</t>
  </si>
  <si>
    <t>Já foi melhor</t>
  </si>
  <si>
    <t>Eu indiquei o banco para uma parente infelizmente a experiência dela NÃO foi tão boa como eu tanto mencionei para ela. O banco NÃO oferece nenhum credito para trabalharem aumentando a burocracia. Enfim NÃO tive experiência boa.</t>
  </si>
  <si>
    <t>Ótima</t>
  </si>
  <si>
    <t>Deixa a desejar</t>
  </si>
  <si>
    <t>Estou satisfeita com os serviços do Banco</t>
  </si>
  <si>
    <t>ótimo Banco</t>
  </si>
  <si>
    <t>Dou 08 pq é muito limitado aos limites de credito, principalmente no que tange o limite de cartão. Alguns serviços NÃO são disponíveis ainda como o apple pay.</t>
  </si>
  <si>
    <t>Muita burocracia, na nubank resolvemos as coisas de forma simples.</t>
  </si>
  <si>
    <t>Credibilidade, atendimento</t>
  </si>
  <si>
    <t>resposta rápida</t>
  </si>
  <si>
    <t>Durante todos os anos que fui correntista, achei que fosse o melhor banco, mas estava totalmente enganado, ainda possuo conta com vcs, mas vou encerrá-las o mais rápido possível é NÃO indico para ninguem.</t>
  </si>
  <si>
    <t>Confiança, presteza no atendimento, educação dos atendentes é eficiência na solução dos problemas.</t>
  </si>
  <si>
    <t>Nove</t>
  </si>
  <si>
    <t>Sempre fui bem atendida.</t>
  </si>
  <si>
    <t>Excelente tratamento para com o cliente</t>
  </si>
  <si>
    <t>Ausência de negociação de dívida,  a instituição prefere radicalizar.</t>
  </si>
  <si>
    <t>Responsabilidade é competência.</t>
  </si>
  <si>
    <t>A qualidade de é rapidez no atendimento. Alem da forma simpática da/o atendente durante o atendimento.</t>
  </si>
  <si>
    <t>pela competência dos funcionários da cooperativa São rápido é resolvem em tempo hábil que agente precisa</t>
  </si>
  <si>
    <t>Atendimento, tanto presencial quanto pelos canais de atendimento.</t>
  </si>
  <si>
    <t>Tenho um aplicação no Sicoob embrapa.é NÃO consigo reaver o dinheiro.</t>
  </si>
  <si>
    <t>NÃO dar credito, muito menos emprestimo uso essa instituição faz 4 anos. Nunca me agregaram em nada(obs:meu nome é é sempre foi limpo)</t>
  </si>
  <si>
    <t>Deve melhorar na agilidade de atendimento</t>
  </si>
  <si>
    <t>conheço o sistema, A RENOVAÇÃO DE OQS, será fundamental para nossa sobrevivência, tenho dito que precisamos investir na formação de crianças antes que cheguem na idade adulta, defendi minha tese no MBA Gestão Estrategica em Cooperativa onde entreguei meu TCC, que ´plantar uma semente agora para colher depois.</t>
  </si>
  <si>
    <t>Excelente instituição</t>
  </si>
  <si>
    <t>Bom dia,o motivo É sempre  que eu precisei, fui bem atendido!</t>
  </si>
  <si>
    <t>Criterios para liberação de valores que associado possui na conta capital.</t>
  </si>
  <si>
    <t>Quase tudo muito bom, somente atendimento telefônico deveria melhorar</t>
  </si>
  <si>
    <t>O atendimento é à presteza na resolução de problemas.</t>
  </si>
  <si>
    <t>NÃO estou satisfeito</t>
  </si>
  <si>
    <t>A nota 6</t>
  </si>
  <si>
    <t>Colaboradores atendem bem</t>
  </si>
  <si>
    <t>Pelo ao menos na agência onde tenho conta, as meninas do atendimento são muito atenciosa e procuram agilizar ao máximo a solução do solicitado pelo cliente. Só NÃO dou uma nota 10 porque o atendimento da maioria dos atendentes no telefone geral da agência, precisa ser no mesmo Nível de atendimento das meninas da agência. O atendimento é meio robotizado... parece que respondem lendo um manual de instrução.</t>
  </si>
  <si>
    <t>Me gusta muito sicoob</t>
  </si>
  <si>
    <t>Show 👏🏾</t>
  </si>
  <si>
    <t>A demora para atender é analisar propostas de empréstimos passou de 3 dias úteis para quase duas semanas</t>
  </si>
  <si>
    <t>O Sicoob NÃO tem integração entre agências é o atendimento é sempre muito lento. Às vezes, para conseguir uma informação simples, fico horas no WhatsApp. Para solicitar um emprestimo consignado, é preciso esperar por dias para uma análise. Então, por isso, pensaria muito antes de indicar o Sicoob.</t>
  </si>
  <si>
    <t>Só NÃO é 10 por ainda demorar um pouco no retorno das demandas.</t>
  </si>
  <si>
    <t>Serviços estão degradados</t>
  </si>
  <si>
    <t>É um ótimo Banco pela atenção e eficiência, Alem  da educação  de seus funcionários</t>
  </si>
  <si>
    <t>Facilidade, praticidade e atendimento diferenciado.</t>
  </si>
  <si>
    <t>Bons serviços prestados.</t>
  </si>
  <si>
    <t>NÃO sou cliente, como posso indicar algo que NÃO conheço...</t>
  </si>
  <si>
    <t>sou muito bem atendido</t>
  </si>
  <si>
    <t>Eficiência na resolução do problema.</t>
  </si>
  <si>
    <t>Ao pouco relacionamento</t>
  </si>
  <si>
    <t>O atendimento, alguns serviços que uso, 1e outros. Só acho ruim a central de cartões, complicada demais para ser atendido por um atendente humano.</t>
  </si>
  <si>
    <t>NÃO tem VANTAGEM NENHUMA SER COOPERADO. COOPERADO SÓ tem OBRIGAÇÕES NÃO tem DIREITO A NADA, NEM MESMO A UTILIZAR SUA CONTA CAPITAL NUM MOMENTO DE EMERGÊNCIA.</t>
  </si>
  <si>
    <t>O aplicativo é seguro e eficiente</t>
  </si>
  <si>
    <t>Falhas grandes em processo de financiamento de imóveis!</t>
  </si>
  <si>
    <t>adoro o sistema cooperativo</t>
  </si>
  <si>
    <t>Muito difícil de mexer no app NÃO dá limite sem utilidade nem uma para mim</t>
  </si>
  <si>
    <t>Sem comunicação NÃO tem negócio!</t>
  </si>
  <si>
    <t>Limitados nas operações de credito é limites de cartão de credito. Alguns serviços ainda NÃO são disponíveis como Apple pay é tambem aplicação automática da conta corrente em CDI. Burocracias que impedem o crescimento das Cooperativas, como por exemplo auditorias fiscalizadoras que só funcionam no Sicoob, pq em outras IFs é levando em consideração o tempo de relacionamento. Muita burocracia desnecessária.</t>
  </si>
  <si>
    <t>É um banco muito confiável.</t>
  </si>
  <si>
    <t>Acredito é gosto do cooperativismo, no entanto, o Sicoob está mais para um banco do que cooperativa.</t>
  </si>
  <si>
    <t>Distância do cliente.</t>
  </si>
  <si>
    <t>O fato de ter uma agência no meu trabalho.</t>
  </si>
  <si>
    <t>Muitas coisas embora sejam feitas as devidas reclamações, NÃO são resolvidas. Por duas vezes tentei fazer resgate da poupança para conta corrente, NÃO consegui pois era sábado. Isso NÃO acontece em outros bancos.</t>
  </si>
  <si>
    <t>Sem taxas abusivas, mais pontos de retirada de dinheiro em especie.</t>
  </si>
  <si>
    <t>As desvantagens NÃO são claramente comunicadas.</t>
  </si>
  <si>
    <t>porque a Instituição é confiável  colaboradores atenciosos e prestativo</t>
  </si>
  <si>
    <t>Agilidade, transparência e competência no atendimento.</t>
  </si>
  <si>
    <t>Qualidade do serviço</t>
  </si>
  <si>
    <t>Atendimento, taxas</t>
  </si>
  <si>
    <t>A gerente aline me atende muito bem é sempre muito prestativa...parabéns a nossa cooperativa pela funcionária que temos</t>
  </si>
  <si>
    <t>NÃO vejo benefício nenhum, só pago é NÃO recebo nada de retorno. Quero cancelar minha conta</t>
  </si>
  <si>
    <t>Um ótimo atendimento, taxas boas já tenho consórcio aí foi maravilhoso.</t>
  </si>
  <si>
    <t>O atendimento do SICOOB é personalizado é rápido.</t>
  </si>
  <si>
    <t>Atendimento de excelência</t>
  </si>
  <si>
    <t>Acredito que a SIcoob cumpre o seu papel é uma nota 8 é justa.</t>
  </si>
  <si>
    <t>NÃO faço movimentações em minha conta, portanto conheço pouco o funcionamento do SICOOB mas, gosto muito da apresentação da marca.</t>
  </si>
  <si>
    <t>A confiabilidade é tudo de que se precisa.</t>
  </si>
  <si>
    <t>agilidade nas operações</t>
  </si>
  <si>
    <t>Sem bem atendido</t>
  </si>
  <si>
    <t>um bom atendimento!</t>
  </si>
  <si>
    <t>Os serviços são realmente realizados de forma serie é eficiente. Ótimo atendimento, inclusive na forma NÃO presencial.</t>
  </si>
  <si>
    <t>Atendimento e seriedade</t>
  </si>
  <si>
    <t>É porque o Sicoob é 10</t>
  </si>
  <si>
    <t>Só NÃO marquei a nota 10, pq houve muita burocracia em liberar o contrato consignado é com isso houve muita demora.</t>
  </si>
  <si>
    <t>Por ser um cooperativa.</t>
  </si>
  <si>
    <t>Fui mto bem atendida é a minha nota 9 é pq acho que sempre tem espaço para melhorar</t>
  </si>
  <si>
    <t>SICOOB CREDFAZ</t>
  </si>
  <si>
    <t>Fui enganado pela ex-Gerente Aline Sicoob Credfaz aqui em Brasília  é só perdi meu tempo é gasolina com essa unidade que fica no Núcleo Bandeirantes DF</t>
  </si>
  <si>
    <t>Sou associado há muitos anos é estou muito satisfeito.</t>
  </si>
  <si>
    <t>não fui atendido como esperava</t>
  </si>
  <si>
    <t>Um conta de zero benefícios para quem é pessoa física</t>
  </si>
  <si>
    <t>atendimento personalizado, bons produtos</t>
  </si>
  <si>
    <t>Atendimento vip para todos os momentos</t>
  </si>
  <si>
    <t>NÃO sei se é só para funcionário público</t>
  </si>
  <si>
    <t>cotação do seguro de uma moto é NÃO houve nenhum posicionamento do atendente.</t>
  </si>
  <si>
    <t>O atendimento é a atenção ao cliente</t>
  </si>
  <si>
    <t>Atendimento pelos funcionários da sede de São Paulo.</t>
  </si>
  <si>
    <t>parabéns pelo profissionalismo e competência!</t>
  </si>
  <si>
    <t>Sempre fui muito bem tratada pelos funcionários.</t>
  </si>
  <si>
    <t>quando eu mais precisei levei um NÃO. Um valor que eu tenho direito que me pertence.</t>
  </si>
  <si>
    <t>Tudo a contento!</t>
  </si>
  <si>
    <t>Facilidades no sistema, APP, entre outros.</t>
  </si>
  <si>
    <t>Porque tenho alguma dificuldade em acessar determinados procedimentos nos serviços via app. Acho um pouco complexo.</t>
  </si>
  <si>
    <t>O bom atendimento, gentil é com rapidez! Juros mais baixo do mercado, sem contar que o cooperado tem participação nas sobras!</t>
  </si>
  <si>
    <t>Boa tarde, é um ótimo Banco</t>
  </si>
  <si>
    <t>Bom  atendimento</t>
  </si>
  <si>
    <t>falta de empenho em ajudar o cooperado</t>
  </si>
  <si>
    <t>Dificuldade na obtenção de creditos</t>
  </si>
  <si>
    <t>Competência, gentileza e rapidez ao atender as solicitações</t>
  </si>
  <si>
    <t>NÃO tem atendimento bom, é NÃO serve e ajuda com credito na conta é nem com cartão de credito.</t>
  </si>
  <si>
    <t>A Sicobe é 10</t>
  </si>
  <si>
    <t>Juros altos cobrados é Uso da tabela Price, no credito Pessoal!</t>
  </si>
  <si>
    <t>ACHO O APLICATIVO MUITO COMPLICADO</t>
  </si>
  <si>
    <t>Pela confiança que me inspira</t>
  </si>
  <si>
    <t>Porque tudo que eu preciso, eu consigo com o sicoob.</t>
  </si>
  <si>
    <t>Trata-se de uma equipe que acolhe bem os seus cooperados</t>
  </si>
  <si>
    <t>Sistema seguro</t>
  </si>
  <si>
    <t>A tradição de anos como cooperado é a transparência das contas anuais, sempre resultando em sobras muitíssimo convenientes!!!</t>
  </si>
  <si>
    <t>nunca tive problemas com o banco</t>
  </si>
  <si>
    <t>Atenção e Cordialidade nos atendimentos é correção nos controles</t>
  </si>
  <si>
    <t>Muitos serviços poderiam ser entregues diretamente no app, como credito consignado.</t>
  </si>
  <si>
    <t>Ótimo aplicativo</t>
  </si>
  <si>
    <t>Me ajudou quando mais precisei é sempre que preciso, sempre posso contar.</t>
  </si>
  <si>
    <t>Atualmente  pouco trabalho com o Sicoob mas sempre me mostrou uma instituição  de confiança</t>
  </si>
  <si>
    <t>Gosto muito do Sicoob Credfaz</t>
  </si>
  <si>
    <t>Sempre fui bem atendido, é o juros compatível com meu orçamento, mais ultimamente perdi meu cartão é já paguei mais NÃO tive de volta.😢😢😢😢</t>
  </si>
  <si>
    <t>Linha de credito fraca  Mesmo com movimento excelente é recebendo pagamento pelo próprio banco</t>
  </si>
  <si>
    <t>Excelência no atendimento, destacando o bom atendimento e agilidade de Luan.</t>
  </si>
  <si>
    <t>A taxa de juros é ótima em relação aos demais bancos, Porem o atendimento a empresa deixa muito a desejar, migrei para o Sicoob com intenção de jogar todas as movimentações da empresa é até hoje NÃO consegui implantar o faturamento,  pelo sicoob é muita burocracia para algo muito simples.</t>
  </si>
  <si>
    <t>objetividade nos atendimentos presenciais</t>
  </si>
  <si>
    <t>Rapidez no atendimento!</t>
  </si>
  <si>
    <t>Juros menores, transparência.</t>
  </si>
  <si>
    <t>atividade cooperativa, integração de pessoas</t>
  </si>
  <si>
    <t>Satisfação, bom atendimento, e boas amizades  Trabalho com a SICOOB desde que nasceu, é sou um dos primeiros associados da CREDFAZ. Sempre fui bem atendido, é sempre consegui resolver o desejado.</t>
  </si>
  <si>
    <t>Muito satisfeita</t>
  </si>
  <si>
    <t>Tentei fazer um pagamento com o cartão é estava fora do ar</t>
  </si>
  <si>
    <t>Cooperativa muito burocrática é de muita falta de respeito com o Cooperado! Nunca mais quero saber dessa Cooperativa! Horrível! NÃO indico para ninguem.</t>
  </si>
  <si>
    <t>O atendimento NÃO é muito bom, tanto na agência quanto por telefone</t>
  </si>
  <si>
    <t>NÃO sei onde fica milha agência, mudou o endereço é ainda NÃO fui informado do novo endereço</t>
  </si>
  <si>
    <t>10 para mim é melhor cooperativa do brasil</t>
  </si>
  <si>
    <t>Sem nenhum suporte</t>
  </si>
  <si>
    <t>O atendimento diferenciado, é a facilidade de comunicação</t>
  </si>
  <si>
    <t>Sistema operacional complicado é deficiente</t>
  </si>
  <si>
    <t>NÃO presta</t>
  </si>
  <si>
    <t>Sempre fui muito bem atendida. Agora, NÃO entendi a distribuição de baixo valor das cotas esse ano.</t>
  </si>
  <si>
    <t>Tentando fazer um cartão corporativo é NÃO conseguimos</t>
  </si>
  <si>
    <t>suporte</t>
  </si>
  <si>
    <t>Banco Funcional. Taxas abaixo do mercado.</t>
  </si>
  <si>
    <t>O Sicoob tem que dar mais vantagens para seus clientes.</t>
  </si>
  <si>
    <t>Sempre me atenderam com urbanidade e eficiência.</t>
  </si>
  <si>
    <t>pois o banco não te dá um suporte</t>
  </si>
  <si>
    <t>Anos de conta, benefícios muito restritos.</t>
  </si>
  <si>
    <t>Ótima.</t>
  </si>
  <si>
    <t>ATENDIMENTO VIP</t>
  </si>
  <si>
    <t>O atendimento pelo pessoal, super atenciosos, solícitos e rapidez na solução das consultas.</t>
  </si>
  <si>
    <t>A anos tenho conta no Sicoob nun</t>
  </si>
  <si>
    <t>NÃO recebi relatórios</t>
  </si>
  <si>
    <t>Juros mais baixos.</t>
  </si>
  <si>
    <t>a isenção de taxas de manutenção</t>
  </si>
  <si>
    <t>Foi muito legal a experiência com o Sicoob</t>
  </si>
  <si>
    <t>Apesar o aplicativo ser lento, me sinto seguro em usar. Apesar de NÃO liberarem nenhum credito para mim, me obrigando a usar contas de pagamento digital, ainda vejo vantagem em manter minha conta ativa</t>
  </si>
  <si>
    <t>Atendimento eficiente, respeitoso, cordial.</t>
  </si>
  <si>
    <t>Pouca agência</t>
  </si>
  <si>
    <t>Porque é uma instituição financeira que é voltada para o servidor com juros razoável.</t>
  </si>
  <si>
    <t>S</t>
  </si>
  <si>
    <t>Excelente atendimento principalmente do gerente</t>
  </si>
  <si>
    <t>Sempre. Fui bem atendida pelos funcionários da Sicoob</t>
  </si>
  <si>
    <t>ótimo atendimento do gerente Leonardo é funcionários</t>
  </si>
  <si>
    <t>Atendimento vip</t>
  </si>
  <si>
    <t>atendimento responsável</t>
  </si>
  <si>
    <t>NÃO tenho mais contato com ninguem da Sicoob. Preciso resgatar meu dinheiro é NÃO estou conseguindo.</t>
  </si>
  <si>
    <t>PORQUE O SICOOB tem O MELHOR ATENDIMENTO.</t>
  </si>
  <si>
    <t>Atendimento  em todas áreas é excelente. A Credfaz MG , as funcionárias são atenciosas, competentes, em resumo excelentes.</t>
  </si>
  <si>
    <t>parabéns a todos pelo profissionalismo e competência!</t>
  </si>
  <si>
    <t>Sem dúvida, é uma instituição transparente é voltada para atender às necessidades do associado.  Todavia, nem todos os clientes do sistema bancário estão preparadas para o padrão de relacionamento inerente ao sistema cooperativo.</t>
  </si>
  <si>
    <t>Menor Taxa, atendimento é seriedade.</t>
  </si>
  <si>
    <t>NÃO valoriza os clientes,, idosos</t>
  </si>
  <si>
    <t>Decepção com certos procedimentos, para/começar o atendimento uso os serv.da Sicoob a mais de 15 anos é nunca vi um atendimento tão ruim, desmotivado, demora na espera por causa do celular que é mais importante, taxas de emprestimo iguais a outros bancos, antigamente NÃO era assim, sempre precisei de emprestimo de vcs mas esse que tenho foi o último, a Sicoob já foi boa, hoje NÃO mais INFELIZMENTE.</t>
  </si>
  <si>
    <t>Pelo ótimo atendimento dos colaboradores</t>
  </si>
  <si>
    <t>ÓTIMO EM TODOS OS ATENDIMENTOS !. GILBERTOP6901@GMAIL.COM.</t>
  </si>
  <si>
    <t>Confiança e agilidade!</t>
  </si>
  <si>
    <t>Conheço tudo! Seus produtos suas vantagens é um atendimento diferenciado! Só o Sicoob oferece!</t>
  </si>
  <si>
    <t>5</t>
  </si>
  <si>
    <t>Funciona muito bem</t>
  </si>
  <si>
    <t>App complicado, atendimento de ajuda pessimo</t>
  </si>
  <si>
    <t>Falta de agilidade, facilidade é estrutura no atendimento, documentação e processos muito complicados</t>
  </si>
  <si>
    <t>Pela tranquilidade, confiança, facilidades na comunicação é respeito ao cooperado.</t>
  </si>
  <si>
    <t>as soluções pros meus problemas com pouca burocracia.</t>
  </si>
  <si>
    <t>Está muito bagunçado, quando era Credfaz tudo funcionava redondo, agora que virou um grande Banco, é o Banco sendo Banco.</t>
  </si>
  <si>
    <t>A satisfação de a Cooperativa ser nossa.</t>
  </si>
  <si>
    <t>Como cliente antigo do Sicoob é satisfeito , quero esta mesma felicidade para meus amigos.</t>
  </si>
  <si>
    <t>Excelente atendimento de todos os setores da cooperativa. Sou muito bem acolhida.</t>
  </si>
  <si>
    <t>Porque é  muito complicado, eu que já  estou a mais de 20 anos imagine quem vai entrar agora</t>
  </si>
  <si>
    <t>Porque sempre que solicitado uma informação, geralmente sou atendido.</t>
  </si>
  <si>
    <t>POR SER UMA ENTIDADE SeRIA, COMPETENTE.</t>
  </si>
  <si>
    <t>sete.</t>
  </si>
  <si>
    <t>O  Banco Sicoob, usando de sua performance, busca atrair mais clientes para o seu Portfólio Bancário, na  inovação, nos investimentos, no tratamento do bem estar é mais. Crítica: está faltando ao Sicoob a figura do Cooperativismo mais perto ao seu cliente, abrir sua carteira de emprestimo aos associados, com juros atraentes, descomplicar a burocracia ao tratamento do associado que busca um pequeno emprestimo. Criar investimentos mais atrativos, que dê satisfação em curto prazo, tais quais, investimentos em sorteios mensais, semanais, ou outro, onde a sorte pode chegar aos mais necessitados é endividados em curto período. Vejo os anúncios do Sicoob bastante corporativos é sem necessidades de pouca valia. Precisamos de anúncios voltados para o interesse ao paraúblico é vetar o capitalismo dos banqueiros. NÃO invisto no Sicoob, por NÃO ver sua motivação como cooperativismo, onde está voltado ao segmento de banco comercial.</t>
  </si>
  <si>
    <t>Eu NÃO possuo tantos produtos para fazer uma avaliação mais detalhada.</t>
  </si>
  <si>
    <t>Sempre que precisei da Sicoob, ela me atendeu prontamente.</t>
  </si>
  <si>
    <t>Sicoob para mim é tudo de bom!!!</t>
  </si>
  <si>
    <t>O atendimento.</t>
  </si>
  <si>
    <t>Atendimento amigo</t>
  </si>
  <si>
    <t>Pela qualidade  dos serviços prestados aos clientes.</t>
  </si>
  <si>
    <t>juros e tarifas mais baixos é participação nos resultados</t>
  </si>
  <si>
    <t>Atendimento excelente, facilidade em contatar o banco. Fiz empréstimos com bons juros e rapidez no atendimento.</t>
  </si>
  <si>
    <t>Hoje estou aposentado é, portanto, sem muitos contatos com servidores paraúblicos.</t>
  </si>
  <si>
    <t>atendimento é resposta</t>
  </si>
  <si>
    <t>NÃO oferecem cartões de credito,é o app vive dando falha</t>
  </si>
  <si>
    <t>Pelo pouco que conheço o Sicoob, meu atendimento foi bom, mas o sistema é um pouco burocrático.</t>
  </si>
  <si>
    <t>muito difícil o atendimento na agência</t>
  </si>
  <si>
    <t>Bom dia, porque sou associado já a muito tempo é quando mais precisei da associação NÃO tive ajuda como posso indicar.</t>
  </si>
  <si>
    <t>Muito difícil, muita burocracia, ausência de um atendente  responsável, retirando o pessoal da minha região, somente dificuldades para lidar....</t>
  </si>
  <si>
    <t>As vantagens e os ganhos são um grande diferencial quando comparamos com o sistema de bancos é NÃO é apenas isso, no SICOOB somos uma grande família, o que é mais um grande diferencial quando comparamos com bancos.</t>
  </si>
  <si>
    <t>Gosto muito sou cooperada a muitos anos tudo que preciso eu sou atendida obrigada</t>
  </si>
  <si>
    <t>Em maio/2021 solicitei um emprestimo. atualização cadastral que foi digitalizada com erro de endereço  e  data de nascimento.  Em setembro ainda NÃO haviam corrigido. Até  hoje NÃO  tive mais notícias.  Minhas contribuições  à  CO OBRAS (anteriores  a maio/2015) para onde foram?</t>
  </si>
  <si>
    <t>Excelente nas propostas, excelência no atendimento</t>
  </si>
  <si>
    <t>Foi bom</t>
  </si>
  <si>
    <t>É ótimo ter.</t>
  </si>
  <si>
    <t>Atenção, educação, presteza e agilidade no atendimento.</t>
  </si>
  <si>
    <t>Excelência no trato com as pessoas.</t>
  </si>
  <si>
    <t>Eu sou favorável ao cooperativismo</t>
  </si>
  <si>
    <t>Bom atendimento e excelentes profissionais.</t>
  </si>
  <si>
    <t>Confiança na instituição</t>
  </si>
  <si>
    <t>NÃO valoriza o histórico do cliente para liberação de credito</t>
  </si>
  <si>
    <t>Foi a rapidez com fiz um emprestimo, com juros acessível</t>
  </si>
  <si>
    <t>PORQUE SEMPRE FUI ATENDIDO NAS VEZES EM QUE PRECISEI</t>
  </si>
  <si>
    <t>Melhorar muito o sistema operacional</t>
  </si>
  <si>
    <t>Atendimento de qualidade!</t>
  </si>
  <si>
    <t>Bom atendimento, aplicativo fácil de usar é rapidez em concluir as demandas.</t>
  </si>
  <si>
    <t>NÃO é um banco confiável. É confuso tambem.</t>
  </si>
  <si>
    <t>Em primeiro lugar, pela atenção é grande boa vontade no atendimento que sempre tive pelas funcionárias Natália é Adriana da Credfaz em Belo Horizonte é em segundo lugar por tudo que consegui obter quando precisei dos serviços que  o Sicoob oferece.</t>
  </si>
  <si>
    <t>Juros baixo, satisfação</t>
  </si>
  <si>
    <t>Para conseguir um emprestimo consignado temos que mandar email é demora para ser atendido</t>
  </si>
  <si>
    <t>Pessoal da agência muito atencioso e ágil</t>
  </si>
  <si>
    <t>NÃO utilizo nenhum benefício do banco</t>
  </si>
  <si>
    <t>pessimo controle. Recebi email dizendo que tenho pendência de cartão é nunca tive cartão.</t>
  </si>
  <si>
    <t>A senha do meu cartão NÃO chegou até hoje!</t>
  </si>
  <si>
    <t>Em decorrência da idade consigo emprestimo na CEF é NÃO consigo na cooperativa</t>
  </si>
  <si>
    <t>Já sou cooperado há um bom tempo, sempre pago minhas faturas em dia é procuro ter um relacionamento saudável com a cooperativa Porem em relação a liberação de credito na Sicoob deixa muito a desejar.</t>
  </si>
  <si>
    <t>Tentei cancelar minha conta fui na agencia da minha cidade NÃO podem fazer nada pq abriu a conta digital falei com o sicoob digital tem que fazer o Monte de coisa quando foi para abrir a foi rápido</t>
  </si>
  <si>
    <t>App complicado é NÃO liberam credito</t>
  </si>
  <si>
    <t>O ATENDIMENTO RÁPIDO e PRESTATIVO</t>
  </si>
  <si>
    <t>Muitos aborrecimentos</t>
  </si>
  <si>
    <t>Confiança.</t>
  </si>
  <si>
    <t>SIM</t>
  </si>
  <si>
    <t>Os bons serviços prestados.</t>
  </si>
  <si>
    <t>QUALIDADE DAS APRESENTAÇÕES NAS PALESTRAS PROGRAMADAS PARA 12/06/223</t>
  </si>
  <si>
    <t>de alguns anos para cá sinto que a nossa credfaz  NÃO è mais aquela de antes.</t>
  </si>
  <si>
    <t>Bom atendimento até o momento</t>
  </si>
  <si>
    <t>As sobras dos cooperados. Baixíssimo! A cada ano, vejo cair exorbitantemente. A nossa motivação de levar a nossa dívida do nosso Banco para a cooperativa, vejo que NÃO  vale a pena...enganação.</t>
  </si>
  <si>
    <t>O uso de várias modalidades da cooperativa credfaz.</t>
  </si>
  <si>
    <t>pessimo atendimento!!!</t>
  </si>
  <si>
    <t>A Credfaz é uma empresa marginal (em palavras simples, uma filha da outra).</t>
  </si>
  <si>
    <t>Banco eficiente</t>
  </si>
  <si>
    <t>Excelente sistema.</t>
  </si>
  <si>
    <t>Oferta de serviços.</t>
  </si>
  <si>
    <t>serviços digitais são bons</t>
  </si>
  <si>
    <t>Sicoob ainda cobra anuidade no cartão. Irá cobrar para investir na renda variável. Nu invest NÃO cobra . Tenho aplicação no Sicoob. Gostaria de poder fazer tudo apenas no Sicoob.</t>
  </si>
  <si>
    <t>Bom atendimento é oferecer bons produtos</t>
  </si>
  <si>
    <t>Alem de ótimo atendimento fazem os clientes se sentirem especiais</t>
  </si>
  <si>
    <t>Todos os processos de emprestimo foram dificultados, o valor recebido pela distribuição de sobras, embora tenha várias operações com a instituição, foi absolutamente irrisório, em mais de 20 anos como associada, senti-me lesada.</t>
  </si>
  <si>
    <t>Sou cooperativada há muitos anos é sempre pude contar com o Sicoob, por isso recomendo.</t>
  </si>
  <si>
    <t>Estou delegada da CREDFAZ, é estou sempre divulgando a                    Eu estou delegada da CREDFAZ, é estou sempre divulgando a            Eu estou delegada da credfz   Eu estou delegada da CREDFAZ, é estou sempre divulgando a Sicoob</t>
  </si>
  <si>
    <t>Facilidade em agências</t>
  </si>
  <si>
    <t>A presteza, agilidade é tratamento</t>
  </si>
  <si>
    <t>Ultimamente o Sicoob está deixando muito a desejar, ou seja, NÃO estou satisfeita com os serviços</t>
  </si>
  <si>
    <t>Bom para todas as áreas.</t>
  </si>
  <si>
    <t>Eu amo o sicoob</t>
  </si>
  <si>
    <t>NÃO consigo desbloquear meu cartão por telefone porque aparecem divergências cadastrais NÃO sei porque. Já fiz e-mail solicitando atualização. Estou em tratamento oncológico é preciso sacar um valor que foi devolvido na minha conta corrente é NÃO consigo.</t>
  </si>
  <si>
    <t>Sempre sou bem atendida pelos colaboradores da Sicoob</t>
  </si>
  <si>
    <t>Excelentes atendimento e produtos. Confiabilidade</t>
  </si>
  <si>
    <t>Funcionário muito gentil. Mesmo com a demora na resposta, pelo excesso de tarefas resolveu o meu problema.</t>
  </si>
  <si>
    <t>Pelo atendimento personalizado!</t>
  </si>
  <si>
    <t>1</t>
  </si>
  <si>
    <t>Saúde Financeira é seriedade da empresa é, ainda, distribuição das sobras</t>
  </si>
  <si>
    <t>Alguns atrás, solicitei emprestimo atraves da Credfaz, é automaticamente, eram descontados o valor da parcela emprestimo é a um seguro,esse do segura transformou-se em capital, é nunca me foi devolvido, já solicitei é nunca me atendem, como que eu posso indicar para alguem, com essa falha?</t>
  </si>
  <si>
    <t>informações precisas, atendimento ótimo,</t>
  </si>
  <si>
    <t>taxas mais baixas é distribuição anual  de sobras.</t>
  </si>
  <si>
    <t>O Nível de atendimento é resolução das demandas</t>
  </si>
  <si>
    <t>Porque sempre fui bem atendida .</t>
  </si>
  <si>
    <t>PRESTEZA NO ATENDIMENTO.</t>
  </si>
  <si>
    <t>Inversamente aos últimos contatos da CREDFAZ, aa qual está  o SICOOB associado, vejo um pessoal mai cortês, respeitoso e com bom trato no atendimento, de consequência.  Apesar das limitações operacionais, prefiro as qualidades de educação6 do que o atendimento ao " homem-massa ", segundo expressão do notável  pensador ORTEGA-Y-GASSET. O feedback que se tem é  muito bom é isso nos anima a incrementar as transações com a entidade.</t>
  </si>
  <si>
    <t>Satisfação com o atendimento.</t>
  </si>
  <si>
    <t>São muito atenciosos.</t>
  </si>
  <si>
    <t>aproveito para parabenizar a ADRIANA é NATHALIA SEMPRE GENTIL é PRESTATIVAS AO ATENDIMENTO.</t>
  </si>
  <si>
    <t>Porque fico feliz em saber que fui uma das primeiras sócias da Credfaz hoje temos até um Banco, com uma prestação de serviços de ótima qualidade. Nunca precisei da Credfaz para NÃO ser atendida .sou sempre bem atendida. Obrigada por existir o Sicoob.</t>
  </si>
  <si>
    <t>tem eficiência nas transações</t>
  </si>
  <si>
    <t>Facilidade do sistema é atendimento presencial</t>
  </si>
  <si>
    <t>Insatisfação. Tenho dificuldades de contactar com o banco. Qual Sicoob que eu pertenço. Quando preciso do banco tenho todas as dificuldades. Inclusive sacar o meu dinheiro</t>
  </si>
  <si>
    <t>Excelência no atendimento .</t>
  </si>
  <si>
    <t>8,</t>
  </si>
  <si>
    <t>Sempre me atendeu com educação.</t>
  </si>
  <si>
    <t>Vcs ficam muito distante do associado, muita burocracia,  antes era bem melhor</t>
  </si>
  <si>
    <t>É um sistema cooperativado que faz tudo para atender aos associados.</t>
  </si>
  <si>
    <t>NÃO acrescenta em nada, nas minha Financias,</t>
  </si>
  <si>
    <t>Banco que atende pequenos negócios</t>
  </si>
  <si>
    <t>Sou cliente a muitos anos, com conta salário, mas nos últimos anos a Cooperativa tem negado renegociação de empréstimos em decorrência da minha idade.</t>
  </si>
  <si>
    <t>tem me atendido muito bem nesses últimos anos. Tanto no físico quanto na internet.</t>
  </si>
  <si>
    <t>Sempre que precisei fui prontamente atendida. Funcionários sempre atenciosos.</t>
  </si>
  <si>
    <t>ótimo atendimento.</t>
  </si>
  <si>
    <t>Bom atendimento é compromisso com o cliente.</t>
  </si>
  <si>
    <t>A credfaz é  uma cooperativa ótima sempre ajuda</t>
  </si>
  <si>
    <t>Tudo é muito difícil, para conseguir credito, para emprestimo para tudo! Tudo muito burocrático.</t>
  </si>
  <si>
    <t>Muita exigência é burocracia, por se tratar de uma cooperativa, sabendo que terão toda segurança no recebimento atraves das  nossas contas salário é tbm da conta capital.</t>
  </si>
  <si>
    <t>NÃO demonstra uma parceria efetivamente forte com seus clientes durante uma negociação financeira</t>
  </si>
  <si>
    <t>acho o atendimento de vcs excelente</t>
  </si>
  <si>
    <t>Acredito que esse espaço sicoob para familiares. Ex.: filho de um associado. Tambem pode associar-se</t>
  </si>
  <si>
    <t>atendimento,deferimento de credito</t>
  </si>
  <si>
    <t>O Sicoob poderia fazer muito mais pelos correntistas, muitas solicitações são levadas para o tal de comitê, é quando isso acontece eu sei que nunca aprovam as minhas solicitações, tenho empréstimos, um descontado no contracheque é outro debitado na conta corrente todos os meses, é isso NÃO é o suficiente, tenho mais de 5 mil reais capitalizados é isso NÃO é suficiente para aumento do meu limite de credito o cartão é aumento tambem do cheque especial, mesmo o Sicoob sabendo que vão sempre receber o meu dinheiro. Hoje pago mais de 400 reais de desconto na minha conta corrente isso juntando o que vai para a capitalização.</t>
  </si>
  <si>
    <t>É UMA COOPERATIVA DE MUITA CREDIBILIDADE</t>
  </si>
  <si>
    <t>O tratamento dado aos associados é gratificante, os Atendentes nos tratam muito bem.</t>
  </si>
  <si>
    <t>Uma instituição de caráter.</t>
  </si>
  <si>
    <t>SÃO vários motivos</t>
  </si>
  <si>
    <t>Excelente atendimento e prestatividade costumeira</t>
  </si>
  <si>
    <t>no meu caso em particular tive um prejuízo na ordem de 29 mil, por má gestão, ainda tenho conta no sicoob única e exclusivamente por causa do acordo.</t>
  </si>
  <si>
    <t>Fui muito bem atendida pelo gerente Leonardo, é pelos 2 funcionário, NÃO lembro o nome deles....</t>
  </si>
  <si>
    <t>Um dos melhores aplicativos de banco que tenho.</t>
  </si>
  <si>
    <t>Proatividade nas soluções! Nunca me deixaram na mão.</t>
  </si>
  <si>
    <t>Sou cliente a muitos anos é tenho sido bem atendido. Tenho uma filha que é  gerente em uma das suas agências.</t>
  </si>
  <si>
    <t>acho que quando  a gente é bem atendido. é bom,</t>
  </si>
  <si>
    <t>Fazer parte do time Sicoob</t>
  </si>
  <si>
    <t>Eficiência, responsabilidade. Tudo que preciso eles me ajudam.</t>
  </si>
  <si>
    <t>Pelo excelente atendimento</t>
  </si>
  <si>
    <t>positivo o fato de ser um banco coletivo que rende à parte as "sobras"</t>
  </si>
  <si>
    <t>As pessoas NÃO conhecem os benefícios de ser cooperado, daí NÃO se interessam.</t>
  </si>
  <si>
    <t>O Sicoob é excelente,  é ainda me dá dinheiro!</t>
  </si>
  <si>
    <t>Ótima atendimento</t>
  </si>
  <si>
    <t>Sistema Cooperativo de ajuda mútua.</t>
  </si>
  <si>
    <t>Prestação de serviços pelas cooperativas integrantes muito deficiente é ruim.</t>
  </si>
  <si>
    <t>porque tenho conta aí é faço pagamento para unasp por aí.sou credenciador da sicoob</t>
  </si>
  <si>
    <t>No espaço presencial tem ter mais facilidade.</t>
  </si>
  <si>
    <t>Indisponibilidade no retorno de mensagens; dificuldade de negociação; incoerência com cobranças indevidas em caso de incorporação de nova cooperativa.</t>
  </si>
  <si>
    <t>Burocracia para conseguir resolver as coisas, demora em aprovação de empréstimos e serviços, Juros altos, é ter um delegado representando os associados é tomando as decisões sem ao menos termos votado para que esse delegado tenha sido escolhido, isso é pessimo para os negócios. por se tratar de uma cooperativa de associados deveríamos votar em quem nos representa.  Tirando isso é usual</t>
  </si>
  <si>
    <t>Sicoob, bom demais é aliado do funcionário paraúblico.</t>
  </si>
  <si>
    <t>Agilidade, TRANSPARÊNCIA e confiabilidade.</t>
  </si>
  <si>
    <t>Agilidade eficiência no atendimento.</t>
  </si>
  <si>
    <t>Atendimento de qualidade, celeridade nas respostas é juros mais baixos</t>
  </si>
  <si>
    <t>Meu santo é o do Sicoob, NÃO fecham...</t>
  </si>
  <si>
    <t>Responsabilidade é atenção no atendimento</t>
  </si>
  <si>
    <t>Sempre fui bem atendida no Sicoob.</t>
  </si>
  <si>
    <t>A SICOOB É EXCELENTE, Ótimo atendimento. Em tudo ela é excelente.</t>
  </si>
  <si>
    <t>Atendimento, respeito</t>
  </si>
  <si>
    <t>Eficiência é competência</t>
  </si>
  <si>
    <t>eu tenho uma conta até agora  NÃO tenho  limite de credito.</t>
  </si>
  <si>
    <t>Gosto do cooperativismo</t>
  </si>
  <si>
    <t>Ser cooperado há mais de 10 anos.</t>
  </si>
  <si>
    <t>Modernidade</t>
  </si>
  <si>
    <t>Melhor banco que movimento meu dinheiro é simples é fácil o app ei!</t>
  </si>
  <si>
    <t>Sou cooperada há anos é sempre encontrei solução, com atenção nos assuntos que busquei.</t>
  </si>
  <si>
    <t>tem um ótimo atendimento.</t>
  </si>
  <si>
    <t>NÃO estou contente com está cooperativa, é útil é tão somente a elite.....</t>
  </si>
  <si>
    <t>GOSTO MUITO DO SICOOB</t>
  </si>
  <si>
    <t>Gosto cobrança retirada na boca do caixa</t>
  </si>
  <si>
    <t>é difícil operar com o Sicoob, NÃO usa tecnologia no seu APP, enquanto outros bancos você faz tudo pelo aplicativo empréstimos de todas as modalidades, cartões de credito é liberado na hora na conta corrente. Falta tecnologia.</t>
  </si>
  <si>
    <t>Atendimento com cordialidade</t>
  </si>
  <si>
    <t>MUDANÇA DE atendimento.</t>
  </si>
  <si>
    <t>Nota 10 Eles são  muito  educados e atenciosos em todas as vezes que eu precisei. 1000000000</t>
  </si>
  <si>
    <t>Distância da agência</t>
  </si>
  <si>
    <t>Custo</t>
  </si>
  <si>
    <t>Atenção dos funcionários, facilidade no contato é baixa taxas oferecidas</t>
  </si>
  <si>
    <t>Atendimento,presteza, enfim, muito bom o relacionamento.</t>
  </si>
  <si>
    <t>A eficiência é a rapidez no atendimento das necessidades dos cooperados.</t>
  </si>
  <si>
    <t>Eficiência, cordialidade, profissionalismo, empatia.</t>
  </si>
  <si>
    <t>A atenção de seus funcionários!</t>
  </si>
  <si>
    <t>A melhor instituição financeira do Brasil!</t>
  </si>
  <si>
    <t>NÃO existem acompanhamento da conta ou sua movimentação. Estou sem acesso é continuo sem acesso</t>
  </si>
  <si>
    <t>Pelo menos a União Desportiva Guaraense NÃO vem recebendo o atendimento mínimo.</t>
  </si>
  <si>
    <t>Esse banco é show</t>
  </si>
  <si>
    <t>Poucas agências físicas no Rio de Janeiro</t>
  </si>
  <si>
    <t>Presteza e cordialidade</t>
  </si>
  <si>
    <t>Excelente  motivo para apresentar outro?</t>
  </si>
  <si>
    <t>Um atendimento exemplar de boa qualidade.</t>
  </si>
  <si>
    <t>O Compliance da cooperativa falhou! estamos devendo mas de R$ 10.000 por conta de falhas em uma única agência.</t>
  </si>
  <si>
    <t>tem muitos anos que sou associada, sempre achei é acho errado a forma que vocês administram o dinheiro capitalizado dos associados, muita burocracia para termos o nosso dinheiro devolvido. Vocês prendem muito o nosso dinheiro.</t>
  </si>
  <si>
    <t>Nota Dez. Excelente empresa. Obs. Preciso fazer transferência do meu dinheiro para B do Piraí/RJ.</t>
  </si>
  <si>
    <t>Pronto atendimento</t>
  </si>
  <si>
    <t>Muito bom, inovador</t>
  </si>
  <si>
    <t>funcionários muito eficientes</t>
  </si>
  <si>
    <t>Amizade, compromisso e responsabilidade.</t>
  </si>
  <si>
    <t>Sou associado já mais de 20 anos é NÃO tenho sido atendido em minhas  reivindicações e as taxas de empréstimos são as mais altas do mercado atualmente</t>
  </si>
  <si>
    <t>Nenhuma oportunidade  de credito</t>
  </si>
  <si>
    <t>Funciona como deve</t>
  </si>
  <si>
    <t>Pela praticidade que o Sicoob tem</t>
  </si>
  <si>
    <t>Sensacional</t>
  </si>
  <si>
    <t>SICOOB CREDSEF</t>
  </si>
  <si>
    <t>O atendimento é imediato é as respostas são precisas</t>
  </si>
  <si>
    <t>NÃO  se consegue falar diretamente com vcs.</t>
  </si>
  <si>
    <t>Excelente atendimento, clareza e comprometimento com a saúde financeira de seus clientes.</t>
  </si>
  <si>
    <t>na verdade, minha nota vai para o aplicativo.</t>
  </si>
  <si>
    <t>O melhor banco que fui cliente, ótimo relacionamento, ótimas taxas, facilita tudo para o associado, já trouxe vários amigos, inclusive meu filho, agora estou em inadimplência, mas a culpa NÃO é do banco, a culpa é minha por NÃO saber gerir minha vida econômica. Agradeço por tudo que essa instituição fez por mim.</t>
  </si>
  <si>
    <t>Excelente atendimento taxas de juros especiais, Porem, só li era empréstimos com debito em conta se o cooperado receber o salário na Cooperativa é restringe muito o direito de utilizar parte do Capital Social para quitar debitos.</t>
  </si>
  <si>
    <t>Excelente banco, praticidade é atendimento de primeira qualidade.</t>
  </si>
  <si>
    <t>Ótimo atendimento, economia é ainda crio um Capital/ poupança com as tarifas que deixou de pagar.</t>
  </si>
  <si>
    <t>A cooperativa oferece todos os serviços bancários muito bem é ainda por cima muito mais acessível é econômico ao NÃO participante.</t>
  </si>
  <si>
    <t>Sempre consegui fazer  todas as minhas transações com facilidade e rapidez.</t>
  </si>
  <si>
    <t>Gosto do sicoob, txs boas é bem simplificado.</t>
  </si>
  <si>
    <t>A satisfação de ser um Cooperado é participar de nossos resultados</t>
  </si>
  <si>
    <t>Show</t>
  </si>
  <si>
    <t>Atendimento rápido, disponibilidade e facilidade de navegação do aplicativo.</t>
  </si>
  <si>
    <t>O atendimento NÃO me dá prioridade como idosa tenho 65 anos é tudo que eu preciso demora muito.</t>
  </si>
  <si>
    <t>Cordialidade dos funcionários!!</t>
  </si>
  <si>
    <t>Dedicação honesta.</t>
  </si>
  <si>
    <t>Um dos motivos, foi esta fusão com essa credsef</t>
  </si>
  <si>
    <t>Atendimento e qualidade dos serviços</t>
  </si>
  <si>
    <t>é um banco bem prático</t>
  </si>
  <si>
    <t>falsas promessas</t>
  </si>
  <si>
    <t>não consigo atendimento</t>
  </si>
  <si>
    <t>Ótimo atendimento, juros dignos</t>
  </si>
  <si>
    <t>facilidades</t>
  </si>
  <si>
    <t>Sempre um  bom atendimento, qualidade, eficiência, boas instalações um banco que tem uma excelente imagem é esta expandindo muito as agências nos Estados e municípios. top.</t>
  </si>
  <si>
    <t>Profissionalismo excelente!</t>
  </si>
  <si>
    <t>Resolução de problemas</t>
  </si>
  <si>
    <t>Contem praticidade,nesse sentido,com foco é querer auxiliar de forma agradável.</t>
  </si>
  <si>
    <t>porque é muito prestativo?</t>
  </si>
  <si>
    <t>Boa tarde, estou na cooperativa já um bom tempo é isso me fez vê o trabalho do grupo em prol dos associados, venho aqui parabeniza-los.</t>
  </si>
  <si>
    <t>Já foi melhor, agora tudo que eu solicito lá NÃO atende mais, lamentável.</t>
  </si>
  <si>
    <t>Tratamento personalizado e diferenciado !!</t>
  </si>
  <si>
    <t>atendimento rápido e eficaz</t>
  </si>
  <si>
    <t>O atendimento diferenciado da gerência é todos funcionários da Unidade do SICOOB onde tenho conta.</t>
  </si>
  <si>
    <t>Excelente banco em atendimento e qualidade</t>
  </si>
  <si>
    <t>Falta agências. É muito centralizado.</t>
  </si>
  <si>
    <t>Presteza, educação dedicação,</t>
  </si>
  <si>
    <t>Me convenci que o cooperativismo é a melhor alternativa de sistema bancário é serviços bancários</t>
  </si>
  <si>
    <t>Um Banco ágil e prestativo ao cliente.</t>
  </si>
  <si>
    <t>Gestão de Qualidade</t>
  </si>
  <si>
    <t>Instituição financeira que opera  com eficiência e transparência dentro dos princípios do cooperativismo</t>
  </si>
  <si>
    <t>Imposições de suposta segurança, feitas por pessoas que acham que sabem do que estão falando.</t>
  </si>
  <si>
    <t>NÃO tem atrativos</t>
  </si>
  <si>
    <t>Nota 9 porque sempre haverá algo a melhorar</t>
  </si>
  <si>
    <t>Gosto do tratamento, aplicativo, facilidade em resolver as coisas. Indico sempre para os amigos.</t>
  </si>
  <si>
    <t>Sempre fui bem atendida é o tratamento é muito bom por parte da equipe.</t>
  </si>
  <si>
    <t>agilidade do atendente no atendimento</t>
  </si>
  <si>
    <t>Todas as vezes que precisei fui muito bem atendida, os funcionários são ótimos</t>
  </si>
  <si>
    <t>atende a todos os requisitos</t>
  </si>
  <si>
    <t>NÃO SÃO OFERECIDAS NADA PARA O CORRENTISTA</t>
  </si>
  <si>
    <t>Juros muito altos tá igual aos bancos  A cooperativa já atuou com taxas melhores é diferenciadas do mercado</t>
  </si>
  <si>
    <t>Vocês NÃO estão cadastrados no Pronamp, o que dificulta as operações junto a minha empresa</t>
  </si>
  <si>
    <t>É um banco que traz perspectiva de melhorar as condições financeiras dos correntistas.</t>
  </si>
  <si>
    <t>É um banco comprometido com seus clientes.</t>
  </si>
  <si>
    <t>Ambiente fácil de convívio.</t>
  </si>
  <si>
    <t>Taxas justas para os clientes</t>
  </si>
  <si>
    <t>Sicoob já foi melhor, mas minha cooperativa singular tem deixado muito a desejar em comparação com a concorrência. Hoje ainda me pergunto pq mantenho LAços com ela ou pq deu notas altas para o Sistema Sicoob, acho que por um apego saudosista, pq financeiramente está muito a quem.</t>
  </si>
  <si>
    <t>é muito atenciosos</t>
  </si>
  <si>
    <t>ótimo atendimento é agilidade</t>
  </si>
  <si>
    <t>Justiça financeira</t>
  </si>
  <si>
    <t>É o banco com as melhores taxas</t>
  </si>
  <si>
    <t>Eficiência é segurança</t>
  </si>
  <si>
    <t>O atendimento, ótimo relacionamento com clientes.</t>
  </si>
  <si>
    <t>Sempre fui muito bem servido no Sicoob</t>
  </si>
  <si>
    <t>Atendimento é educação</t>
  </si>
  <si>
    <t>SICOOB DFMIL</t>
  </si>
  <si>
    <t>O App é ótimo, atendimento excelente.</t>
  </si>
  <si>
    <t>excelente relacionamento com gerente é atendentes</t>
  </si>
  <si>
    <t>Facilidades, desburocratização é atendimento</t>
  </si>
  <si>
    <t>Facilidade de acesso ao gerente é personalização do atendimento.</t>
  </si>
  <si>
    <t>Jurídico confuso.</t>
  </si>
  <si>
    <t>sempre somos muito bem atendidas</t>
  </si>
  <si>
    <t>Ótimo atendimento, taxas justas ,eficiência é qualidade no serviço</t>
  </si>
  <si>
    <t>Atendimento excepcional em todos os Níveis é seções.</t>
  </si>
  <si>
    <t>Atendimento, cordialidade</t>
  </si>
  <si>
    <t>SEMPRE É POSSÍVEL MELHORAR MUITO MAIS, É SÓ UMA QUESTÃO DE QUERER.</t>
  </si>
  <si>
    <t>A facilidade de acesso</t>
  </si>
  <si>
    <t>NÃO oferece nada para o cliente</t>
  </si>
  <si>
    <t>Queda na qualidade de atendimento.</t>
  </si>
  <si>
    <t>toda vez que eu precisei fui bem atendido</t>
  </si>
  <si>
    <t>SEMPRE É POSSÍVEL MELHORAR MUITÍSSIMO MAIS, É SÓ UMA QUESTÃO DE QUERER...</t>
  </si>
  <si>
    <t>conta nova até o momento nada a reclamar</t>
  </si>
  <si>
    <t>Por estar pouco tempo como cliente do Banco</t>
  </si>
  <si>
    <t>Ótimo atendimento parabéns a todos.</t>
  </si>
  <si>
    <t>ATENDIMENTO, TAXAS BANCÁRIAS é RENDIMENTOS DE APLICAÇÃO.</t>
  </si>
  <si>
    <t>para mim NÃO tenho nada a reclamar</t>
  </si>
  <si>
    <t>Banco burocrático é de difícil interação</t>
  </si>
  <si>
    <t>Banco muito bom</t>
  </si>
  <si>
    <t>Funcionários prestativos é uma boa plataforma de auto atendimento</t>
  </si>
  <si>
    <t>muito bom. Atendimento ágil. Equipe competente</t>
  </si>
  <si>
    <t>Um banco serio é da todo apoio aos seu clientes.</t>
  </si>
  <si>
    <t>O atendimento da equipe, quando solicitada</t>
  </si>
  <si>
    <t>Atendimento de qualidade</t>
  </si>
  <si>
    <t>Cooperativismo é Taxas</t>
  </si>
  <si>
    <t>Atendimento  é app muito bons.</t>
  </si>
  <si>
    <t>Tempestividade no atendimento, assertividade é qualidade do atendimento, App de ótima performance</t>
  </si>
  <si>
    <t>Cooperativa TOP</t>
  </si>
  <si>
    <t>Reconhecimento muito ruim</t>
  </si>
  <si>
    <t>Prefiro NÃO comentar, de alguns meses para cá, NÃO estou satisfeito com o Sicoob</t>
  </si>
  <si>
    <t>O perfeito atendimento prestado pela colaboradora Cida. parabéns por uma pessoa tão dedicada aos associados da DF MIL, TAGUATINGA DF</t>
  </si>
  <si>
    <t>É cobrado uma taxa administrativa pelo fato de só ter a conta. Outros bancos NÃO cobram isso.</t>
  </si>
  <si>
    <t>Qualidade no atendimento, taxas contadas é demais serviços prestados</t>
  </si>
  <si>
    <t>Gostei da forma do atendimento</t>
  </si>
  <si>
    <t>O banco nunca atendeu minhas expectativas nem pedidos simples, levei um golpe no pix, me pediram vários documentos é nunca mais deram resposta, em várias viagens meu cartão deu problema, até o meio do ano pretendo sair, percebi que vocês são muito bons para ficar mandando propagandas para o meu email para eu comprar produtos</t>
  </si>
  <si>
    <t>O atendimento com extrema cortesia é prestatividade da atendente Cida,  empenho em resolver problemas, todos os problemas, elogio especial ao Sr Bernard .</t>
  </si>
  <si>
    <t>Sou cliente Sicoob é estão retirando os benefícios que possuo...</t>
  </si>
  <si>
    <t>Prestação de serviços com excelência, presteza é agilidade.</t>
  </si>
  <si>
    <t>Excelente atendimento, confiabilidade, melhores produtos.</t>
  </si>
  <si>
    <t>Precisa de melhorias no APP</t>
  </si>
  <si>
    <t>É um banco que valoriza o cliente com atendimento personalizado é oferece os melhores produtos com as menores taxas do mercado.</t>
  </si>
  <si>
    <t>Taxas é o atendimento, diferenciado!!!</t>
  </si>
  <si>
    <t>Diferente de todos os outros bancos onde já tive conta.</t>
  </si>
  <si>
    <t>O atendimento é diferenciado.</t>
  </si>
  <si>
    <t>Espera em resposta às solicitações</t>
  </si>
  <si>
    <t>Profissionais super comprometidos com o cliente.  parabéns.</t>
  </si>
  <si>
    <t>Atendimento, meios de comunicação, facilidade de uso do app</t>
  </si>
  <si>
    <t>NÃO oferece vantagens competitivas com outros bancos, financiamento, empréstimos, são de taxas de juros maiores que de outros bancos de fácil acesso para o servidor, BRB, BB, CEF, Itaú.</t>
  </si>
  <si>
    <t>Eu gosto do banco sicoob NÃO existem nenhum igual é bom demais</t>
  </si>
  <si>
    <t>melhor financiamento para bons pagadores.</t>
  </si>
  <si>
    <t>Porque cada vez que procuro alguem para resolver meu problema sou atendido com muita presteza</t>
  </si>
  <si>
    <t>Melhores taxas de consignado, seguros, participação nos lucros, conta capital, sorteios é mimus no dia da assembleia.</t>
  </si>
  <si>
    <t>NÃO tenho problemas</t>
  </si>
  <si>
    <t>NÃO consigo nada é nem falar com vocês</t>
  </si>
  <si>
    <t>tem seriedade, embora, NÃO tenha a disponibilidade que os bancos oferecem na plenitude, mas para movimentar a conta é tranquilo.</t>
  </si>
  <si>
    <t>O sicoob deveria ser mais atrativo nas taxas de juros aplicadas</t>
  </si>
  <si>
    <t>As vezes que precisei fui bem atendido,é fui um dos que trouxe a carteira para PM e BM.</t>
  </si>
  <si>
    <t>Plenamente satisfeito com o atendimento!</t>
  </si>
  <si>
    <t>NÃO me traz nenhuma vantagem</t>
  </si>
  <si>
    <t>Santificação</t>
  </si>
  <si>
    <t>Boa Noite,gosto do Sicoob mais dessa vez a atendente deixou a desejar,sei que muita gente já está bem antenada é eu tenho que me atualizar,pois tenho dificuldade com a tecnologia mais estou disposto a aprender é achei a atendente muito seca é fechada,acho que o Sicoob que investir mais nos seus funcionários para atender melhor.</t>
  </si>
  <si>
    <t>Atendimento é cortesia</t>
  </si>
  <si>
    <t>Pelo atendimento, participação nos lucros, taxas mais baixas, confiança na instituição.</t>
  </si>
  <si>
    <t>Tendo em vista que a cooperativa tem um atendimento diferenciado de outros bancos é os funcionários são muito cordiais.</t>
  </si>
  <si>
    <t>Tudo muito bom para o.cliente</t>
  </si>
  <si>
    <t>A agilidade, atenção, é transparência no serviço</t>
  </si>
  <si>
    <t>A melhor instituição financeira</t>
  </si>
  <si>
    <t>Excelente Banco! Atendentes sempre simpáticos e prestativos! Resolvo tudo vida Whatsapp!!!</t>
  </si>
  <si>
    <t>Apenas satisfeito com os produtos apresentados, com a cortesia dos funcionários.</t>
  </si>
  <si>
    <t>Complicado demais</t>
  </si>
  <si>
    <t>Excelência no serviço.</t>
  </si>
  <si>
    <t>Sempre sou muito bem atendida pela agência é consigo resolver todas as demandas do condomínio.</t>
  </si>
  <si>
    <t>É um banco diferente de todos os outros...sinto que faço parte dele.</t>
  </si>
  <si>
    <t>Tratamento com cliente excelente</t>
  </si>
  <si>
    <t>Qualidade e agilidade no atendimento.</t>
  </si>
  <si>
    <t>eficiência no trato com o cliente</t>
  </si>
  <si>
    <t>Nunca nem sei porque vocês mandando email para mim , NÃO sou cooperado, NÃO sou correntista.... Já está insuportável, vocês estão invadindo minha privacidade...</t>
  </si>
  <si>
    <t>Pelo ótimo relacionamento cliente/banco</t>
  </si>
  <si>
    <t>A FALTA DE auxílio e SOLUÇÕES DE PROBLEMAS NA PAGINA https://developers.sicoob.com.br/, desta forma acarreta sérios problemas na emissão de boletos é retornos de arquivos, acarretando prejuízos e desconfortos.</t>
  </si>
  <si>
    <t>Gosto do atendimento é política da empresa</t>
  </si>
  <si>
    <t>Bloqueiam meu cartão de crédito todo dia, por suspeita de fraude. Até entendo a precaução mas todo dia? Qualquer transação?</t>
  </si>
  <si>
    <t>Sempre atendeu minhas expectativas</t>
  </si>
  <si>
    <t>NÃO tenho cartão de crédito liberado.</t>
  </si>
  <si>
    <t>Quando cheguei, o banco me ajudou de diversas formas, é quando passei por dificuldade, momentâneo, me impôs um empréstimo, financiamento, é tirou todos os meus creditos que usava, dificultando minha vida! Hoje só decepção!</t>
  </si>
  <si>
    <t>sempre fui bem atendido é todos com quem tive contato, sempre foram muito prestativos</t>
  </si>
  <si>
    <t>não oferece nada ao cliente</t>
  </si>
  <si>
    <t>SICOOB EMPRESARIAL</t>
  </si>
  <si>
    <t>Satisfeito em trabalhar com o SICOOB</t>
  </si>
  <si>
    <t>Sempre vou na agência sou bem atendido</t>
  </si>
  <si>
    <t>Ótimo banco digital, ótima plataforma.  parabéns aos desenvolvedores!</t>
  </si>
  <si>
    <t>Tive algumas dificuldades quando precisei do banco , por isso cancelei</t>
  </si>
  <si>
    <t>Atendimento de excelência, tem um aplicativo fácil de usar</t>
  </si>
  <si>
    <t>Atendimento é pouca desburocracia.</t>
  </si>
  <si>
    <t>Foi retirado todo o meu saldo através de hacker,é o banco NÃO deu a mínima importância,deu uma resposta evasiva que a responsabilidade NÃO era de vocês,</t>
  </si>
  <si>
    <t>Banco excelente, ótimo atendimento e taxas. Colaboradores atenciosos e capacitados. Super recomendo!</t>
  </si>
  <si>
    <t>Sempre prontos para atender...os apps também são diretos e fáceis...</t>
  </si>
  <si>
    <t>Qualidade, segurança, proteção eficiência de atendimento, ciência, tecnologia e modernidade.</t>
  </si>
  <si>
    <t>Atendimento é praticidade</t>
  </si>
  <si>
    <t>NÃO tem acompanhamento.NÃO tem suporte a empresa pequena.ruim como qualquer outra instituição.Ah se você tiver um bom movimento aí sim você tem suporte linha de crédito .</t>
  </si>
  <si>
    <t>Os gerentes são ruins de comunicação. Revelam despreparo para cativar o cliente</t>
  </si>
  <si>
    <t>Servir com propósito</t>
  </si>
  <si>
    <t>Pela excelente atendimento</t>
  </si>
  <si>
    <t>Até hoje NÃO tive um retorno da minha solicitação</t>
  </si>
  <si>
    <t>Taxas altas de manutenção de conta.</t>
  </si>
  <si>
    <t>Excelente serviços prestados.</t>
  </si>
  <si>
    <t>O Sicoob NÃO libera cartão, nem empréstimo, nem cheque especial é quando eu deposito dinheiro eles ainda ficam com ele, esse banco NÃO presta</t>
  </si>
  <si>
    <t>fui enganado por esse banco.</t>
  </si>
  <si>
    <t>9, bom atendimento, agilidade e eficácia</t>
  </si>
  <si>
    <t>Muito bem atendida</t>
  </si>
  <si>
    <t>muito ruim o atendimento a liberar cartão de crédito é também a questão de credito.</t>
  </si>
  <si>
    <t>A empresa se preocupa com o bem estar dos empregados.</t>
  </si>
  <si>
    <t>Indisponibilidade de caixas eletrônicos</t>
  </si>
  <si>
    <t>tem as funções que muitas contas digitais tem, mas o diferencial é o cartão de crédito.</t>
  </si>
  <si>
    <t>Bom serviço</t>
  </si>
  <si>
    <t>Previsão de crédito</t>
  </si>
  <si>
    <t>Limite baixo do cartão</t>
  </si>
  <si>
    <t>péssimo atendimento, do gerente com as minhas empresas é pessoa física.  NÃO adianta me ligar, pois vou encerrar todas as minhas contas.</t>
  </si>
  <si>
    <t>Erro do pessoal da agência</t>
  </si>
  <si>
    <t>atendimento 100%</t>
  </si>
  <si>
    <t>Gosto muito do custo benefício do sicoob, Porem acho que precisa ter mais acessos para saques, ainda é muito limitado.</t>
  </si>
  <si>
    <t>Os custos de taxas NÃO existem</t>
  </si>
  <si>
    <t>sempre o melhor para as empresas</t>
  </si>
  <si>
    <t>péssimo atendimento</t>
  </si>
  <si>
    <t>Pq sempre que preciso de alguma suporte financeiro sou atendido.</t>
  </si>
  <si>
    <t>Estou gostando do trabalho do sicoob.</t>
  </si>
  <si>
    <t>NÃO vem relacionando-se com os cooperados conforme estabelecido nas regras cooperativista, deixando a desejar em muitos dos seus princípios como sistema cooperativista.</t>
  </si>
  <si>
    <t>Flexibilidade e agilidade</t>
  </si>
  <si>
    <t>Funcionários mal preparados é gerente que NÃO resolve nada</t>
  </si>
  <si>
    <t>O sistema Cooperativista é uma boa solução de crédito , justa é segura.</t>
  </si>
  <si>
    <t>Uma instituição que recebe todos os proventos de sua empresa é que para liberar um empréstimo de 15 mil reais precisa de declaração de imposto. Uma vez que sua empresa teve problemas com certificado digital,o que impossibilitou declará-lo. é nem mesmo um limite de cheque especial lhe libera. Ao meu ver NÃO pode ser indicada a ninguém. O pequeno comércio merece o mesmo tratamento que  os grandes. Isso enfraquece a confiança na instituição.</t>
  </si>
  <si>
    <t>det</t>
  </si>
  <si>
    <t>Facilidade de operar, baixos custos operacionais é ser cooperado</t>
  </si>
  <si>
    <t>Pouca disponibilidade de caixas para efetuar saques.</t>
  </si>
  <si>
    <t>falta comunicação com o cliente</t>
  </si>
  <si>
    <t>Simplicidade</t>
  </si>
  <si>
    <t>Boas funcionalidades</t>
  </si>
  <si>
    <t>Sou cooperativista é quero que o modelo se aperfeiçoe é se multiplique</t>
  </si>
  <si>
    <t>Qualidade é competência.</t>
  </si>
  <si>
    <t>Paguei uma fatura é mesmo assim fizeram um protesto,vou processar vcs</t>
  </si>
  <si>
    <t>Atendimento rápido e direto.</t>
  </si>
  <si>
    <t>Sou muito bem atendida pelo Sicoob. colaboradores excelentes é bem preparados. Tenho uma gerente maravilhosa Maysa Pontes.</t>
  </si>
  <si>
    <t>Cooperativa maravilhosa</t>
  </si>
  <si>
    <t>Nunca oferecem os produtos ...temos que ficar perguntando...Outros bancos oferecem na hora o que vcs oferecem apenas depois de 90 dias</t>
  </si>
  <si>
    <t>Amo o Sicoob de coração</t>
  </si>
  <si>
    <t>Simplesmente o Sicoob pensa no seu cooperado</t>
  </si>
  <si>
    <t>Acho o Sicoob uma excelente cooperativa na minha opinião mas poderia ter mais de possibilidade de linhas de crédito no app para quase tudo temos que pedir pro gerente.</t>
  </si>
  <si>
    <t>Poucas necessidades deixam de ser atendidas</t>
  </si>
  <si>
    <t>Mais de 8 anos de contas nunca tive um bom relacionamento onde sempre tem uma alta burocracia enorme é uma gestão péssima dos gerentes onde já passou vários!</t>
  </si>
  <si>
    <t>O Sicoob é muito bom, mas, algumas coisas precisam ser melhoradas para com o cooperado.</t>
  </si>
  <si>
    <t>Atendimento nota Mil</t>
  </si>
  <si>
    <t>falta de compromisso</t>
  </si>
  <si>
    <t>A minha resposta é 10</t>
  </si>
  <si>
    <t>Porque é uma empresa que se preocupa com o todo.</t>
  </si>
  <si>
    <t>Sempre muito atenciosos e prontos para nos ajudar a resolver qualquer impasse.</t>
  </si>
  <si>
    <t>Cobranças indevidas</t>
  </si>
  <si>
    <t>Satisfeito em parte</t>
  </si>
  <si>
    <t>Atendente. Camila</t>
  </si>
  <si>
    <t>NÃO tem LINHA DE credito ALGUMA</t>
  </si>
  <si>
    <t>Melhor cooperativa de crédito disparado</t>
  </si>
  <si>
    <t>NÃO obtive o que eu esperava por um banco cooperado</t>
  </si>
  <si>
    <t>NÃO trabalha tão bem quanto antigamente</t>
  </si>
  <si>
    <t>Difícil para liberar limite,falta confiança no cliente</t>
  </si>
  <si>
    <t>EFICIENTE e EFICAZ</t>
  </si>
  <si>
    <t>As inúmeras vantagens de ser um cooperado.</t>
  </si>
  <si>
    <t>Praticidade e rapidez no atendimento da agência</t>
  </si>
  <si>
    <t>Resolve meus problemas</t>
  </si>
  <si>
    <t>FALTA DE APOIO PARA EMPRESA, NENHUM INTERESSE POR PARTE DOS GERENTES</t>
  </si>
  <si>
    <t>Est</t>
  </si>
  <si>
    <t>Bom no começo da abertura da conta ainda que estava como conta salário NÃO posso avaliar porque NÃO precisei do banco hora nenhuma, mas todas as vezes que fui atrás de créditos tive que procurar outra instituição para me atender, cartões empréstimos etc.</t>
  </si>
  <si>
    <t>NÃO aceita carteira digital</t>
  </si>
  <si>
    <t>Atendimento sem igual.</t>
  </si>
  <si>
    <t>Estou satisfeito com o serviço desta instituição, Porém, é uma decisão minha NÃO avaliar o máximo.</t>
  </si>
  <si>
    <t>Todos as vezes que foi necessário atendimento via WhatsApp ou pessoalmente, a Wanessa da 4364 sempre com total atenção estava pronta para responder minhas dúvidas. Nota mil para o atendimento dela.</t>
  </si>
  <si>
    <t>Cartão de credito e emprestimo</t>
  </si>
  <si>
    <t>Muito bom atendimento é atender todas as minhas necessidades</t>
  </si>
  <si>
    <t>Sicoob precisa ser mais ágil.</t>
  </si>
  <si>
    <t>Sicoob é o melhor banco maravilhoso nota 10</t>
  </si>
  <si>
    <t>gratidão</t>
  </si>
  <si>
    <t>Facilidade e tranquilidade com o acesso.</t>
  </si>
  <si>
    <t>9 (nove)</t>
  </si>
  <si>
    <t>Minha nota trata-se de um grupo que ver seus associados, familiares e colaboradores como honestidade e seriedade como uma só família.</t>
  </si>
  <si>
    <t>Soluções é agilidade e profissionalismo dos colaboradores.</t>
  </si>
  <si>
    <t>A TOTAL FALTA DE COMPROMISSO COMIGO, COOPERADA, QUANDO DA RETIRADA INTEGRAL DO MEU DINHEIRO PARA PAGAMENTO DE UMA FATURA DE CARTÃO DE crédito QUE APENAS CONSTAVA EM débito POR ALGUNS DIAS é A QUAL, PODERIA SER PAGA PELO VALOR MÍNIMO, ATÉ COM ANUÊNCIA CONTRATUAL. FOI FALTA DE RESPEITO COM A COOPERADA é COM SUAS RESPONSABILIDADES FINANCEIRAS, A QUAL FICOU COM A CONTA ZERADA. ATÉ A PRESENTE DATA, NÃO FOI DEVOLVIDO O VALOR RETIRADO, ATÉ COM A NEGOCIAÇÃO JÁ FEITA DE ABATER-SE O VALOR DA PARCELA MÍNIMA DA FATURA, ATUALIZADA. DESTA FORMA, O DESRESPEITO é A FALTA DE COMPROMISSO COM ESTA COOPERADA, ME LEVA NÃO SÓ A NÃO INDICAR, COMO A TECER SEVERAS CRÍTICAS À FORMA COMO SE TRATA O COOPERADO, PELO MENOS NA PAB/SAMAMBAIA.</t>
  </si>
  <si>
    <t>20</t>
  </si>
  <si>
    <t>Porque é a melhor companhia aérea!</t>
  </si>
  <si>
    <t>O banco ouro mil.</t>
  </si>
  <si>
    <t>Por conta do atendimento rápido</t>
  </si>
  <si>
    <t>NÃO tenho nem como descrever. Muito bom perfeito!</t>
  </si>
  <si>
    <t>Abri uma conta baixando o app Sicoob. Recebi um cartão de crédito, na verdade zerado o limite; é sempre que tentava fazer aplicações, ou quaisquer movimentação bancária, NÃO tive sucesso. Cansei de tentar acessar é desinstalei e joguei o cartão fora.</t>
  </si>
  <si>
    <t>Sempre consegui resolver todos os imprevistos de foram ágil</t>
  </si>
  <si>
    <t>plataforma de difícil utilização</t>
  </si>
  <si>
    <t>chegou rápido</t>
  </si>
  <si>
    <t>APP MUITO RÁPIDO é ATENDIMENTOS DOS FUNCIONÁRIOS EXCELENTE.</t>
  </si>
  <si>
    <t>Excelente!!</t>
  </si>
  <si>
    <t>NÃO tem muitas vantagens NÃO dá uma liberação de cartão de crédito é nem opções de crédito</t>
  </si>
  <si>
    <t>bom retorno para o cooperado, bom atendimento, sem muita burocracia</t>
  </si>
  <si>
    <t>Rápido atendimento, equipe super atenciosa é gosto de trabalhar com cooperativa.</t>
  </si>
  <si>
    <t>Cooperativa excelente.</t>
  </si>
  <si>
    <t>Nunca me liberou nada</t>
  </si>
  <si>
    <t>Excelente cooperativa financeira</t>
  </si>
  <si>
    <t>Excelentes produtos e atendimento.</t>
  </si>
  <si>
    <t>credito que consegui com o sicoob = 0</t>
  </si>
  <si>
    <t>Banco muito bom.</t>
  </si>
  <si>
    <t>Compromisso é ética.</t>
  </si>
  <si>
    <t>Muito bom trabalhar com essa cooperativa</t>
  </si>
  <si>
    <t>Aplicativo muito bom, atendimento ótimo</t>
  </si>
  <si>
    <t>Atendimento é cordialmente, tratamento diferenciado.</t>
  </si>
  <si>
    <t>Excelente atendimento, perfeito para quem é corrido</t>
  </si>
  <si>
    <t>É um banco bom!</t>
  </si>
  <si>
    <t>Cooperação é o segredo do crescimento!!</t>
  </si>
  <si>
    <t>Sempre me ajudou nas minhas necessidades.</t>
  </si>
  <si>
    <t>Descaso com o cliente</t>
  </si>
  <si>
    <t>Aplicativo é o mesmo desde 2011, tem que ir no caixa automático para desbloquear dispositivos. Aplicação sicoobnet empresarial toda bugada entre outras coisas, como informações de produtos e afins. A Sensação que dá é que deixou a muito tempo de ser uma cooperativa focada em seus associados, só quer empurrar produto para lucrar é muitas vezes o que o associado realmente precisa NÃO consegue. Na época tive que abrir no sicoob pq era a única que NÃO ia cobrar mensalidade de manutenção para ter a conta, mas foi até bom mandarem essa pesquisa para eu procurar alguma outra instituição</t>
  </si>
  <si>
    <t>Tenho Score alto,tenho conta em outros bancos.é simplesmente NÃO me ofereceram um cartão de crédito.</t>
  </si>
  <si>
    <t>péssimo BANCO PARA FAZER ACORDO, PREFERE FICAR NO PREJUIZO!</t>
  </si>
  <si>
    <t>ÓTIMO BANCO</t>
  </si>
  <si>
    <t>Bom atendimento é retorno de nossas dúvidas.</t>
  </si>
  <si>
    <t>Nada 10</t>
  </si>
  <si>
    <t>Falta de crédito</t>
  </si>
  <si>
    <t>Bom atendimento e atenção com os associados</t>
  </si>
  <si>
    <t>O banco tem preferenciais por clientes</t>
  </si>
  <si>
    <t>Já sou do sistema Sicoob, como colaborador do CCS é ter a oportunidade de realizar a adesão a um cooperativa, era uma intenção antiga realizada agora justamente pelos valores e princípios do sistema.</t>
  </si>
  <si>
    <t>Instituição confiável</t>
  </si>
  <si>
    <t>Excelente empresa para trabalhar.</t>
  </si>
  <si>
    <t>Banco que NÃO coopera com o cooperado.</t>
  </si>
  <si>
    <t>Um bom atendimento é sem filas. O que faltou para ter um 10 foi mais facilidade com os produtos</t>
  </si>
  <si>
    <t>Boa tarde! Um banco que oferece uma conta corrente com benefícios igual a talão de cheque cobra tarifa mais na verdade só que recebe o dinheiro da tarifa NÃO libera talão de cheque. Obrigado</t>
  </si>
  <si>
    <t>Linha de crédito</t>
  </si>
  <si>
    <t>O aplicativo do Sicoob é rápido é responsivo, ficando na frente de alguns aplicativos bancários. Com relação a investimentos, existem poucas opções NÃO há diversificação como aplicações em CDB, LCI, LCA, CRA, CRI é ações negociadas na B3 é etc.</t>
  </si>
  <si>
    <t>NÃO ganhei um cartão de crédito.</t>
  </si>
  <si>
    <t>Gosto muito,mas NÃO libera o cartão de crédito.</t>
  </si>
  <si>
    <t>Atendimento rápido, agências vazias.</t>
  </si>
  <si>
    <t>NÃO gostei muita taxa que cobrar nessa conta é NÃO tem limite de nada</t>
  </si>
  <si>
    <t>Sicoob deixou de ser cooperativa é virou banco. Sangra o cooperado visando lucros....</t>
  </si>
  <si>
    <t>Atendimento precário.</t>
  </si>
  <si>
    <t>Muito fatores</t>
  </si>
  <si>
    <t>Um banco ótimo é de fácil acesso</t>
  </si>
  <si>
    <t>Bom em tudo</t>
  </si>
  <si>
    <t>Ou aprova o crédito ou NÃO, no momento da abertura da conta</t>
  </si>
  <si>
    <t>Porque acho um dos melhores</t>
  </si>
  <si>
    <t>Bom atendimento é evolução constante.</t>
  </si>
  <si>
    <t>Acredito no cooperativismo de crédito é amo o App do Sicoob. Muito melhor que do Itaú, BB e caixa</t>
  </si>
  <si>
    <t>não dão baixa nas contas pagas é assessoria de cobrança liga todos os dias.NÃO dão o suporte necessário,o atendimento eletrônico é muito demorado. é robô NÃO tira dúvidas,  o atendimento humanizado ainda é muito importante.</t>
  </si>
  <si>
    <t>Boa relação com a atendente Jordana , da agência Sicoob do Gama Df. Que sempre me propôs um ótimo atendimento. Só.não estou muito satisfeito com as taxas da maquininha</t>
  </si>
  <si>
    <t>Remuneração, benefícios, oportunidade de crescimento.</t>
  </si>
  <si>
    <t>Ainda faltam serviços bancários ao portfólio.</t>
  </si>
  <si>
    <t>Atendimento, app</t>
  </si>
  <si>
    <t>Acho super prático</t>
  </si>
  <si>
    <t>Pequena rede de atendimento</t>
  </si>
  <si>
    <t>5.000,00</t>
  </si>
  <si>
    <t>Infelizmente cada dia pior o atendimento.</t>
  </si>
  <si>
    <t>Fácil de trabalhar</t>
  </si>
  <si>
    <t>Respeito.</t>
  </si>
  <si>
    <t>NÃO liberam cartão de crédito</t>
  </si>
  <si>
    <t>Bom atendimento ao cliente</t>
  </si>
  <si>
    <t>Comparando com outros bancos NÃO é diferenciado no atendimento ao cooperado no quesito financiamento !</t>
  </si>
  <si>
    <t>Qualidade</t>
  </si>
  <si>
    <t>Ótimo atendimento sistema cooperativo de verdade</t>
  </si>
  <si>
    <t>Sou cliente do Sicoob há muitos anos é tive meu cartão clonado em agosto de 2022 é NÃO houve nenhuma comunicação por parte do banco, descobri somente com a chegada da fatura, entrei em contato com a central do cartão que disse que havia um novo cartão já pronto, mas NÃO tinham me notificado do ocorrido. Houve o estorno do valor é após alguns meses, novamente o valor me foi cobrado. Os atendentes, o tesoureiro da agência é outros me foram muito solidários mas nem a diretoria ou a central de cartão tiveram o mínimo de respeito por minha história como cliente. Nunca usei nem mesmo o limite da conta ou atrasei uma única vez o pagamento de meu cartão. No entanto, nada foi feito. Estou fazendo movimentos para mudar de banco.</t>
  </si>
  <si>
    <t>Atende as necessidades</t>
  </si>
  <si>
    <t>Abrir a conta jurídica é NÃO gerou o limite no cartão é nem no cheque especial</t>
  </si>
  <si>
    <t>É muito demorado para resolver as coisas para aceitar</t>
  </si>
  <si>
    <t>Sempre que necessito o atendimento é muito bom. Agora NÃO foi 10 pq acho que tem muita tarifa o Banco/Cooperativa é também as remunerações das aplicações estão abaixo do mercado, mas estou satisfeito com o atendimento.</t>
  </si>
  <si>
    <t>péssimo atendimento.</t>
  </si>
  <si>
    <t>Sicoob é um excelente banco, que pensa no cliente é NÃO apenas em Números.</t>
  </si>
  <si>
    <t>Melhor Instituição Financeira.</t>
  </si>
  <si>
    <t>Respeito ...</t>
  </si>
  <si>
    <t>acessibilidade e atendimento diferenciado.</t>
  </si>
  <si>
    <t>Amo o Sicoob!!</t>
  </si>
  <si>
    <t>Por que gosto da forma que o banco trabalha</t>
  </si>
  <si>
    <t>Por NÃO ter taxas</t>
  </si>
  <si>
    <t>Banco para ricos.</t>
  </si>
  <si>
    <t>Porque fez todo.um processo é ainda NÃO me ajudou em nada só me enrolaram NÃO liberou nada para mim mandei todos os documentos meu contracheque passei referências meu score muito bom  é no final NÃO liberaram nada só enrolação ganho bem ia passar a receber pelo banco mais NÃO entendo a política de vocês fiquei muito chateado com esse banco mais tudo bem</t>
  </si>
  <si>
    <t>Boas negociações</t>
  </si>
  <si>
    <t>NÃO tenho nenhum benefício.</t>
  </si>
  <si>
    <t>Nunca foi atendido sobre crédito</t>
  </si>
  <si>
    <t>tem me atendido bem em serviço bancário.</t>
  </si>
  <si>
    <t>atendimento ruim</t>
  </si>
  <si>
    <t>tem que melhorar mas.</t>
  </si>
  <si>
    <t>Um bom atendimento é preocupado com os seus clientes</t>
  </si>
  <si>
    <t>péssimo atendimento!</t>
  </si>
  <si>
    <t>para MIM MARAVILHOSO</t>
  </si>
  <si>
    <t>Nunca tive atendimento</t>
  </si>
  <si>
    <t>NÃO tem vantagem nenhuma</t>
  </si>
  <si>
    <t>Por mais benefícios aos associados</t>
  </si>
  <si>
    <t>Um app muito lento é nada intuitivo para mexer, Além de que tudo que for resolver tem que ir na agência é pegar senha para falar com o atendente. Muito ultrapassado.</t>
  </si>
  <si>
    <t>Muita burocracia para cartão de crédito</t>
  </si>
  <si>
    <t>Atendimento simples</t>
  </si>
  <si>
    <t>excelente atendimento digital</t>
  </si>
  <si>
    <t>é um banco o qual tenho flexibilidade é um bom atendimento</t>
  </si>
  <si>
    <t>O atendimento do Sicoob que era o diferencial se tornou mecânico é em nada, referindo-me ao atendimento, está diferenciando dos bancos convencionais.</t>
  </si>
  <si>
    <t>Meu coração é 💚</t>
  </si>
  <si>
    <t>Pouco limite</t>
  </si>
  <si>
    <t>taxas é facilidade em investimentos</t>
  </si>
  <si>
    <t>Confiabilidade e praticidade.</t>
  </si>
  <si>
    <t>NÃO consegui limite na conta é limite do cartão de crédito</t>
  </si>
  <si>
    <t>crédito, muito difícil</t>
  </si>
  <si>
    <t>Um banco prático.</t>
  </si>
  <si>
    <t>Até hoje em dias</t>
  </si>
  <si>
    <t>Fiquei quase 1 (mês) para ter resposta de uma solicitação.</t>
  </si>
  <si>
    <t>Tudo que precisei foi negado</t>
  </si>
  <si>
    <t>Excelente atendimento e facilidade de operações</t>
  </si>
  <si>
    <t>Falta de respeito e consideração por parte de diretoria com o cliente é associado que é quem mantém o salário deles</t>
  </si>
  <si>
    <t>É uma associação muito boa é os serviços bancários estão dentro da média dos demais bancos.</t>
  </si>
  <si>
    <t>Enviei comprovante de de renda, e recibo de Imposto de renda , sou pensionista do INSS é Funcionário público municipal, a 15 anos é NÃO me ofereceram nenhum tipo de crédito, somente um cartão com míseros 500,00 de limite, estou muito insatisfeito, breve irei encerrar a conta.</t>
  </si>
  <si>
    <t>agilidade atendimento</t>
  </si>
  <si>
    <t>Sou muito bem atendida</t>
  </si>
  <si>
    <t>Funcionários são profissionais e dedicados.</t>
  </si>
  <si>
    <t>É banco eficiente, muito bom</t>
  </si>
  <si>
    <t>Lixo !</t>
  </si>
  <si>
    <t>o sicoob, tem um atendimento personalizado é uma equipe eficiente.</t>
  </si>
  <si>
    <t>Sem</t>
  </si>
  <si>
    <t>Pouca atenção a microempresa.</t>
  </si>
  <si>
    <t>Eu tenho já um bom tempo que eu sou cliente recebo o salário na sicoob é NÃO tenho credito</t>
  </si>
  <si>
    <t>atendimento excelente , taxas baixas,retorno financeiro no período.</t>
  </si>
  <si>
    <t>Aplicativo NÃO é intuitivo, é NÃO tem benefícios</t>
  </si>
  <si>
    <t>péssimo atendimento e serviço</t>
  </si>
  <si>
    <t>NÃO nos deu muita atenção apesar de uma movimentação razoável nunca tivemos a chance de ouvir propostas de investimento se quer uma oferta de crédito, o que acabou nos levando a outros banco com mais interesse apesar de taxas mais elevadas!</t>
  </si>
  <si>
    <t>por ser um banco que atende bem as empresas</t>
  </si>
  <si>
    <t>Taxas muito altas</t>
  </si>
  <si>
    <t>NÃO IDENTIFICADO</t>
  </si>
  <si>
    <t>O bom atendimento da gerência é dos canais de comunicação</t>
  </si>
  <si>
    <t>NÃO dar valor nos clientes</t>
  </si>
  <si>
    <t>Faltam linhas de crédito para pequenas empresas</t>
  </si>
  <si>
    <t>NÃO me oferece nenhum tipo de crédito</t>
  </si>
  <si>
    <t>MUITO BOM, ÓTIMO COOPERATIVA DE crédito, DEIXA A DESEJAR UM POUCO NO ATENDIMENTO, MAS RECOMENDO</t>
  </si>
  <si>
    <t>crédito mais fácil é menos burocrático</t>
  </si>
  <si>
    <t>Nenhuma atenção para com o cliente. Nunca recebi uma única ligação do banco</t>
  </si>
  <si>
    <t>Gosto das taxas é princípios. Mas muita burocracia.</t>
  </si>
  <si>
    <t>Atendimento dos funcionários. Juros Ótima taxa</t>
  </si>
  <si>
    <t>atendimento a tempo é hora taxas mais em conta o gerente atende a tempo é a hora</t>
  </si>
  <si>
    <t>Ainda estou em.fase de manuseio</t>
  </si>
  <si>
    <t>Sou satisfeito com o Sicoob, profissionais altamente capacitados, humildes, simples e competentes!</t>
  </si>
  <si>
    <t>Depois que mudou para Sicoob</t>
  </si>
  <si>
    <t>Nenhum banco é nota 10</t>
  </si>
  <si>
    <t xml:space="preserve">SICOOB CREDFAZ </t>
  </si>
  <si>
    <t>Pelo tanto que eu movimento, sou tratado igual cachorro. Tô mudando para o santander</t>
  </si>
  <si>
    <t>NÃO vejo vantagem nesse banco</t>
  </si>
  <si>
    <t>Maravilhosa cooperativa</t>
  </si>
  <si>
    <t>Excelente atendimento e atenção</t>
  </si>
  <si>
    <t>Menores taxas.</t>
  </si>
  <si>
    <t>pessimo em relacionamento é linha de crédito</t>
  </si>
  <si>
    <t>Baixo custo de manutenção da conta é sem filas</t>
  </si>
  <si>
    <t>Nota 10, um bom atendimento, juros baixo</t>
  </si>
  <si>
    <t>O atendimento prestado pela equipe de Caldas Novas</t>
  </si>
  <si>
    <t>Retirou nosso acesso ao rendimento da aplicação !</t>
  </si>
  <si>
    <t>Gostamos da cooperativa por NÃOs atender sempre prontamente NÃOs dando todo apoio e atenção.</t>
  </si>
  <si>
    <t>Reduziram minha linha de crédito pessoal, sem eu ter dado motivos para isso...😕😕😕</t>
  </si>
  <si>
    <t>A experiência digital acho excelente, contudo a gerencial pode melhorar. Solicitei aprovação de aumento de limite de cartão é emissão de cheques há mais de 30 dias é minha gerente NÃO me deu nenhum retorno até hoje.</t>
  </si>
  <si>
    <t>Bom atendimento é boas taxas</t>
  </si>
  <si>
    <t>Nunca tem dinheiro em todas as vezes que tive LÁ</t>
  </si>
  <si>
    <t>Atendimento eficaz</t>
  </si>
  <si>
    <t>NÃO sou um cliente que eles dão atenção</t>
  </si>
  <si>
    <t>Banco com app fácil é simples de movimentar o meu dinheiro só falta me darem crédito!</t>
  </si>
  <si>
    <t>Aqui encontrei segurança, facilidades é muita clareza como cliente.</t>
  </si>
  <si>
    <t>Atendimento próximo do gerente. Falta apenas uma orientação melhor em relação à gestão do negócio do cliente.</t>
  </si>
  <si>
    <t>É ótimo ser cliente do sicoob</t>
  </si>
  <si>
    <t>péssimo</t>
  </si>
  <si>
    <t>É fácil é prático tudo o aplicativo é o atendimento muito bom</t>
  </si>
  <si>
    <t>Relacionamento, simplicidade,rendimentos</t>
  </si>
  <si>
    <t>Rendimento, atendimento</t>
  </si>
  <si>
    <t>Atendimento, relacionamento é rendimentos</t>
  </si>
  <si>
    <t>App nada intuitivo, dificuldade de atendimento é investimentos</t>
  </si>
  <si>
    <t>Consigo créditos em outras  instituições que nem conta eu tenho mais no Sicoob NÃO</t>
  </si>
  <si>
    <t>5 anos de conta é nome limpo é NÃO tem empréstimo.</t>
  </si>
  <si>
    <t>NÃO fazer empréstimo  para mim</t>
  </si>
  <si>
    <t>Atendimento, suporte, mais facilidade nos créditos.</t>
  </si>
  <si>
    <t>Atendimento na agência muito ruim tem que ficar adulando o gerente da conta para ter retorno sobre  alguma dúvida.</t>
  </si>
  <si>
    <t>Atendimento na agência muito ruim, tem que ficar adulando o gerente da conta quando preciso de alguma coisa.. Só não troquei de banco ainda por falta de tempo..</t>
  </si>
  <si>
    <t>Ótima atenção a cliente de pequeno porte financeiro, assim como eu. Mesmo NÃO tendo grande movimento financeiro, a cooperativa sempre me atende com prontidão.</t>
  </si>
  <si>
    <t>Uma boa opção de banco sem burocracia</t>
  </si>
  <si>
    <t>Bom atendimento. Boas taxas</t>
  </si>
  <si>
    <t>Atendimento excepcional.</t>
  </si>
  <si>
    <t>Melhores taxas, atendimento e serviços</t>
  </si>
  <si>
    <t>Pela burocracia de pegar QQ limite de crédito, nunca o cadastro está suficiente.</t>
  </si>
  <si>
    <t>atendimento gerencial</t>
  </si>
  <si>
    <t>Precisa melhorar a liberação de créditos.</t>
  </si>
  <si>
    <t>Muito ultrapassado em algumas coisas em relação aos demais bancos digitais.</t>
  </si>
  <si>
    <t>Bom relacionamento e atendimento.</t>
  </si>
  <si>
    <t>SICOOB CREDIJUSTRA</t>
  </si>
  <si>
    <t>Justiça financeira Produtos e serviços</t>
  </si>
  <si>
    <t>Para mim.... 50% é bom.</t>
  </si>
  <si>
    <t>fácil, banco bom é onde todos somos cooperados.</t>
  </si>
  <si>
    <t>O Sicoob é uma boa instituição financeira</t>
  </si>
  <si>
    <t>O App NÃO me deixa trabalhar??!!!!</t>
  </si>
  <si>
    <t>Satisfeito com a transferência</t>
  </si>
  <si>
    <t>O Sicoob busca excelência em todos os aspectos. Sempre somos bem atendidos. Para mim é o melhor.</t>
  </si>
  <si>
    <t>O atendimento excelente... busca sempre melhorias em produtos é tudo mais. O melhor.</t>
  </si>
  <si>
    <t>Falta algumas  na cooperativa</t>
  </si>
  <si>
    <t>Parceria Confiança Agilidade Excelente Atendimento Segurança</t>
  </si>
  <si>
    <t>O ATENDIMENTO é TODOS OS FUNCIONÁRIOS SÃO DE MUITA PRESTEZA e EDUCAÇÃO</t>
  </si>
  <si>
    <t>Sem liberação de créditos</t>
  </si>
  <si>
    <t>Adaptação e aprendizado com a instituição.</t>
  </si>
  <si>
    <t>NÃO ter que pagar a taxa de conta corrente.</t>
  </si>
  <si>
    <t>Tenho facilidade em trabalhar é falar com atendente é o aplicativo é de fácil  entendimento..</t>
  </si>
  <si>
    <t>Sempre muito bem atendida!</t>
  </si>
  <si>
    <t>Ontem fui falar com a gerente Mayra é ela NÃO mim deu atenção. Estava querendo fechar o seguro de um condomínio</t>
  </si>
  <si>
    <t>Tive problemas em programar o pagamento, visto NÃO ter dado certo a programação do resgate da poupança para pagar conta no mesmo dia.</t>
  </si>
  <si>
    <t>OS COLABORADOR ATENDE BeM.</t>
  </si>
  <si>
    <t>Cordialidade no atendimento</t>
  </si>
  <si>
    <t>Cobrança de tarifas e seguros NÃO solicitados</t>
  </si>
  <si>
    <t>Está atendendo meu condomínio falta só cartão de crédito</t>
  </si>
  <si>
    <t>Sou muito bem atendido, mas já tive prejuízo devido a resultado negativo da cooperativa.</t>
  </si>
  <si>
    <t>Teste</t>
  </si>
  <si>
    <t>Uma Ótima cooperativa, com excelentes profissionais</t>
  </si>
  <si>
    <t>O sistema cooperativista em sua essência é um sistema apaixonante é justo.</t>
  </si>
  <si>
    <t>Atendimento humano. Agência humana.</t>
  </si>
  <si>
    <t>Simplesmente NÃO tive nenhuma proposta</t>
  </si>
  <si>
    <t>Atualmente, é um Banco moderno</t>
  </si>
  <si>
    <t>É muito acolhedora, temos contato direto onde facilita muito</t>
  </si>
  <si>
    <t>Ótima instituição.</t>
  </si>
  <si>
    <t>O atendimento das cooperativas</t>
  </si>
  <si>
    <t>Atendentes ótimos</t>
  </si>
  <si>
    <t>excelente.</t>
  </si>
  <si>
    <t>é a melhor instituição financeira existente</t>
  </si>
  <si>
    <t>Eu recomendo caso ele queria algo ao seu alcance, como consórcio, é utilizar o banco para guardar dinheiro. Agora se for querer ativação de cartão de crédito, vai ser uma burocracia. Comigo está uma espera sem fim. No demais recomendo para algumas áreas outras NÃO.</t>
  </si>
  <si>
    <t>Segurança é juros menor</t>
  </si>
  <si>
    <t>Tô satisfeito com banco Sicoob só cliente 5 anos NÃO tenho como regra parabéns Sicoob pela parceria pelo companheirismo Sicoob o banco que faz a diferença é só acreditar</t>
  </si>
  <si>
    <t>O atendimento regular</t>
  </si>
  <si>
    <t>Muito ótimo</t>
  </si>
  <si>
    <t>Pessoal excelente é muito atencioso</t>
  </si>
  <si>
    <t>Trabalho de excelência.</t>
  </si>
  <si>
    <t>Boa relação com o banco</t>
  </si>
  <si>
    <t>Um banco sério confiável</t>
  </si>
  <si>
    <t>Um Banco com todos os serviços disponíveis é com taxas reduzidas.</t>
  </si>
  <si>
    <t>Um bom atendimento da agência de Planaltina DF é em Natal RN o caixa demora muito</t>
  </si>
  <si>
    <t>Pela honestidade do trabalho de vocês do nota 10</t>
  </si>
  <si>
    <t>Queria ver a possibilidade de ter crédito</t>
  </si>
  <si>
    <t>Péssimo</t>
  </si>
  <si>
    <t>banco que atende nossa financeiro, sem igual</t>
  </si>
  <si>
    <t>A pior Cooperativa que pode existir! Propaganda enganosa! Diretoria péssima -</t>
  </si>
  <si>
    <t>É um sistema cooperativo, onde você NÃO é apenas um cliente. É sócio.</t>
  </si>
  <si>
    <t>Atendimento  e rapidez</t>
  </si>
  <si>
    <t>É como se fosse uma família</t>
  </si>
  <si>
    <t>Serviço excelente.</t>
  </si>
  <si>
    <t>Razoável</t>
  </si>
  <si>
    <t>Muito péssimo o aplicativo</t>
  </si>
  <si>
    <t>Ser bem recebido em uma agência é tudo.</t>
  </si>
  <si>
    <t>Banco é bom tem algumas agência que funcionários são bons o que estraga a empresa é simplesmente o quanto vcs é rigoroso para dar crédito para clientes sabendo que todo mês fazemos depósito conta ativa score bom mesmo assim</t>
  </si>
  <si>
    <t>Ótimo banco de mexer é sempre que preciso o atendimento tbm é Ótimo</t>
  </si>
  <si>
    <t>Qualidade de atendimento!</t>
  </si>
  <si>
    <t>Presteza e agilidade no atendiment</t>
  </si>
  <si>
    <t>Pelo o bom atendimento</t>
  </si>
  <si>
    <t>Ótimo atendimento, eficiente</t>
  </si>
  <si>
    <t>Transparência, taxas menores, atendimento diferenciado!</t>
  </si>
  <si>
    <t>Por ser uma cooperativa excelente na minha vida pessoal</t>
  </si>
  <si>
    <t>Tenho tido umas experiências negativas é embora tenha feito reclamação, as coisas NÃO são resolvidas.</t>
  </si>
  <si>
    <t>é mais fácil que os outros o saco é diferenciado até no atendimento</t>
  </si>
  <si>
    <t>Tentei você ia site desde abril. empréstimo consignado. NÃO foi feito em tempo hábil para o órgão. Duas vezes</t>
  </si>
  <si>
    <t>Atendimento top.</t>
  </si>
  <si>
    <t>Melhor banco melhor cooperativa do mundo atendimento diferenciado, aplicativo diferenciado.</t>
  </si>
  <si>
    <t>Falta de uma oferta melhor de credito mesmo com dinheiro como lastro em conta capital o banco corre risco zero ao oferecer crédito para o banco é ótimo fica com uma saúde financeira nota mil agora quando o cliente precisa o dinheiro dele tá preso é ainda têm que recorrer a outros bancos levando o que deixaria de lucro para cooperativa dele em outra instituição que ao meu ver no futuro pode ser que a saúde financeira da instituição possa ficar fraca por conta da migração.</t>
  </si>
  <si>
    <t>Muito bom.  Nota 10.</t>
  </si>
  <si>
    <t>Gosto do aplicativo prático</t>
  </si>
  <si>
    <t>Fácil acesso, com os funcionários</t>
  </si>
  <si>
    <t>Banco vazio, mais ruim de crédito</t>
  </si>
  <si>
    <t>Cooperada muitos anos é.me foi negado o retorno do meu limite de conta.</t>
  </si>
  <si>
    <t>NÃO dá crédito</t>
  </si>
  <si>
    <t>Ótimo banco, Ótimo cartão de crédito!!</t>
  </si>
  <si>
    <t>Por ser um bom banho,  com aplicações excelentes.</t>
  </si>
  <si>
    <t>A facilidade de contato</t>
  </si>
  <si>
    <t>Nota dez(10).</t>
  </si>
  <si>
    <t>Já tenho conta a algum tempo! Gosto muito!</t>
  </si>
  <si>
    <t>Ótimo atendimento com produtos e serviços que atende as minhas necessidades!</t>
  </si>
  <si>
    <t>Sem benefícios para quem movimenta muito a conta !</t>
  </si>
  <si>
    <t>Agilidade em atendimento</t>
  </si>
  <si>
    <t>Atendimento da agência de Aparecida do Rio Doce é muito bom.</t>
  </si>
  <si>
    <t>Sem limites</t>
  </si>
  <si>
    <t>Melhor instituição financeira</t>
  </si>
  <si>
    <t>Pouco crédito, muita burocracia, NÃO oferece nenhuma vantagem em utilizar apenas esse banco.</t>
  </si>
  <si>
    <t>Ótimo atendimento é ótimo banco</t>
  </si>
  <si>
    <t>1o</t>
  </si>
  <si>
    <t>Rapidez e qualidade.</t>
  </si>
  <si>
    <t>Demora nos processos</t>
  </si>
  <si>
    <t>Dificuldade em resolver</t>
  </si>
  <si>
    <t>NÃO estou tendo atendimento que gostaria</t>
  </si>
  <si>
    <t>Processo de utilização dos canais de auto atendimentos muito burocrático, comparando-se com as outras instituições de crédito, apesar de saber que precisamos de segurança!</t>
  </si>
  <si>
    <t>Atendimento e facilidade no crédito</t>
  </si>
  <si>
    <t>NÃO tem nem um beneficio</t>
  </si>
  <si>
    <t>Envolvimento como nosso negócio</t>
  </si>
  <si>
    <t>Preciso de emprestimo para minha empresa é vcs NÃO ajuda o que devo fazer</t>
  </si>
  <si>
    <t>Cooperativa de qualidade, bom atendimento, sempre nos atende é temos retorno de nossas dúvidas</t>
  </si>
  <si>
    <t>Gerente muito prestativo</t>
  </si>
  <si>
    <t>Eficiência no atendimento</t>
  </si>
  <si>
    <t>O banco não oferece nada para mim nem boleto desconta empréstimo nem se fala aí fica difícil</t>
  </si>
  <si>
    <t>Bom atendimento e presteza</t>
  </si>
  <si>
    <t>Sempre sou bem atendida em Minhas necessidades</t>
  </si>
  <si>
    <t>Pouco crédito para empresas</t>
  </si>
  <si>
    <t>Sempre está pronto a ajudar nas situações financeiras!</t>
  </si>
  <si>
    <t>Sistema operacional ruim</t>
  </si>
  <si>
    <t>A CAGADA do banco em tirar a informação do saldo aplicado no extrato.</t>
  </si>
  <si>
    <t>Atendimento cortês e ágil.</t>
  </si>
  <si>
    <t>Pelo atendimento o pessoal são muito cordial é o aplicativo fácil de manusear.</t>
  </si>
  <si>
    <t>até agora tudo ok</t>
  </si>
  <si>
    <t>Qualidade na prestação de serviços</t>
  </si>
  <si>
    <t>Atendimento excelente, ótimas tarifas e planos de seguro excelente</t>
  </si>
  <si>
    <t>Tratar as pessoas muito bem</t>
  </si>
  <si>
    <t>Parcialidade é diretoria favorece associados relacionamento próximos.</t>
  </si>
  <si>
    <t>Gosto do atendimento da minha agência, pena que vai mudar de endereço.</t>
  </si>
  <si>
    <t>Resolve o problema logo vai lá NÃO tem fila é sou bem atendido</t>
  </si>
  <si>
    <t>Falta acompanhamento melhor do cliente, para oferecer serviços personalizados.</t>
  </si>
  <si>
    <t>Sempre consigo tudo com facilidade</t>
  </si>
  <si>
    <t>Cobrando muita coisa desnecessária</t>
  </si>
  <si>
    <t>Atendimento excelente.</t>
  </si>
  <si>
    <t>Porque é o melhor banco, indico para vários clientes meus</t>
  </si>
  <si>
    <t>Taxas boas é várias transações sem taxa, atendimento excelente é exclusivo para empresários</t>
  </si>
  <si>
    <t>Até agora NÃO consegui uma aprovação de crédito. Só por isso</t>
  </si>
  <si>
    <t>Sempre me atendeu quando precisei, é atenção é recepção com seus associados</t>
  </si>
  <si>
    <t>para conseguir empréstimo tem de algum bem alienado</t>
  </si>
  <si>
    <t>Bom atendimento, ótimas taxas</t>
  </si>
  <si>
    <t>A demora em atualização  de um cadastro é  imensa</t>
  </si>
  <si>
    <t>Muito bom onde todos cooperamos.</t>
  </si>
  <si>
    <t>18343089000154</t>
  </si>
  <si>
    <t>Sim. É uma cooperativa voltada para os interesses do cliente.</t>
  </si>
  <si>
    <t>NÃO tá liberdade de cartão de crédito</t>
  </si>
  <si>
    <t>NÃO obtive informações para mim negociar minha dívida</t>
  </si>
  <si>
    <t>Ótimo 👍</t>
  </si>
  <si>
    <t>Necessita melhorar a oferta de crédito</t>
  </si>
  <si>
    <t>Falta de limite de crédito.</t>
  </si>
  <si>
    <t>O atendimento dos funcionários</t>
  </si>
  <si>
    <t>Atendimento com agilidade</t>
  </si>
  <si>
    <t>NÃO negocia comigo é NÃO atende minhas necessidades</t>
  </si>
  <si>
    <t>Bom rela</t>
  </si>
  <si>
    <t>O banco NÃO atende mais às necessidades do cliente. Muita burocracia para conseguir crédito é atendentes que NÃO fazem questão de dar retorno ao cliente.</t>
  </si>
  <si>
    <t>Excelência e clareza nos serviços prestados.</t>
  </si>
  <si>
    <t>Excelentes produtos e atendimentos.</t>
  </si>
  <si>
    <t>As cooperativas possuem travas no atendimento ao novo associado que sensibilizam uma boa experiência.</t>
  </si>
  <si>
    <t>NÃO dão oportunidade de credito nenhum</t>
  </si>
  <si>
    <t>atenção com os detalhes no atendimento</t>
  </si>
  <si>
    <t>Sicoob Tocantins, mais que uma escolha financeira a cooperativa do Tocantins. Melhor do mundo!</t>
  </si>
  <si>
    <t>A cooperativa é prestativa, é anda lado a lado com o cooperado</t>
  </si>
  <si>
    <t>A cooperativa mantem muito contato com os cooperados</t>
  </si>
  <si>
    <t>Falta de atenção no atendimento.</t>
  </si>
  <si>
    <t>Atendimento diferenciado é taxas baixas ...é minha Gerente faz toda diferença....</t>
  </si>
  <si>
    <t>A equipe do Sicoob  NÃO desistir dos comprados sempre acompanhando é mostrando interesse para cuidar bem nos meus negócios na empresa obg</t>
  </si>
  <si>
    <t>Sobras.</t>
  </si>
  <si>
    <t>Algumas cooperativas ainda deixam a desejar em questão de um atendimento eficaz em algumas áreas.</t>
  </si>
  <si>
    <t>O modelo de negocio é bom, mas falta ser melhor difundido.</t>
  </si>
  <si>
    <t>GOSTEI MUITO DOS PROCEDIMENTOS DO BANCO EM GERAL.</t>
  </si>
  <si>
    <t>As taxas em boletos bancários serem mais baixas</t>
  </si>
  <si>
    <t>Sempre fui muito bem atendida é o Sicoob é muito parceiro</t>
  </si>
  <si>
    <t>Bom atendimento, taxas acessíveis.</t>
  </si>
  <si>
    <t>Por achar um banco ideal para família</t>
  </si>
  <si>
    <t>Gosto da agilidade do Sicoob</t>
  </si>
  <si>
    <t>Relacionamento inesistente é impossível com próprio gerente do banco santander</t>
  </si>
  <si>
    <t>Empresa de pessoas</t>
  </si>
  <si>
    <t>Respeito, proximidade é atenção ao cliente.</t>
  </si>
  <si>
    <t>Equipe atenciosa é sempre disposta a ajudar.</t>
  </si>
  <si>
    <t>O nosso atendimento ao associado ainda precisa ser aperfeiçoado</t>
  </si>
  <si>
    <t>Falta de atenção é resolução dos problemas, principalmente do cartão é uma vergonha ?</t>
  </si>
  <si>
    <t>Você ter   uma instituição que preocupa com você, é investe em você NÃO é preciso dizer mais nada.</t>
  </si>
  <si>
    <t>NÃO foi 10, porque somente DEUS que é perfeito.</t>
  </si>
  <si>
    <t>Clareza, facilidade</t>
  </si>
  <si>
    <t>Uma semana para atender uma demanda é difícil. O que vocês NÃO entendem é que banco só procurado na necessidade.</t>
  </si>
  <si>
    <t>Ótimo atendimento,todas as funções</t>
  </si>
  <si>
    <t>NÃO tem credito</t>
  </si>
  <si>
    <t>As opções para investimentos são restritas, mas atendem do ponto desvista se retorno financeiro</t>
  </si>
  <si>
    <t>Muito boa</t>
  </si>
  <si>
    <t>Sou bem atendida.</t>
  </si>
  <si>
    <t>Muito bom maravilhoso</t>
  </si>
  <si>
    <t>Sou cooperante a muitos anos tive que parcelar meu cartão, paguei todas as parcelas é NÃO quiseram liberar mais meu limite no cartão.</t>
  </si>
  <si>
    <t>Nunca me contactaram para nada. Map existo para o Sicoob</t>
  </si>
  <si>
    <t>Gosto da cooperativa</t>
  </si>
  <si>
    <t>Ótimo banco...ótimo atendimento é ótimo benefício</t>
  </si>
  <si>
    <t>Um banco que NÃO tem muita taxas a cobra do criente</t>
  </si>
  <si>
    <t>Boa tarde sou muito bem atendido</t>
  </si>
  <si>
    <t>Ótimo de taxas é atendimento.</t>
  </si>
  <si>
    <t>Sempre fui muito bem atendida em todas situações.</t>
  </si>
  <si>
    <t>Boa tarde atendido com qualidade</t>
  </si>
  <si>
    <t>Um banco muito resolutivo com pessoas</t>
  </si>
  <si>
    <t>Melhor suporte ao cooperado</t>
  </si>
  <si>
    <t>Falta olhar para o cliente de menor potencial que prescisa do apoio da cooperativa em emprestimo, financiamentos etc</t>
  </si>
  <si>
    <t>atendimento, taxas é serviços ofertados</t>
  </si>
  <si>
    <t>Muito burocrático conseguir credito</t>
  </si>
  <si>
    <t>Um banco com muitas opções com pessoas inteligentes é carismáticas</t>
  </si>
  <si>
    <t>Gosto muito, Porem, NÃO acho a usabilidade do aplicativo boa, o menu é gigante é confuso</t>
  </si>
  <si>
    <t>Ótimo atendimento. Rápido é eficiente.</t>
  </si>
  <si>
    <t>Atendimento , taxa mais barata.</t>
  </si>
  <si>
    <t>A gerência tá muito ruim</t>
  </si>
  <si>
    <t>Entrega  do cartão.     Venc  31 05.  Ainda NÃO  chegou</t>
  </si>
  <si>
    <t>Atenção atendimento diferenciado</t>
  </si>
  <si>
    <t>Vcs tem uma equipe incrível</t>
  </si>
  <si>
    <t>Ótimo,  atendimento é excelente produtos ofertados.</t>
  </si>
  <si>
    <t>Atendimento eficaz. Preocupação com o cooperado.</t>
  </si>
  <si>
    <t>O atendimento personalizado, a agilidade é as excelentes condições</t>
  </si>
  <si>
    <t>Mais de um ano sem utilização da conta voltei a usar foi cobrado taxa da conta inativa sem eu te utilizado nem um serviço!!!</t>
  </si>
  <si>
    <t>Acesso rápido,atendendimento muito bom</t>
  </si>
  <si>
    <t>Gosto do Banco enqto Cooperativa...</t>
  </si>
  <si>
    <t>Meu tempo de sicoob é acho que é NÃOs correntistas, que devemos participar de sua administração. Votar é acompanhar a gestao de Presidente, dos Conselheiros,... Pena que temos pouco tempo para isto.</t>
  </si>
  <si>
    <t>O atendimento para pessoa física deixa a desejar é muito.</t>
  </si>
  <si>
    <t>Falta um cartão de credito</t>
  </si>
  <si>
    <t>Bom atendimento é boa resolução dos problemas</t>
  </si>
  <si>
    <t>Atendimento é produtos oferecidos</t>
  </si>
  <si>
    <t>O melhor banco 1</t>
  </si>
  <si>
    <t>Atendimento impecável,</t>
  </si>
  <si>
    <t>Movimento minha conta nunca recebi cartão de credito limite especial ou até mesmo cheque.  NÃO me oferecem financiamento se casa ou de carro. NÃO me oferecem emprestimo. é meu nome é limpo com score acima de 800</t>
  </si>
  <si>
    <t>bom atendimento é presteza</t>
  </si>
  <si>
    <t>Atendimento gerenci</t>
  </si>
  <si>
    <t>Sicoob é bom. Daria nota 10 se o cartão de credito tivesse anuidade zero.</t>
  </si>
  <si>
    <t>As vezes o app oscila muito</t>
  </si>
  <si>
    <t>Muito insatisfeito com o banco, pois os gerentes NÃO capazes de solucionar ou ajudar os clientes, sempre é NÃO, NÃO recomendo esse banco para ninguem</t>
  </si>
  <si>
    <t>A organização  parabéns</t>
  </si>
  <si>
    <t>Muito bem atendida. É sempre com a verdade</t>
  </si>
  <si>
    <t>Hj é um banco NÃO mais uma cooperativa, NÃO está voltada para que ajudou a fundar</t>
  </si>
  <si>
    <t>Pela burocracia para obter credito é aumento de credito.</t>
  </si>
  <si>
    <t>A segurança</t>
  </si>
  <si>
    <t>O gerente da agência NÃO te atende é NÃO dá retorno.</t>
  </si>
  <si>
    <t>Atendimento preciso</t>
  </si>
  <si>
    <t>Um bom atendimento é por ser uma cooperativa</t>
  </si>
  <si>
    <t>Taxas mais justas, ótimo atendimento</t>
  </si>
  <si>
    <t>Toda é qualquer  operação sempre a fácil de usar</t>
  </si>
  <si>
    <t>Sem opção de oportunidade pelo menos que me ofereceu</t>
  </si>
  <si>
    <t>Assistência é atendimento</t>
  </si>
  <si>
    <t>Presteza ordem seguranca</t>
  </si>
  <si>
    <t>Muito bom principalmente as atendentes muito educada</t>
  </si>
  <si>
    <t>Muito bom, profissionais maravilhoso que me ajudam muito , tiram dúvidas é tudo , muito educados é atenciosos, Sicoob banco excelente 😍</t>
  </si>
  <si>
    <t>Atedimento do banco é os pacotes devservico</t>
  </si>
  <si>
    <t>Sempre que preciso sou atendida</t>
  </si>
  <si>
    <t>Aplicativo completo é de acesso fácil</t>
  </si>
  <si>
    <t>Atende as minhas necessidades</t>
  </si>
  <si>
    <t>Recebo meu pagamento mas infelizmente NÃO tenho nenhuma linha de credito,já estou pensando em fazer portabilidade de meu salário para outro banco.</t>
  </si>
  <si>
    <t>Cooperativismo é mais barato é mais humano</t>
  </si>
  <si>
    <t>tem um ótimo relacionamento com o cliente</t>
  </si>
  <si>
    <t>Atenção é credibilidade que dão aos clientes</t>
  </si>
  <si>
    <t>Sou muito bem atendido. Cliente satisfeita</t>
  </si>
  <si>
    <t>atendimen</t>
  </si>
  <si>
    <t>Pelos os funcionários</t>
  </si>
  <si>
    <t>parabéns pelo seu atendimento</t>
  </si>
  <si>
    <t>Gosto tanto da Sicoob que tenho</t>
  </si>
  <si>
    <t>Nota 🔟</t>
  </si>
  <si>
    <t>Gosto tanto da Sicoob que tenho 4 contas correntes</t>
  </si>
  <si>
    <t>Atendimento ,é crescimento cada dia</t>
  </si>
  <si>
    <t>Muito ruim de retorno por parte de atendimento</t>
  </si>
  <si>
    <t>é banco muito bom   atendimento ótimo?</t>
  </si>
  <si>
    <t>Atedimento satisfatório</t>
  </si>
  <si>
    <t>Atendimento humanizado. Campanhas transparentes. Ambiente é horário diferenciado.</t>
  </si>
  <si>
    <t>Melhorar em alguns aspectos..</t>
  </si>
  <si>
    <t>Banco bom</t>
  </si>
  <si>
    <t>Tento creditos tenho boa movimentação  é NÃO consigo</t>
  </si>
  <si>
    <t>Pessoal atencioso  , educado é competente</t>
  </si>
  <si>
    <t>Atendimento Sicoob</t>
  </si>
  <si>
    <t>Atendimento precário</t>
  </si>
  <si>
    <t>Recebo dessa instituição o tratamento que necessito.</t>
  </si>
  <si>
    <t>Sempre sou bem atendida.</t>
  </si>
  <si>
    <t>Só pelo fato de tirarem meu limite de credito.</t>
  </si>
  <si>
    <t>Amigo</t>
  </si>
  <si>
    <t>Gentileza</t>
  </si>
  <si>
    <t>Confiança é credibilidade</t>
  </si>
  <si>
    <t>10       10</t>
  </si>
  <si>
    <t>Ótimo tratamento . Menos  tarifa.</t>
  </si>
  <si>
    <t>Estou satisfeito, mas sempre tem algo que pode melhorar. Sugestão: creditos com taxas mais baratas para o produtor.</t>
  </si>
  <si>
    <t>Atenção muito especial pela gerente Jack</t>
  </si>
  <si>
    <t>O banco Sicoob atende todas as minhas carências só falta liberar credito para mim pois fiz portabilidade de salário para o Sicoob é até hoje nada ainda,fora isso o banco é 100 %</t>
  </si>
  <si>
    <t>Gerente comprometida…</t>
  </si>
  <si>
    <t>Aparência</t>
  </si>
  <si>
    <t>Faço movimentação bancária a mais ou menosn8 anos nesse banco,sempre paguei meu cartão de credito, ouve um imprevisto é fiquei 12 dias sem pagar a fatura, é simplesmente bloquearam meus creditos, mesmo depois que tinha pago tudo,negaram a liberação do cartão de credito</t>
  </si>
  <si>
    <t>Eu queria um limite melhor</t>
  </si>
  <si>
    <t>Acho que a conduta dessa instituição, é mais  banco do que cooperativa.</t>
  </si>
  <si>
    <t>Em questão de financiamentos tem juros até razoável, mas os prazos são muito pequenos para pagamento.</t>
  </si>
  <si>
    <t>Porque estou sastifeeito</t>
  </si>
  <si>
    <t>Estou sastifeito</t>
  </si>
  <si>
    <t>Gosto do banco Sicoob,é muito bom!</t>
  </si>
  <si>
    <t>já foi melhor, mais banco, menos cooperativa!</t>
  </si>
  <si>
    <t>Atendimento, boa operacionalidade é estabilidade financeira</t>
  </si>
  <si>
    <t>Pela agilidade é atendimento</t>
  </si>
  <si>
    <t>Oferece pouca oportunidade para agente</t>
  </si>
  <si>
    <t>Satisfeito com atendimento</t>
  </si>
  <si>
    <t>Facilidade em resolver as coisas, boa comunicação</t>
  </si>
  <si>
    <t>Pior experiência em um banco.</t>
  </si>
  <si>
    <t>Muita burocracia para resolver algums problemas principalmente que se refere a linhas de credito.</t>
  </si>
  <si>
    <t>Excente atendimento, solução rápida para situações.</t>
  </si>
  <si>
    <t>O banco tá muito distante de operações ideais financeiras quando se trato do seu cliente é correntista. A instituição bancária é boa para captar recursos. Agora no caso de empréstimos é operações que favorecem são outros quinhentos é deixa muito a desejar. O ponto positivo é o atendimento direto aos clientes é correntistas.</t>
  </si>
  <si>
    <t>é um banco para se ter uma conta</t>
  </si>
  <si>
    <t>Simples é fácil  como todo banco teria de ser.</t>
  </si>
  <si>
    <t>Foi muito bom passar para o Sicoob estou precisando de um cartão de credito tem muito tempo que eu criente</t>
  </si>
  <si>
    <t>Blz</t>
  </si>
  <si>
    <t>Em questão do aplicativo do pix</t>
  </si>
  <si>
    <t>Muito bom é eficiente</t>
  </si>
  <si>
    <t>algumas faltas de informação</t>
  </si>
  <si>
    <t>Atendimento ótimo,sempre que preciso sou bem atendido !</t>
  </si>
  <si>
    <t>Sempre sou bem atendido desde 99!</t>
  </si>
  <si>
    <t>DEPOIS QUE O SICOOB FEZ A UNIFICAÇÃO COM O SICOOB RURAL, não CAIU O LUCRO DOS COOPERADOS, não GANHAMOS MAIS BRINDES.</t>
  </si>
  <si>
    <t>O banco é nota 10</t>
  </si>
  <si>
    <t>Sou cliente é por isso</t>
  </si>
  <si>
    <t>Menos taxas</t>
  </si>
  <si>
    <t>Tenho experiência em trabalhar com o sistema Sicoob a muitos anos, desde sua criação.</t>
  </si>
  <si>
    <t>Tudo simples é eficiente!</t>
  </si>
  <si>
    <t>Ser internacionsl</t>
  </si>
  <si>
    <t>Falta de credito</t>
  </si>
  <si>
    <t>É muito bom ser parceiro dessa cooperativa</t>
  </si>
  <si>
    <t>Atendimento bom, é taxa muito baixas.</t>
  </si>
  <si>
    <t>Atendia na agência</t>
  </si>
  <si>
    <t>Atendimento de qualidade é interesse dos funcionários em atender as  necessidades do cooperado.</t>
  </si>
  <si>
    <t>Excelente atendimento é condições de taxas sem igual.</t>
  </si>
  <si>
    <t>sinceridade, rapidez, agilidade é comprometimento com o setor produtivo</t>
  </si>
  <si>
    <t>Atenção com clientes</t>
  </si>
  <si>
    <t>Me falaram que eu ter um cartão de credito é outros,benefícios é já faz mais de ano é até agora NÃO consegui nada cumpro com os meus compromissos em dias.Estou até pensando em fechar minha conta.</t>
  </si>
  <si>
    <t>O atendimento dos colaboradores é a rapidez em atender as nossas necessidades.</t>
  </si>
  <si>
    <t>O bom atendimento.</t>
  </si>
  <si>
    <t>Atende muito bem.</t>
  </si>
  <si>
    <t>Atendimento rápido é eficiente.</t>
  </si>
  <si>
    <t>Banco muito bom de se lidar...bem menos burocracia</t>
  </si>
  <si>
    <t>Um banco muit</t>
  </si>
  <si>
    <t>As taxas de manutenção mais barato, é atenção que é dado aos cooperados</t>
  </si>
  <si>
    <t>Compromisso com os associados.</t>
  </si>
  <si>
    <t>Uma cooperativa de muita responsabilidade, que vida o bem estar dos seus clientes. Sem contar numa equipe de funcionários muito educados é competentes</t>
  </si>
  <si>
    <t>Muito eficaz</t>
  </si>
  <si>
    <t>Uma cooperativa  que visa o crescimento  do próximo,  auxilia é oferece uma rede de apoio imensa . é sempre o Cooperado em 1 lugar.</t>
  </si>
  <si>
    <t>A falta de um atendimento personalizado é ágil</t>
  </si>
  <si>
    <t>Ótimo atendimento NÃO tem enrolação</t>
  </si>
  <si>
    <t>Ótimo relacionamento cooperativa/cooperado, fácil acesso a produtos.</t>
  </si>
  <si>
    <t>Agilidade nos serviços</t>
  </si>
  <si>
    <t>Juros autos</t>
  </si>
  <si>
    <t>O Sicoob Executivo NÃO recomendo para ninguem. Pois cada mês que passa inventam uma tarifa diferente para descontar diretamente da conta. Da até preocupação de deixar dinheiro na conta é é capaz de sumir devido a tarifas que ficam inventando</t>
  </si>
  <si>
    <t>Bom atendimento, juros baixos</t>
  </si>
  <si>
    <t>Até hoje nunca tive aumento de limite, sempre pagando em dia</t>
  </si>
  <si>
    <t>Por que o sicoob,até então tem correspondido as minhas necessidades.</t>
  </si>
  <si>
    <t>10 para mie ótimo é selente</t>
  </si>
  <si>
    <t>O atendimento excepcional das meninas do sicoob de itaja</t>
  </si>
  <si>
    <t>Sempre me ajuda</t>
  </si>
  <si>
    <t>Eu gosto muito do Sicoob é de tudo que ele representa.</t>
  </si>
  <si>
    <t>Funcionários sempre dispostos a nos ajudar</t>
  </si>
  <si>
    <t>Localização fixa perto da minha casa</t>
  </si>
  <si>
    <t>Atendimento com atenção</t>
  </si>
  <si>
    <t>menos burocracia nos processos.</t>
  </si>
  <si>
    <t>NÃO liberaram cartão de credito.</t>
  </si>
  <si>
    <t>As taxas estão iguais a dos outros bancos, se NÃO, maiores ainda</t>
  </si>
  <si>
    <t>Ótimo  Recomendo guê abri conta é movimenta</t>
  </si>
  <si>
    <t>NÃO chega notificações de compras no credito</t>
  </si>
  <si>
    <t>Assessoria sobre investimentos deixa muito a desejar.</t>
  </si>
  <si>
    <t>Muito boa meninas da unidade de Itaja-GO são muito gentil atendem muito bem</t>
  </si>
  <si>
    <t>Gostei de ser cliente  deste banco</t>
  </si>
  <si>
    <t>Um banco muito bom mas não me liberou limite ainda</t>
  </si>
  <si>
    <t>Eu estou gostando</t>
  </si>
  <si>
    <t>O atendimento nota 10</t>
  </si>
  <si>
    <t>é legal</t>
  </si>
  <si>
    <t>Cordialidade, transparência</t>
  </si>
  <si>
    <t>Presteza com os associados</t>
  </si>
  <si>
    <t>Sempre preenchendo as minhas necessidade</t>
  </si>
  <si>
    <t>Difícil solução de problemas com agente humano</t>
  </si>
  <si>
    <t>Vcs são ruim demais para dar credito para seus clientes</t>
  </si>
</sst>
</file>

<file path=xl/styles.xml><?xml version="1.0" encoding="utf-8"?>
<styleSheet xmlns="http://schemas.openxmlformats.org/spreadsheetml/2006/main" xmlns:x14ac="http://schemas.microsoft.com/office/spreadsheetml/2009/9/ac" xmlns:mc="http://schemas.openxmlformats.org/markup-compatibility/2006">
  <fonts count="2">
    <font>
      <sz val="11.0"/>
      <color theme="1"/>
      <name val="Calibri"/>
      <scheme val="minor"/>
    </font>
    <font>
      <color theme="1"/>
      <name val="Calibri"/>
    </font>
  </fonts>
  <fills count="2">
    <fill>
      <patternFill patternType="none"/>
    </fill>
    <fill>
      <patternFill patternType="lightGray"/>
    </fill>
  </fills>
  <borders count="1">
    <border/>
  </borders>
  <cellStyleXfs count="1">
    <xf borderId="0" fillId="0" fontId="0" numFmtId="0" applyAlignment="1" applyFont="1"/>
  </cellStyleXfs>
  <cellXfs count="3">
    <xf borderId="0" fillId="0" fontId="0" numFmtId="0" xfId="0" applyAlignment="1" applyFont="1">
      <alignment readingOrder="0" shrinkToFit="0" vertical="bottom" wrapText="0"/>
    </xf>
    <xf borderId="0" fillId="0" fontId="1" numFmtId="0" xfId="0" applyFont="1"/>
    <xf borderId="0" fillId="0" fontId="1" numFmtId="0" xfId="0" applyAlignment="1" applyFont="1">
      <alignment readingOrder="0"/>
    </xf>
  </cellXfs>
  <cellStyles count="1">
    <cellStyle xfId="0" name="Normal" builtinId="0"/>
  </cellStyles>
  <dxfs count="4">
    <dxf>
      <font/>
      <fill>
        <patternFill patternType="none"/>
      </fill>
      <border/>
    </dxf>
    <dxf>
      <font/>
      <fill>
        <patternFill patternType="solid">
          <fgColor theme="9"/>
          <bgColor theme="9"/>
        </patternFill>
      </fill>
      <border/>
    </dxf>
    <dxf>
      <font/>
      <fill>
        <patternFill patternType="solid">
          <fgColor rgb="FFE2EFD9"/>
          <bgColor rgb="FFE2EFD9"/>
        </patternFill>
      </fill>
      <border/>
    </dxf>
    <dxf>
      <font/>
      <fill>
        <patternFill patternType="solid">
          <fgColor rgb="FFD9E2F3"/>
          <bgColor rgb="FFD9E2F3"/>
        </patternFill>
      </fill>
      <border/>
    </dxf>
  </dxfs>
  <tableStyles count="1">
    <tableStyle count="3" pivot="0" name="Planilha1-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E8880" displayName="Table_1" id="1">
  <tableColumns count="5">
    <tableColumn name="Saúde" id="1"/>
    <tableColumn name="agencia" id="2"/>
    <tableColumn name="Q1 - NPS Relacional - Em uma escala de 0 a 10, o quanto você recomendaria o Sicoob para um amigo ou familiar?" id="3"/>
    <tableColumn name="comentarioPT" id="4"/>
    <tableColumn name="comentario" id="5"/>
  </tableColumns>
  <tableStyleInfo name="Planilha1-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5" width="10.29"/>
  </cols>
  <sheetData>
    <row r="1" ht="14.25" customHeight="1">
      <c r="A1" s="1" t="s">
        <v>0</v>
      </c>
      <c r="B1" s="1" t="s">
        <v>1</v>
      </c>
      <c r="C1" s="1" t="s">
        <v>2</v>
      </c>
      <c r="D1" s="2" t="s">
        <v>3</v>
      </c>
      <c r="E1" s="2" t="s">
        <v>4</v>
      </c>
    </row>
    <row r="2" ht="14.25" customHeight="1">
      <c r="A2" s="1">
        <v>100.0</v>
      </c>
      <c r="B2" s="1" t="s">
        <v>5</v>
      </c>
      <c r="C2" s="1">
        <v>10.0</v>
      </c>
      <c r="D2" s="1" t="s">
        <v>6</v>
      </c>
      <c r="E2" s="1"/>
    </row>
    <row r="3" ht="14.25" customHeight="1">
      <c r="A3" s="1">
        <v>100.0</v>
      </c>
      <c r="B3" s="1" t="s">
        <v>5</v>
      </c>
      <c r="C3" s="1">
        <v>10.0</v>
      </c>
      <c r="D3" s="2" t="s">
        <v>7</v>
      </c>
      <c r="E3" s="1" t="str">
        <f>IFERROR(__xludf.DUMMYFUNCTION("GOOGLETRANSLATE(D3,""PT"",""EN"")"),"Good service is a good easy relationship with the bank")</f>
        <v>Good service is a good easy relationship with the bank</v>
      </c>
    </row>
    <row r="4" ht="14.25" customHeight="1">
      <c r="A4" s="1">
        <v>66.0</v>
      </c>
      <c r="B4" s="1" t="s">
        <v>5</v>
      </c>
      <c r="C4" s="1">
        <v>8.0</v>
      </c>
      <c r="D4" s="1" t="s">
        <v>6</v>
      </c>
      <c r="E4" s="1"/>
    </row>
    <row r="5" ht="14.25" customHeight="1">
      <c r="A5" s="1">
        <v>100.0</v>
      </c>
      <c r="B5" s="1" t="s">
        <v>5</v>
      </c>
      <c r="C5" s="1">
        <v>10.0</v>
      </c>
      <c r="D5" s="2" t="s">
        <v>8</v>
      </c>
      <c r="E5" s="1" t="str">
        <f>IFERROR(__xludf.DUMMYFUNCTION("GOOGLETRANSLATE(D5,""PT"",""EN"")"),"Very satisfactory for my trade")</f>
        <v>Very satisfactory for my trade</v>
      </c>
    </row>
    <row r="6" ht="14.25" customHeight="1">
      <c r="A6" s="1">
        <v>33.0</v>
      </c>
      <c r="B6" s="1" t="s">
        <v>5</v>
      </c>
      <c r="C6" s="1">
        <v>1.0</v>
      </c>
      <c r="D6" s="1" t="s">
        <v>6</v>
      </c>
      <c r="E6" s="1"/>
    </row>
    <row r="7" ht="14.25" customHeight="1">
      <c r="A7" s="1">
        <v>100.0</v>
      </c>
      <c r="B7" s="1" t="s">
        <v>5</v>
      </c>
      <c r="C7" s="1">
        <v>10.0</v>
      </c>
      <c r="D7" s="1" t="s">
        <v>6</v>
      </c>
      <c r="E7" s="1"/>
    </row>
    <row r="8" ht="14.25" customHeight="1">
      <c r="A8" s="1">
        <v>100.0</v>
      </c>
      <c r="B8" s="1" t="s">
        <v>5</v>
      </c>
      <c r="C8" s="1">
        <v>10.0</v>
      </c>
      <c r="D8" s="1" t="s">
        <v>6</v>
      </c>
      <c r="E8" s="1"/>
    </row>
    <row r="9" ht="14.25" customHeight="1">
      <c r="A9" s="1">
        <v>100.0</v>
      </c>
      <c r="B9" s="1" t="s">
        <v>5</v>
      </c>
      <c r="C9" s="1">
        <v>10.0</v>
      </c>
      <c r="D9" s="1" t="s">
        <v>6</v>
      </c>
      <c r="E9" s="1"/>
    </row>
    <row r="10" ht="14.25" customHeight="1">
      <c r="A10" s="1">
        <v>100.0</v>
      </c>
      <c r="B10" s="1" t="s">
        <v>5</v>
      </c>
      <c r="C10" s="1">
        <v>10.0</v>
      </c>
      <c r="D10" s="1" t="s">
        <v>9</v>
      </c>
      <c r="E10" s="1" t="str">
        <f>IFERROR(__xludf.DUMMYFUNCTION("GOOGLETRANSLATE(D10,""PT"",""EN"")"),"10")</f>
        <v>10</v>
      </c>
    </row>
    <row r="11" ht="14.25" customHeight="1">
      <c r="A11" s="1">
        <v>33.0</v>
      </c>
      <c r="B11" s="1" t="s">
        <v>5</v>
      </c>
      <c r="C11" s="1">
        <v>0.0</v>
      </c>
      <c r="D11" s="1" t="s">
        <v>6</v>
      </c>
      <c r="E11" s="1"/>
    </row>
    <row r="12" ht="14.25" customHeight="1">
      <c r="A12" s="1">
        <v>66.0</v>
      </c>
      <c r="B12" s="1" t="s">
        <v>5</v>
      </c>
      <c r="C12" s="1">
        <v>7.0</v>
      </c>
      <c r="D12" s="1" t="s">
        <v>10</v>
      </c>
      <c r="E12" s="1" t="str">
        <f>IFERROR(__xludf.DUMMYFUNCTION("GOOGLETRANSLATE(D12,""PT"",""EN"")"),"problems of easy solution need to be passed on to the regional, which leaves some processes")</f>
        <v>problems of easy solution need to be passed on to the regional, which leaves some processes</v>
      </c>
    </row>
    <row r="13" ht="14.25" customHeight="1">
      <c r="A13" s="1">
        <v>100.0</v>
      </c>
      <c r="B13" s="1" t="s">
        <v>5</v>
      </c>
      <c r="C13" s="1">
        <v>10.0</v>
      </c>
      <c r="D13" s="2" t="s">
        <v>11</v>
      </c>
      <c r="E13" s="1" t="str">
        <f>IFERROR(__xludf.DUMMYFUNCTION("GOOGLETRANSLATE(D13,""PT"",""EN"")"),"Transparency is service")</f>
        <v>Transparency is service</v>
      </c>
    </row>
    <row r="14" ht="14.25" customHeight="1">
      <c r="A14" s="1">
        <v>100.0</v>
      </c>
      <c r="B14" s="1" t="s">
        <v>5</v>
      </c>
      <c r="C14" s="1">
        <v>10.0</v>
      </c>
      <c r="D14" s="1" t="s">
        <v>9</v>
      </c>
      <c r="E14" s="1" t="str">
        <f>IFERROR(__xludf.DUMMYFUNCTION("GOOGLETRANSLATE(D14,""PT"",""EN"")"),"10")</f>
        <v>10</v>
      </c>
    </row>
    <row r="15" ht="14.25" customHeight="1">
      <c r="A15" s="1">
        <v>100.0</v>
      </c>
      <c r="B15" s="1" t="s">
        <v>5</v>
      </c>
      <c r="C15" s="1">
        <v>10.0</v>
      </c>
      <c r="D15" s="2" t="s">
        <v>12</v>
      </c>
      <c r="E15" s="1" t="str">
        <f>IFERROR(__xludf.DUMMYFUNCTION("GOOGLETRANSLATE(D15,""PT"",""EN"")"),"Service is attention")</f>
        <v>Service is attention</v>
      </c>
    </row>
    <row r="16" ht="14.25" customHeight="1">
      <c r="A16" s="1">
        <v>33.0</v>
      </c>
      <c r="B16" s="1" t="s">
        <v>5</v>
      </c>
      <c r="C16" s="1">
        <v>3.0</v>
      </c>
      <c r="D16" s="1" t="s">
        <v>6</v>
      </c>
      <c r="E16" s="1"/>
    </row>
    <row r="17" ht="14.25" customHeight="1">
      <c r="A17" s="1">
        <v>100.0</v>
      </c>
      <c r="B17" s="1" t="s">
        <v>5</v>
      </c>
      <c r="C17" s="1">
        <v>10.0</v>
      </c>
      <c r="D17" s="1" t="s">
        <v>6</v>
      </c>
      <c r="E17" s="1"/>
    </row>
    <row r="18" ht="14.25" customHeight="1">
      <c r="A18" s="1">
        <v>100.0</v>
      </c>
      <c r="B18" s="1" t="s">
        <v>5</v>
      </c>
      <c r="C18" s="1">
        <v>10.0</v>
      </c>
      <c r="D18" s="2" t="s">
        <v>13</v>
      </c>
      <c r="E18" s="1" t="str">
        <f>IFERROR(__xludf.DUMMYFUNCTION("GOOGLETRANSLATE(D18,""PT"",""EN"")"),"very great")</f>
        <v>very great</v>
      </c>
    </row>
    <row r="19" ht="14.25" customHeight="1">
      <c r="A19" s="1">
        <v>100.0</v>
      </c>
      <c r="B19" s="1" t="s">
        <v>5</v>
      </c>
      <c r="C19" s="1">
        <v>10.0</v>
      </c>
      <c r="D19" s="1" t="s">
        <v>6</v>
      </c>
      <c r="E19" s="1"/>
    </row>
    <row r="20" ht="14.25" customHeight="1">
      <c r="A20" s="1">
        <v>100.0</v>
      </c>
      <c r="B20" s="1" t="s">
        <v>5</v>
      </c>
      <c r="C20" s="1">
        <v>10.0</v>
      </c>
      <c r="D20" s="1" t="s">
        <v>6</v>
      </c>
      <c r="E20" s="1"/>
    </row>
    <row r="21" ht="14.25" customHeight="1">
      <c r="A21" s="1">
        <v>100.0</v>
      </c>
      <c r="B21" s="1" t="s">
        <v>5</v>
      </c>
      <c r="C21" s="1">
        <v>10.0</v>
      </c>
      <c r="D21" s="1" t="s">
        <v>14</v>
      </c>
      <c r="E21" s="1" t="str">
        <f>IFERROR(__xludf.DUMMYFUNCTION("GOOGLETRANSLATE(D21,""PT"",""EN"")"),"Good service, agility.")</f>
        <v>Good service, agility.</v>
      </c>
    </row>
    <row r="22" ht="14.25" customHeight="1">
      <c r="A22" s="1">
        <v>100.0</v>
      </c>
      <c r="B22" s="1" t="s">
        <v>5</v>
      </c>
      <c r="C22" s="1">
        <v>10.0</v>
      </c>
      <c r="D22" s="1" t="s">
        <v>6</v>
      </c>
      <c r="E22" s="1"/>
    </row>
    <row r="23" ht="14.25" customHeight="1">
      <c r="A23" s="1">
        <v>66.0</v>
      </c>
      <c r="B23" s="1" t="s">
        <v>5</v>
      </c>
      <c r="C23" s="1">
        <v>8.0</v>
      </c>
      <c r="D23" s="1" t="s">
        <v>6</v>
      </c>
      <c r="E23" s="1"/>
    </row>
    <row r="24" ht="14.25" customHeight="1">
      <c r="A24" s="1">
        <v>100.0</v>
      </c>
      <c r="B24" s="1" t="s">
        <v>5</v>
      </c>
      <c r="C24" s="1">
        <v>10.0</v>
      </c>
      <c r="D24" s="1" t="s">
        <v>6</v>
      </c>
      <c r="E24" s="1"/>
    </row>
    <row r="25" ht="14.25" customHeight="1">
      <c r="A25" s="1">
        <v>100.0</v>
      </c>
      <c r="B25" s="1" t="s">
        <v>5</v>
      </c>
      <c r="C25" s="1">
        <v>10.0</v>
      </c>
      <c r="D25" s="1" t="s">
        <v>15</v>
      </c>
      <c r="E25" s="1" t="str">
        <f>IFERROR(__xludf.DUMMYFUNCTION("GOOGLETRANSLATE(D25,""PT"",""EN"")"),"Service of excellence, everything I need is answered me, very good support")</f>
        <v>Service of excellence, everything I need is answered me, very good support</v>
      </c>
    </row>
    <row r="26" ht="14.25" customHeight="1">
      <c r="A26" s="1">
        <v>100.0</v>
      </c>
      <c r="B26" s="1" t="s">
        <v>5</v>
      </c>
      <c r="C26" s="1">
        <v>10.0</v>
      </c>
      <c r="D26" s="1" t="s">
        <v>16</v>
      </c>
      <c r="E26" s="1" t="str">
        <f>IFERROR(__xludf.DUMMYFUNCTION("GOOGLETRANSLATE(D26,""PT"",""EN"")"),"Best Financial Institution in Brazil")</f>
        <v>Best Financial Institution in Brazil</v>
      </c>
    </row>
    <row r="27" ht="14.25" customHeight="1">
      <c r="A27" s="1">
        <v>100.0</v>
      </c>
      <c r="B27" s="1" t="s">
        <v>5</v>
      </c>
      <c r="C27" s="1">
        <v>10.0</v>
      </c>
      <c r="D27" s="1" t="s">
        <v>6</v>
      </c>
      <c r="E27" s="1"/>
    </row>
    <row r="28" ht="14.25" customHeight="1">
      <c r="A28" s="1">
        <v>100.0</v>
      </c>
      <c r="B28" s="1" t="s">
        <v>5</v>
      </c>
      <c r="C28" s="1">
        <v>10.0</v>
      </c>
      <c r="D28" s="1" t="s">
        <v>6</v>
      </c>
      <c r="E28" s="1"/>
    </row>
    <row r="29" ht="14.25" customHeight="1">
      <c r="A29" s="1">
        <v>100.0</v>
      </c>
      <c r="B29" s="1" t="s">
        <v>5</v>
      </c>
      <c r="C29" s="1">
        <v>9.0</v>
      </c>
      <c r="D29" s="1" t="s">
        <v>17</v>
      </c>
      <c r="E29" s="1" t="str">
        <f>IFERROR(__xludf.DUMMYFUNCTION("GOOGLETRANSLATE(D29,""PT"",""EN"")"),"Satisfaction")</f>
        <v>Satisfaction</v>
      </c>
    </row>
    <row r="30" ht="14.25" customHeight="1">
      <c r="A30" s="1">
        <v>100.0</v>
      </c>
      <c r="B30" s="1" t="s">
        <v>5</v>
      </c>
      <c r="C30" s="1">
        <v>10.0</v>
      </c>
      <c r="D30" s="1" t="s">
        <v>18</v>
      </c>
      <c r="E30" s="1" t="str">
        <f>IFERROR(__xludf.DUMMYFUNCTION("GOOGLETRANSLATE(D30,""PT"",""EN"")"),"Trust")</f>
        <v>Trust</v>
      </c>
    </row>
    <row r="31" ht="14.25" customHeight="1">
      <c r="A31" s="1">
        <v>100.0</v>
      </c>
      <c r="B31" s="1" t="s">
        <v>5</v>
      </c>
      <c r="C31" s="1">
        <v>10.0</v>
      </c>
      <c r="D31" s="2" t="s">
        <v>19</v>
      </c>
      <c r="E31" s="1" t="str">
        <f>IFERROR(__xludf.DUMMYFUNCTION("GOOGLETRANSLATE(D31,""PT"",""EN"")"),"My grade is 10 because I trust cooperativism is enthusiastic about the credit system is a lot of trust in the professionalism of the people who work in Sicoob.")</f>
        <v>My grade is 10 because I trust cooperativism is enthusiastic about the credit system is a lot of trust in the professionalism of the people who work in Sicoob.</v>
      </c>
    </row>
    <row r="32" ht="14.25" customHeight="1">
      <c r="A32" s="1">
        <v>66.0</v>
      </c>
      <c r="B32" s="1" t="s">
        <v>5</v>
      </c>
      <c r="C32" s="1">
        <v>8.0</v>
      </c>
      <c r="D32" s="1" t="s">
        <v>6</v>
      </c>
      <c r="E32" s="1"/>
    </row>
    <row r="33" ht="14.25" customHeight="1">
      <c r="A33" s="1">
        <v>100.0</v>
      </c>
      <c r="B33" s="1" t="s">
        <v>5</v>
      </c>
      <c r="C33" s="1">
        <v>10.0</v>
      </c>
      <c r="D33" s="1" t="s">
        <v>6</v>
      </c>
      <c r="E33" s="1"/>
    </row>
    <row r="34" ht="14.25" customHeight="1">
      <c r="A34" s="1">
        <v>100.0</v>
      </c>
      <c r="B34" s="1" t="s">
        <v>5</v>
      </c>
      <c r="C34" s="1">
        <v>10.0</v>
      </c>
      <c r="D34" s="1" t="s">
        <v>6</v>
      </c>
      <c r="E34" s="1"/>
    </row>
    <row r="35" ht="14.25" customHeight="1">
      <c r="A35" s="1">
        <v>100.0</v>
      </c>
      <c r="B35" s="1" t="s">
        <v>5</v>
      </c>
      <c r="C35" s="1">
        <v>10.0</v>
      </c>
      <c r="D35" s="1" t="s">
        <v>6</v>
      </c>
      <c r="E35" s="1"/>
    </row>
    <row r="36" ht="14.25" customHeight="1">
      <c r="A36" s="1">
        <v>100.0</v>
      </c>
      <c r="B36" s="1" t="s">
        <v>5</v>
      </c>
      <c r="C36" s="1">
        <v>10.0</v>
      </c>
      <c r="D36" s="1" t="s">
        <v>6</v>
      </c>
      <c r="E36" s="1"/>
    </row>
    <row r="37" ht="14.25" customHeight="1">
      <c r="A37" s="1">
        <v>100.0</v>
      </c>
      <c r="B37" s="1" t="s">
        <v>5</v>
      </c>
      <c r="C37" s="1">
        <v>10.0</v>
      </c>
      <c r="D37" s="1" t="s">
        <v>6</v>
      </c>
      <c r="E37" s="1"/>
    </row>
    <row r="38" ht="14.25" customHeight="1">
      <c r="A38" s="1">
        <v>100.0</v>
      </c>
      <c r="B38" s="1" t="s">
        <v>5</v>
      </c>
      <c r="C38" s="1">
        <v>10.0</v>
      </c>
      <c r="D38" s="1" t="s">
        <v>20</v>
      </c>
      <c r="E38" s="1" t="str">
        <f>IFERROR(__xludf.DUMMYFUNCTION("GOOGLETRANSLATE(D38,""PT"",""EN"")"),"Very good")</f>
        <v>Very good</v>
      </c>
    </row>
    <row r="39" ht="14.25" customHeight="1">
      <c r="A39" s="1">
        <v>100.0</v>
      </c>
      <c r="B39" s="1" t="s">
        <v>5</v>
      </c>
      <c r="C39" s="1">
        <v>9.0</v>
      </c>
      <c r="D39" s="1" t="s">
        <v>6</v>
      </c>
      <c r="E39" s="1"/>
    </row>
    <row r="40" ht="14.25" customHeight="1">
      <c r="A40" s="1">
        <v>100.0</v>
      </c>
      <c r="B40" s="1" t="s">
        <v>5</v>
      </c>
      <c r="C40" s="1">
        <v>10.0</v>
      </c>
      <c r="D40" s="1" t="s">
        <v>6</v>
      </c>
      <c r="E40" s="1"/>
    </row>
    <row r="41" ht="14.25" customHeight="1">
      <c r="A41" s="1">
        <v>100.0</v>
      </c>
      <c r="B41" s="1" t="s">
        <v>5</v>
      </c>
      <c r="C41" s="1">
        <v>10.0</v>
      </c>
      <c r="D41" s="1" t="s">
        <v>21</v>
      </c>
      <c r="E41" s="1" t="str">
        <f>IFERROR(__xludf.DUMMYFUNCTION("GOOGLETRANSLATE(D41,""PT"",""EN"")"),"Eduarda very kind 😍")</f>
        <v>Eduarda very kind 😍</v>
      </c>
    </row>
    <row r="42" ht="14.25" customHeight="1">
      <c r="A42" s="1">
        <v>100.0</v>
      </c>
      <c r="B42" s="1" t="s">
        <v>5</v>
      </c>
      <c r="C42" s="1">
        <v>10.0</v>
      </c>
      <c r="D42" s="1" t="s">
        <v>22</v>
      </c>
      <c r="E42" s="1" t="str">
        <f>IFERROR(__xludf.DUMMYFUNCTION("GOOGLETRANSLATE(D42,""PT"",""EN"")"),"Excellent service")</f>
        <v>Excellent service</v>
      </c>
    </row>
    <row r="43" ht="14.25" customHeight="1">
      <c r="A43" s="1">
        <v>33.0</v>
      </c>
      <c r="B43" s="1" t="s">
        <v>5</v>
      </c>
      <c r="C43" s="1">
        <v>3.0</v>
      </c>
      <c r="D43" s="1" t="s">
        <v>6</v>
      </c>
      <c r="E43" s="1"/>
    </row>
    <row r="44" ht="14.25" customHeight="1">
      <c r="A44" s="1">
        <v>100.0</v>
      </c>
      <c r="B44" s="1" t="s">
        <v>5</v>
      </c>
      <c r="C44" s="1">
        <v>10.0</v>
      </c>
      <c r="D44" s="1" t="s">
        <v>6</v>
      </c>
      <c r="E44" s="1"/>
    </row>
    <row r="45" ht="14.25" customHeight="1">
      <c r="A45" s="1">
        <v>100.0</v>
      </c>
      <c r="B45" s="1" t="s">
        <v>5</v>
      </c>
      <c r="C45" s="1">
        <v>9.0</v>
      </c>
      <c r="D45" s="1" t="s">
        <v>23</v>
      </c>
      <c r="E45" s="1" t="str">
        <f>IFERROR(__xludf.DUMMYFUNCTION("GOOGLETRANSLATE(D45,""PT"",""EN"")"),"For being a good bank")</f>
        <v>For being a good bank</v>
      </c>
    </row>
    <row r="46" ht="14.25" customHeight="1">
      <c r="A46" s="1">
        <v>33.0</v>
      </c>
      <c r="B46" s="1" t="s">
        <v>5</v>
      </c>
      <c r="C46" s="1">
        <v>1.0</v>
      </c>
      <c r="D46" s="2" t="s">
        <v>24</v>
      </c>
      <c r="E46" s="1" t="str">
        <f>IFERROR(__xludf.DUMMYFUNCTION("GOOGLETRANSLATE(D46,""PT"",""EN"")"),"The more than 1 year of checking account you did not make me available 1 real check.")</f>
        <v>The more than 1 year of checking account you did not make me available 1 real check.</v>
      </c>
    </row>
    <row r="47" ht="14.25" customHeight="1">
      <c r="A47" s="1">
        <v>100.0</v>
      </c>
      <c r="B47" s="1" t="s">
        <v>5</v>
      </c>
      <c r="C47" s="1">
        <v>9.0</v>
      </c>
      <c r="D47" s="1" t="s">
        <v>25</v>
      </c>
      <c r="E47" s="1" t="str">
        <f>IFERROR(__xludf.DUMMYFUNCTION("GOOGLETRANSLATE(D47,""PT"",""EN"")"),"Emergency service.")</f>
        <v>Emergency service.</v>
      </c>
    </row>
    <row r="48" ht="14.25" customHeight="1">
      <c r="A48" s="1">
        <v>100.0</v>
      </c>
      <c r="B48" s="1" t="s">
        <v>5</v>
      </c>
      <c r="C48" s="1">
        <v>9.0</v>
      </c>
      <c r="D48" s="1" t="s">
        <v>6</v>
      </c>
      <c r="E48" s="1"/>
    </row>
    <row r="49" ht="14.25" customHeight="1">
      <c r="A49" s="1">
        <v>100.0</v>
      </c>
      <c r="B49" s="1" t="s">
        <v>5</v>
      </c>
      <c r="C49" s="1">
        <v>10.0</v>
      </c>
      <c r="D49" s="1" t="s">
        <v>26</v>
      </c>
      <c r="E49" s="1" t="str">
        <f>IFERROR(__xludf.DUMMYFUNCTION("GOOGLETRANSLATE(D49,""PT"",""EN"")"),"Grade 10")</f>
        <v>Grade 10</v>
      </c>
    </row>
    <row r="50" ht="14.25" customHeight="1">
      <c r="A50" s="1">
        <v>100.0</v>
      </c>
      <c r="B50" s="1" t="s">
        <v>5</v>
      </c>
      <c r="C50" s="1">
        <v>10.0</v>
      </c>
      <c r="D50" s="1" t="s">
        <v>6</v>
      </c>
      <c r="E50" s="1"/>
    </row>
    <row r="51" ht="14.25" customHeight="1">
      <c r="A51" s="1">
        <v>100.0</v>
      </c>
      <c r="B51" s="1" t="s">
        <v>5</v>
      </c>
      <c r="C51" s="1">
        <v>10.0</v>
      </c>
      <c r="D51" s="1" t="s">
        <v>6</v>
      </c>
      <c r="E51" s="1"/>
    </row>
    <row r="52" ht="14.25" customHeight="1">
      <c r="A52" s="1">
        <v>33.0</v>
      </c>
      <c r="B52" s="1" t="s">
        <v>5</v>
      </c>
      <c r="C52" s="1">
        <v>0.0</v>
      </c>
      <c r="D52" s="2" t="s">
        <v>27</v>
      </c>
      <c r="E52" s="1" t="str">
        <f>IFERROR(__xludf.DUMMYFUNCTION("GOOGLETRANSLATE(D52,""PT"",""EN"")"),"I do not indicate the service is very bad with discrimination about service provided")</f>
        <v>I do not indicate the service is very bad with discrimination about service provided</v>
      </c>
    </row>
    <row r="53" ht="14.25" customHeight="1">
      <c r="A53" s="1">
        <v>100.0</v>
      </c>
      <c r="B53" s="1" t="s">
        <v>5</v>
      </c>
      <c r="C53" s="1">
        <v>10.0</v>
      </c>
      <c r="D53" s="1" t="s">
        <v>28</v>
      </c>
      <c r="E53" s="1" t="str">
        <f>IFERROR(__xludf.DUMMYFUNCTION("GOOGLETRANSLATE(D53,""PT"",""EN"")"),"Differentiated service, employees always ready to solve our problems, from security to management, note 10.")</f>
        <v>Differentiated service, employees always ready to solve our problems, from security to management, note 10.</v>
      </c>
    </row>
    <row r="54" ht="14.25" customHeight="1">
      <c r="A54" s="1">
        <v>100.0</v>
      </c>
      <c r="B54" s="1" t="s">
        <v>5</v>
      </c>
      <c r="C54" s="1">
        <v>9.0</v>
      </c>
      <c r="D54" s="2" t="s">
        <v>29</v>
      </c>
      <c r="E54" s="1" t="str">
        <f>IFERROR(__xludf.DUMMYFUNCTION("GOOGLETRANSLATE(D54,""PT"",""EN"")"),"It's a good bank is simple")</f>
        <v>It's a good bank is simple</v>
      </c>
    </row>
    <row r="55" ht="14.25" customHeight="1">
      <c r="A55" s="1">
        <v>100.0</v>
      </c>
      <c r="B55" s="1" t="s">
        <v>5</v>
      </c>
      <c r="C55" s="1">
        <v>10.0</v>
      </c>
      <c r="D55" s="2" t="s">
        <v>30</v>
      </c>
      <c r="E55" s="1" t="str">
        <f>IFERROR(__xludf.DUMMYFUNCTION("GOOGLETRANSLATE(D55,""PT"",""EN"")"),"Good service, tariffs is cheaper rates is return of leftovers to capital account")</f>
        <v>Good service, tariffs is cheaper rates is return of leftovers to capital account</v>
      </c>
    </row>
    <row r="56" ht="14.25" customHeight="1">
      <c r="A56" s="1">
        <v>33.0</v>
      </c>
      <c r="B56" s="1" t="s">
        <v>5</v>
      </c>
      <c r="C56" s="1">
        <v>3.0</v>
      </c>
      <c r="D56" s="1" t="s">
        <v>6</v>
      </c>
      <c r="E56" s="1"/>
    </row>
    <row r="57" ht="14.25" customHeight="1">
      <c r="A57" s="1">
        <v>100.0</v>
      </c>
      <c r="B57" s="1" t="s">
        <v>5</v>
      </c>
      <c r="C57" s="1">
        <v>10.0</v>
      </c>
      <c r="D57" s="1" t="s">
        <v>6</v>
      </c>
      <c r="E57" s="1"/>
    </row>
    <row r="58" ht="14.25" customHeight="1">
      <c r="A58" s="1">
        <v>100.0</v>
      </c>
      <c r="B58" s="1" t="s">
        <v>5</v>
      </c>
      <c r="C58" s="1">
        <v>10.0</v>
      </c>
      <c r="D58" s="1" t="s">
        <v>31</v>
      </c>
      <c r="E58" s="1" t="str">
        <f>IFERROR(__xludf.DUMMYFUNCTION("GOOGLETRANSLATE(D58,""PT"",""EN"")"),"The human form we are received by the manager")</f>
        <v>The human form we are received by the manager</v>
      </c>
    </row>
    <row r="59" ht="14.25" customHeight="1">
      <c r="A59" s="1">
        <v>66.0</v>
      </c>
      <c r="B59" s="1" t="s">
        <v>5</v>
      </c>
      <c r="C59" s="1">
        <v>8.0</v>
      </c>
      <c r="D59" s="1" t="s">
        <v>6</v>
      </c>
      <c r="E59" s="1"/>
    </row>
    <row r="60" ht="14.25" customHeight="1">
      <c r="A60" s="1">
        <v>100.0</v>
      </c>
      <c r="B60" s="1" t="s">
        <v>5</v>
      </c>
      <c r="C60" s="1">
        <v>10.0</v>
      </c>
      <c r="D60" s="1" t="s">
        <v>17</v>
      </c>
      <c r="E60" s="1" t="str">
        <f>IFERROR(__xludf.DUMMYFUNCTION("GOOGLETRANSLATE(D60,""PT"",""EN"")"),"Satisfaction")</f>
        <v>Satisfaction</v>
      </c>
    </row>
    <row r="61" ht="14.25" customHeight="1">
      <c r="A61" s="1">
        <v>33.0</v>
      </c>
      <c r="B61" s="1" t="s">
        <v>5</v>
      </c>
      <c r="C61" s="1">
        <v>0.0</v>
      </c>
      <c r="D61" s="2" t="s">
        <v>32</v>
      </c>
      <c r="E61" s="1" t="str">
        <f>IFERROR(__xludf.DUMMYFUNCTION("GOOGLETRANSLATE(D61,""PT"",""EN"")"),"It didn't add to me at all")</f>
        <v>It didn't add to me at all</v>
      </c>
    </row>
    <row r="62" ht="14.25" customHeight="1">
      <c r="A62" s="1">
        <v>100.0</v>
      </c>
      <c r="B62" s="1" t="s">
        <v>5</v>
      </c>
      <c r="C62" s="1">
        <v>9.0</v>
      </c>
      <c r="D62" s="1" t="s">
        <v>6</v>
      </c>
      <c r="E62" s="1"/>
    </row>
    <row r="63" ht="14.25" customHeight="1">
      <c r="A63" s="1">
        <v>100.0</v>
      </c>
      <c r="B63" s="1" t="s">
        <v>5</v>
      </c>
      <c r="C63" s="1">
        <v>10.0</v>
      </c>
      <c r="D63" s="1" t="s">
        <v>6</v>
      </c>
      <c r="E63" s="1"/>
    </row>
    <row r="64" ht="14.25" customHeight="1">
      <c r="A64" s="1">
        <v>100.0</v>
      </c>
      <c r="B64" s="1" t="s">
        <v>5</v>
      </c>
      <c r="C64" s="1">
        <v>10.0</v>
      </c>
      <c r="D64" s="1" t="s">
        <v>6</v>
      </c>
      <c r="E64" s="1"/>
    </row>
    <row r="65" ht="14.25" customHeight="1">
      <c r="A65" s="1">
        <v>66.0</v>
      </c>
      <c r="B65" s="1" t="s">
        <v>5</v>
      </c>
      <c r="C65" s="1">
        <v>8.0</v>
      </c>
      <c r="D65" s="2" t="s">
        <v>33</v>
      </c>
      <c r="E65" s="1" t="str">
        <f>IFERROR(__xludf.DUMMYFUNCTION("GOOGLETRANSLATE(D65,""PT"",""EN"")"),"It is a good bank, which, despite being new in the market, is very careful with its planning. Although in reality, everything is a financial institution that generates 98% profits for yourself")</f>
        <v>It is a good bank, which, despite being new in the market, is very careful with its planning. Although in reality, everything is a financial institution that generates 98% profits for yourself</v>
      </c>
    </row>
    <row r="66" ht="14.25" customHeight="1">
      <c r="A66" s="1">
        <v>66.0</v>
      </c>
      <c r="B66" s="1" t="s">
        <v>5</v>
      </c>
      <c r="C66" s="1">
        <v>7.0</v>
      </c>
      <c r="D66" s="1" t="s">
        <v>6</v>
      </c>
      <c r="E66" s="1"/>
    </row>
    <row r="67" ht="14.25" customHeight="1">
      <c r="A67" s="1">
        <v>100.0</v>
      </c>
      <c r="B67" s="1" t="s">
        <v>5</v>
      </c>
      <c r="C67" s="1">
        <v>10.0</v>
      </c>
      <c r="D67" s="1" t="s">
        <v>34</v>
      </c>
      <c r="E67" s="1" t="str">
        <f>IFERROR(__xludf.DUMMYFUNCTION("GOOGLETRANSLATE(D67,""PT"",""EN"")"),"Differentiated relationship with cooperatives, reduced rates")</f>
        <v>Differentiated relationship with cooperatives, reduced rates</v>
      </c>
    </row>
    <row r="68" ht="14.25" customHeight="1">
      <c r="A68" s="1">
        <v>100.0</v>
      </c>
      <c r="B68" s="1" t="s">
        <v>5</v>
      </c>
      <c r="C68" s="1">
        <v>10.0</v>
      </c>
      <c r="D68" s="1" t="s">
        <v>6</v>
      </c>
      <c r="E68" s="1"/>
    </row>
    <row r="69" ht="14.25" customHeight="1">
      <c r="A69" s="1">
        <v>100.0</v>
      </c>
      <c r="B69" s="1" t="s">
        <v>5</v>
      </c>
      <c r="C69" s="1">
        <v>9.0</v>
      </c>
      <c r="D69" s="1" t="s">
        <v>6</v>
      </c>
      <c r="E69" s="1"/>
    </row>
    <row r="70" ht="14.25" customHeight="1">
      <c r="A70" s="1">
        <v>100.0</v>
      </c>
      <c r="B70" s="1" t="s">
        <v>5</v>
      </c>
      <c r="C70" s="1">
        <v>10.0</v>
      </c>
      <c r="D70" s="2" t="s">
        <v>35</v>
      </c>
      <c r="E70" s="1" t="str">
        <f>IFERROR(__xludf.DUMMYFUNCTION("GOOGLETRANSLATE(D70,""PT"",""EN"")"),"They are attentive are always ready to help.")</f>
        <v>They are attentive are always ready to help.</v>
      </c>
    </row>
    <row r="71" ht="14.25" customHeight="1">
      <c r="A71" s="1">
        <v>100.0</v>
      </c>
      <c r="B71" s="1" t="s">
        <v>5</v>
      </c>
      <c r="C71" s="1">
        <v>10.0</v>
      </c>
      <c r="D71" s="1" t="s">
        <v>36</v>
      </c>
      <c r="E71" s="1" t="str">
        <f>IFERROR(__xludf.DUMMYFUNCTION("GOOGLETRANSLATE(D71,""PT"",""EN"")"),"Quick access")</f>
        <v>Quick access</v>
      </c>
    </row>
    <row r="72" ht="14.25" customHeight="1">
      <c r="A72" s="1">
        <v>100.0</v>
      </c>
      <c r="B72" s="1" t="s">
        <v>5</v>
      </c>
      <c r="C72" s="1">
        <v>10.0</v>
      </c>
      <c r="D72" s="1" t="s">
        <v>37</v>
      </c>
      <c r="E72" s="1" t="str">
        <f>IFERROR(__xludf.DUMMYFUNCTION("GOOGLETRANSLATE(D72,""PT"",""EN"")"),"Great service")</f>
        <v>Great service</v>
      </c>
    </row>
    <row r="73" ht="14.25" customHeight="1">
      <c r="A73" s="1">
        <v>100.0</v>
      </c>
      <c r="B73" s="1" t="s">
        <v>5</v>
      </c>
      <c r="C73" s="1">
        <v>10.0</v>
      </c>
      <c r="D73" s="1" t="s">
        <v>38</v>
      </c>
      <c r="E73" s="1" t="str">
        <f>IFERROR(__xludf.DUMMYFUNCTION("GOOGLETRANSLATE(D73,""PT"",""EN"")"),"Very well attended")</f>
        <v>Very well attended</v>
      </c>
    </row>
    <row r="74" ht="14.25" customHeight="1">
      <c r="A74" s="1">
        <v>100.0</v>
      </c>
      <c r="B74" s="1" t="s">
        <v>5</v>
      </c>
      <c r="C74" s="1">
        <v>10.0</v>
      </c>
      <c r="D74" s="1" t="s">
        <v>6</v>
      </c>
      <c r="E74" s="1"/>
    </row>
    <row r="75" ht="14.25" customHeight="1">
      <c r="A75" s="1">
        <v>100.0</v>
      </c>
      <c r="B75" s="1" t="s">
        <v>5</v>
      </c>
      <c r="C75" s="1">
        <v>10.0</v>
      </c>
      <c r="D75" s="1" t="s">
        <v>20</v>
      </c>
      <c r="E75" s="1" t="str">
        <f>IFERROR(__xludf.DUMMYFUNCTION("GOOGLETRANSLATE(D75,""PT"",""EN"")"),"Very good")</f>
        <v>Very good</v>
      </c>
    </row>
    <row r="76" ht="14.25" customHeight="1">
      <c r="A76" s="1">
        <v>100.0</v>
      </c>
      <c r="B76" s="1" t="s">
        <v>5</v>
      </c>
      <c r="C76" s="1">
        <v>9.0</v>
      </c>
      <c r="D76" s="1" t="s">
        <v>6</v>
      </c>
      <c r="E76" s="1"/>
    </row>
    <row r="77" ht="14.25" customHeight="1">
      <c r="A77" s="1">
        <v>100.0</v>
      </c>
      <c r="B77" s="1" t="s">
        <v>5</v>
      </c>
      <c r="C77" s="1">
        <v>10.0</v>
      </c>
      <c r="D77" s="1" t="s">
        <v>39</v>
      </c>
      <c r="E77" s="1" t="str">
        <f>IFERROR(__xludf.DUMMYFUNCTION("GOOGLETRANSLATE(D77,""PT"",""EN"")"),"VERY GOOD")</f>
        <v>VERY GOOD</v>
      </c>
    </row>
    <row r="78" ht="14.25" customHeight="1">
      <c r="A78" s="1">
        <v>100.0</v>
      </c>
      <c r="B78" s="1" t="s">
        <v>5</v>
      </c>
      <c r="C78" s="1">
        <v>10.0</v>
      </c>
      <c r="D78" s="1" t="s">
        <v>6</v>
      </c>
      <c r="E78" s="1"/>
    </row>
    <row r="79" ht="14.25" customHeight="1">
      <c r="A79" s="1">
        <v>100.0</v>
      </c>
      <c r="B79" s="1" t="s">
        <v>5</v>
      </c>
      <c r="C79" s="1">
        <v>10.0</v>
      </c>
      <c r="D79" s="1" t="s">
        <v>40</v>
      </c>
      <c r="E79" s="1" t="str">
        <f>IFERROR(__xludf.DUMMYFUNCTION("GOOGLETRANSLATE(D79,""PT"",""EN"")"),"Just observe the pillars of cooperativism. In Sicoob, we ""grew together"".")</f>
        <v>Just observe the pillars of cooperativism. In Sicoob, we "grew together".</v>
      </c>
    </row>
    <row r="80" ht="14.25" customHeight="1">
      <c r="A80" s="1">
        <v>66.0</v>
      </c>
      <c r="B80" s="1" t="s">
        <v>5</v>
      </c>
      <c r="C80" s="1">
        <v>7.0</v>
      </c>
      <c r="D80" s="1" t="s">
        <v>6</v>
      </c>
      <c r="E80" s="1"/>
    </row>
    <row r="81" ht="14.25" customHeight="1">
      <c r="A81" s="1">
        <v>100.0</v>
      </c>
      <c r="B81" s="1" t="s">
        <v>5</v>
      </c>
      <c r="C81" s="1">
        <v>10.0</v>
      </c>
      <c r="D81" s="2" t="s">
        <v>41</v>
      </c>
      <c r="E81" s="1" t="str">
        <f>IFERROR(__xludf.DUMMYFUNCTION("GOOGLETRANSLATE(D81,""PT"",""EN"")"),"Its service is differentiated to its members")</f>
        <v>Its service is differentiated to its members</v>
      </c>
    </row>
    <row r="82" ht="14.25" customHeight="1">
      <c r="A82" s="1">
        <v>100.0</v>
      </c>
      <c r="B82" s="1" t="s">
        <v>5</v>
      </c>
      <c r="C82" s="1">
        <v>10.0</v>
      </c>
      <c r="D82" s="1" t="s">
        <v>6</v>
      </c>
      <c r="E82" s="1"/>
    </row>
    <row r="83" ht="14.25" customHeight="1">
      <c r="A83" s="1">
        <v>100.0</v>
      </c>
      <c r="B83" s="1" t="s">
        <v>5</v>
      </c>
      <c r="C83" s="1">
        <v>10.0</v>
      </c>
      <c r="D83" s="2" t="s">
        <v>42</v>
      </c>
      <c r="E83" s="1" t="str">
        <f>IFERROR(__xludf.DUMMYFUNCTION("GOOGLETRANSLATE(D83,""PT"",""EN"")"),"good service")</f>
        <v>good service</v>
      </c>
    </row>
    <row r="84" ht="14.25" customHeight="1">
      <c r="A84" s="1">
        <v>33.0</v>
      </c>
      <c r="B84" s="1" t="s">
        <v>5</v>
      </c>
      <c r="C84" s="1">
        <v>3.0</v>
      </c>
      <c r="D84" s="1" t="s">
        <v>43</v>
      </c>
      <c r="E84" s="1" t="str">
        <f>IFERROR(__xludf.DUMMYFUNCTION("GOOGLETRANSLATE(D84,""PT"",""EN"")"),"A lot of bureaucracy, it takes a long time to solve things")</f>
        <v>A lot of bureaucracy, it takes a long time to solve things</v>
      </c>
    </row>
    <row r="85" ht="14.25" customHeight="1">
      <c r="A85" s="1">
        <v>66.0</v>
      </c>
      <c r="B85" s="1" t="s">
        <v>5</v>
      </c>
      <c r="C85" s="1">
        <v>7.0</v>
      </c>
      <c r="D85" s="2" t="s">
        <v>44</v>
      </c>
      <c r="E85" s="1" t="str">
        <f>IFERROR(__xludf.DUMMYFUNCTION("GOOGLETRANSLATE(D85,""PT"",""EN"")"),"I wish I could recommend it more, but in Sicoob there is something that bothers me there is a lot of bureaucracy everything needs to be in person through the signature.")</f>
        <v>I wish I could recommend it more, but in Sicoob there is something that bothers me there is a lot of bureaucracy everything needs to be in person through the signature.</v>
      </c>
    </row>
    <row r="86" ht="14.25" customHeight="1">
      <c r="A86" s="1">
        <v>100.0</v>
      </c>
      <c r="B86" s="1" t="s">
        <v>5</v>
      </c>
      <c r="C86" s="1">
        <v>10.0</v>
      </c>
      <c r="D86" s="1" t="s">
        <v>6</v>
      </c>
      <c r="E86" s="1"/>
    </row>
    <row r="87" ht="14.25" customHeight="1">
      <c r="A87" s="1">
        <v>100.0</v>
      </c>
      <c r="B87" s="1" t="s">
        <v>5</v>
      </c>
      <c r="C87" s="1">
        <v>10.0</v>
      </c>
      <c r="D87" s="1" t="s">
        <v>45</v>
      </c>
      <c r="E87" s="1" t="str">
        <f>IFERROR(__xludf.DUMMYFUNCTION("GOOGLETRANSLATE(D87,""PT"",""EN"")"),"Excellent service")</f>
        <v>Excellent service</v>
      </c>
    </row>
    <row r="88" ht="14.25" customHeight="1">
      <c r="A88" s="1">
        <v>100.0</v>
      </c>
      <c r="B88" s="1" t="s">
        <v>5</v>
      </c>
      <c r="C88" s="1">
        <v>10.0</v>
      </c>
      <c r="D88" s="2" t="s">
        <v>46</v>
      </c>
      <c r="E88" s="1" t="str">
        <f>IFERROR(__xludf.DUMMYFUNCTION("GOOGLETRANSLATE(D88,""PT"",""EN"")"),"It always serves its customers very well, a humanized service. Congratulations on the service provided.")</f>
        <v>It always serves its customers very well, a humanized service. Congratulations on the service provided.</v>
      </c>
    </row>
    <row r="89" ht="14.25" customHeight="1">
      <c r="A89" s="1">
        <v>100.0</v>
      </c>
      <c r="B89" s="1" t="s">
        <v>5</v>
      </c>
      <c r="C89" s="1">
        <v>10.0</v>
      </c>
      <c r="D89" s="1" t="s">
        <v>47</v>
      </c>
      <c r="E89" s="1" t="str">
        <f>IFERROR(__xludf.DUMMYFUNCTION("GOOGLETRANSLATE(D89,""PT"",""EN"")"),"A bank with super educated employees")</f>
        <v>A bank with super educated employees</v>
      </c>
    </row>
    <row r="90" ht="14.25" customHeight="1">
      <c r="A90" s="1">
        <v>33.0</v>
      </c>
      <c r="B90" s="1" t="s">
        <v>5</v>
      </c>
      <c r="C90" s="1">
        <v>0.0</v>
      </c>
      <c r="D90" s="2" t="s">
        <v>48</v>
      </c>
      <c r="E90" s="1" t="str">
        <f>IFERROR(__xludf.DUMMYFUNCTION("GOOGLETRANSLATE(D90,""PT"",""EN"")"),"lack communication I can't solve problems")</f>
        <v>lack communication I can't solve problems</v>
      </c>
    </row>
    <row r="91" ht="14.25" customHeight="1">
      <c r="A91" s="1">
        <v>66.0</v>
      </c>
      <c r="B91" s="1" t="s">
        <v>5</v>
      </c>
      <c r="C91" s="1">
        <v>8.0</v>
      </c>
      <c r="D91" s="1" t="s">
        <v>6</v>
      </c>
      <c r="E91" s="1"/>
    </row>
    <row r="92" ht="14.25" customHeight="1">
      <c r="A92" s="1">
        <v>66.0</v>
      </c>
      <c r="B92" s="1" t="s">
        <v>5</v>
      </c>
      <c r="C92" s="1">
        <v>8.0</v>
      </c>
      <c r="D92" s="1" t="s">
        <v>6</v>
      </c>
      <c r="E92" s="1"/>
    </row>
    <row r="93" ht="14.25" customHeight="1">
      <c r="A93" s="1">
        <v>100.0</v>
      </c>
      <c r="B93" s="1" t="s">
        <v>5</v>
      </c>
      <c r="C93" s="1">
        <v>10.0</v>
      </c>
      <c r="D93" s="1" t="s">
        <v>6</v>
      </c>
      <c r="E93" s="1"/>
    </row>
    <row r="94" ht="14.25" customHeight="1">
      <c r="A94" s="1">
        <v>100.0</v>
      </c>
      <c r="B94" s="1" t="s">
        <v>5</v>
      </c>
      <c r="C94" s="1">
        <v>10.0</v>
      </c>
      <c r="D94" s="1" t="s">
        <v>6</v>
      </c>
      <c r="E94" s="1"/>
    </row>
    <row r="95" ht="14.25" customHeight="1">
      <c r="A95" s="1">
        <v>100.0</v>
      </c>
      <c r="B95" s="1" t="s">
        <v>5</v>
      </c>
      <c r="C95" s="1">
        <v>10.0</v>
      </c>
      <c r="D95" s="2" t="s">
        <v>49</v>
      </c>
      <c r="E95" s="1" t="str">
        <f>IFERROR(__xludf.DUMMYFUNCTION("GOOGLETRANSLATE(D95,""PT"",""EN"")"),"Besides good service has lower interest rates than other banks")</f>
        <v>Besides good service has lower interest rates than other banks</v>
      </c>
    </row>
    <row r="96" ht="14.25" customHeight="1">
      <c r="A96" s="1">
        <v>100.0</v>
      </c>
      <c r="B96" s="1" t="s">
        <v>5</v>
      </c>
      <c r="C96" s="1">
        <v>10.0</v>
      </c>
      <c r="D96" s="2" t="s">
        <v>50</v>
      </c>
      <c r="E96" s="1" t="str">
        <f>IFERROR(__xludf.DUMMYFUNCTION("GOOGLETRANSLATE(D96,""PT"",""EN"")"),"great bank")</f>
        <v>great bank</v>
      </c>
    </row>
    <row r="97" ht="14.25" customHeight="1">
      <c r="A97" s="1">
        <v>100.0</v>
      </c>
      <c r="B97" s="1" t="s">
        <v>5</v>
      </c>
      <c r="C97" s="1">
        <v>10.0</v>
      </c>
      <c r="D97" s="2" t="s">
        <v>51</v>
      </c>
      <c r="E97" s="1" t="str">
        <f>IFERROR(__xludf.DUMMYFUNCTION("GOOGLETRANSLATE(D97,""PT"",""EN"")"),"Fast service is effective.")</f>
        <v>Fast service is effective.</v>
      </c>
    </row>
    <row r="98" ht="14.25" customHeight="1">
      <c r="A98" s="1">
        <v>66.0</v>
      </c>
      <c r="B98" s="1" t="s">
        <v>5</v>
      </c>
      <c r="C98" s="1">
        <v>8.0</v>
      </c>
      <c r="D98" s="1" t="s">
        <v>6</v>
      </c>
      <c r="E98" s="1"/>
    </row>
    <row r="99" ht="14.25" customHeight="1">
      <c r="A99" s="1">
        <v>100.0</v>
      </c>
      <c r="B99" s="1" t="s">
        <v>5</v>
      </c>
      <c r="C99" s="1">
        <v>10.0</v>
      </c>
      <c r="D99" s="1" t="s">
        <v>6</v>
      </c>
      <c r="E99" s="1"/>
    </row>
    <row r="100" ht="14.25" customHeight="1">
      <c r="A100" s="1">
        <v>66.0</v>
      </c>
      <c r="B100" s="1" t="s">
        <v>5</v>
      </c>
      <c r="C100" s="1">
        <v>8.0</v>
      </c>
      <c r="D100" s="1" t="s">
        <v>52</v>
      </c>
      <c r="E100" s="1" t="str">
        <f>IFERROR(__xludf.DUMMYFUNCTION("GOOGLETRANSLATE(D100,""PT"",""EN"")"),"Rapid return, cordial service;")</f>
        <v>Rapid return, cordial service;</v>
      </c>
    </row>
    <row r="101" ht="14.25" customHeight="1">
      <c r="A101" s="1">
        <v>100.0</v>
      </c>
      <c r="B101" s="1" t="s">
        <v>5</v>
      </c>
      <c r="C101" s="1">
        <v>10.0</v>
      </c>
      <c r="D101" s="1" t="s">
        <v>6</v>
      </c>
      <c r="E101" s="1"/>
    </row>
    <row r="102" ht="14.25" customHeight="1">
      <c r="A102" s="1">
        <v>100.0</v>
      </c>
      <c r="B102" s="1" t="s">
        <v>5</v>
      </c>
      <c r="C102" s="1">
        <v>10.0</v>
      </c>
      <c r="D102" s="1" t="s">
        <v>53</v>
      </c>
      <c r="E102" s="1" t="str">
        <f>IFERROR(__xludf.DUMMYFUNCTION("GOOGLETRANSLATE(D102,""PT"",""EN"")"),"Care, convenience, agility, return of leftovers, interest to capital.")</f>
        <v>Care, convenience, agility, return of leftovers, interest to capital.</v>
      </c>
    </row>
    <row r="103" ht="14.25" customHeight="1">
      <c r="A103" s="1">
        <v>100.0</v>
      </c>
      <c r="B103" s="1" t="s">
        <v>5</v>
      </c>
      <c r="C103" s="1">
        <v>10.0</v>
      </c>
      <c r="D103" s="1" t="s">
        <v>20</v>
      </c>
      <c r="E103" s="1" t="str">
        <f>IFERROR(__xludf.DUMMYFUNCTION("GOOGLETRANSLATE(D103,""PT"",""EN"")"),"Very good")</f>
        <v>Very good</v>
      </c>
    </row>
    <row r="104" ht="14.25" customHeight="1">
      <c r="A104" s="1">
        <v>33.0</v>
      </c>
      <c r="B104" s="1" t="s">
        <v>5</v>
      </c>
      <c r="C104" s="1">
        <v>4.0</v>
      </c>
      <c r="D104" s="1" t="s">
        <v>6</v>
      </c>
      <c r="E104" s="1"/>
    </row>
    <row r="105" ht="14.25" customHeight="1">
      <c r="A105" s="1">
        <v>33.0</v>
      </c>
      <c r="B105" s="1" t="s">
        <v>5</v>
      </c>
      <c r="C105" s="1">
        <v>6.0</v>
      </c>
      <c r="D105" s="2" t="s">
        <v>54</v>
      </c>
      <c r="E105" s="1" t="str">
        <f>IFERROR(__xludf.DUMMYFUNCTION("GOOGLETRANSLATE(D105,""PT"",""EN"")"),"A lot of bureaucracy to solve little")</f>
        <v>A lot of bureaucracy to solve little</v>
      </c>
    </row>
    <row r="106" ht="14.25" customHeight="1">
      <c r="A106" s="1">
        <v>33.0</v>
      </c>
      <c r="B106" s="1" t="s">
        <v>5</v>
      </c>
      <c r="C106" s="1">
        <v>3.0</v>
      </c>
      <c r="D106" s="2" t="s">
        <v>55</v>
      </c>
      <c r="E106" s="1" t="str">
        <f>IFERROR(__xludf.DUMMYFUNCTION("GOOGLETRANSLATE(D106,""PT"",""EN"")"),"A lot of bureaucracy to open an account")</f>
        <v>A lot of bureaucracy to open an account</v>
      </c>
    </row>
    <row r="107" ht="14.25" customHeight="1">
      <c r="A107" s="1">
        <v>33.0</v>
      </c>
      <c r="B107" s="1" t="s">
        <v>5</v>
      </c>
      <c r="C107" s="1">
        <v>0.0</v>
      </c>
      <c r="D107" s="1" t="s">
        <v>6</v>
      </c>
      <c r="E107" s="1"/>
    </row>
    <row r="108" ht="14.25" customHeight="1">
      <c r="A108" s="1">
        <v>100.0</v>
      </c>
      <c r="B108" s="1" t="s">
        <v>5</v>
      </c>
      <c r="C108" s="1">
        <v>10.0</v>
      </c>
      <c r="D108" s="1" t="s">
        <v>6</v>
      </c>
      <c r="E108" s="1"/>
    </row>
    <row r="109" ht="14.25" customHeight="1">
      <c r="A109" s="1">
        <v>33.0</v>
      </c>
      <c r="B109" s="1" t="s">
        <v>5</v>
      </c>
      <c r="C109" s="1">
        <v>3.0</v>
      </c>
      <c r="D109" s="1" t="s">
        <v>56</v>
      </c>
      <c r="E109" s="1" t="str">
        <f>IFERROR(__xludf.DUMMYFUNCTION("GOOGLETRANSLATE(D109,""PT"",""EN"")"),"3")</f>
        <v>3</v>
      </c>
    </row>
    <row r="110" ht="14.25" customHeight="1">
      <c r="A110" s="1">
        <v>66.0</v>
      </c>
      <c r="B110" s="1" t="s">
        <v>5</v>
      </c>
      <c r="C110" s="1">
        <v>8.0</v>
      </c>
      <c r="D110" s="1" t="s">
        <v>6</v>
      </c>
      <c r="E110" s="1"/>
    </row>
    <row r="111" ht="14.25" customHeight="1">
      <c r="A111" s="1">
        <v>66.0</v>
      </c>
      <c r="B111" s="1" t="s">
        <v>5</v>
      </c>
      <c r="C111" s="1">
        <v>7.0</v>
      </c>
      <c r="D111" s="2" t="s">
        <v>57</v>
      </c>
      <c r="E111" s="1" t="str">
        <f>IFERROR(__xludf.DUMMYFUNCTION("GOOGLETRANSLATE(D111,""PT"",""EN"")"),"With 3 months of account is moving the bill to this day has not arrived my card! It's very bureaucratic for credit")</f>
        <v>With 3 months of account is moving the bill to this day has not arrived my card! It's very bureaucratic for credit</v>
      </c>
    </row>
    <row r="112" ht="14.25" customHeight="1">
      <c r="A112" s="1">
        <v>100.0</v>
      </c>
      <c r="B112" s="1" t="s">
        <v>5</v>
      </c>
      <c r="C112" s="1">
        <v>10.0</v>
      </c>
      <c r="D112" s="2" t="s">
        <v>58</v>
      </c>
      <c r="E112" s="1" t="str">
        <f>IFERROR(__xludf.DUMMYFUNCTION("GOOGLETRANSLATE(D112,""PT"",""EN"")"),"Good service is above all, the treatment in a human way, where you do not see the associate as a product to bill, but as a true owner of your own business.")</f>
        <v>Good service is above all, the treatment in a human way, where you do not see the associate as a product to bill, but as a true owner of your own business.</v>
      </c>
    </row>
    <row r="113" ht="14.25" customHeight="1">
      <c r="A113" s="1">
        <v>100.0</v>
      </c>
      <c r="B113" s="1" t="s">
        <v>5</v>
      </c>
      <c r="C113" s="1">
        <v>10.0</v>
      </c>
      <c r="D113" s="1" t="s">
        <v>6</v>
      </c>
      <c r="E113" s="1"/>
    </row>
    <row r="114" ht="14.25" customHeight="1">
      <c r="A114" s="1">
        <v>100.0</v>
      </c>
      <c r="B114" s="1" t="s">
        <v>5</v>
      </c>
      <c r="C114" s="1">
        <v>9.0</v>
      </c>
      <c r="D114" s="1" t="s">
        <v>6</v>
      </c>
      <c r="E114" s="1"/>
    </row>
    <row r="115" ht="14.25" customHeight="1">
      <c r="A115" s="1">
        <v>100.0</v>
      </c>
      <c r="B115" s="1" t="s">
        <v>5</v>
      </c>
      <c r="C115" s="1">
        <v>9.0</v>
      </c>
      <c r="D115" s="1" t="s">
        <v>6</v>
      </c>
      <c r="E115" s="1"/>
    </row>
    <row r="116" ht="14.25" customHeight="1">
      <c r="A116" s="1">
        <v>33.0</v>
      </c>
      <c r="B116" s="1" t="s">
        <v>5</v>
      </c>
      <c r="C116" s="1">
        <v>5.0</v>
      </c>
      <c r="D116" s="1" t="s">
        <v>6</v>
      </c>
      <c r="E116" s="1"/>
    </row>
    <row r="117" ht="14.25" customHeight="1">
      <c r="A117" s="1">
        <v>100.0</v>
      </c>
      <c r="B117" s="1" t="s">
        <v>5</v>
      </c>
      <c r="C117" s="1">
        <v>10.0</v>
      </c>
      <c r="D117" s="1" t="s">
        <v>6</v>
      </c>
      <c r="E117" s="1"/>
    </row>
    <row r="118" ht="14.25" customHeight="1">
      <c r="A118" s="1">
        <v>33.0</v>
      </c>
      <c r="B118" s="1" t="s">
        <v>5</v>
      </c>
      <c r="C118" s="1">
        <v>5.0</v>
      </c>
      <c r="D118" s="1" t="s">
        <v>6</v>
      </c>
      <c r="E118" s="1"/>
    </row>
    <row r="119" ht="14.25" customHeight="1">
      <c r="A119" s="1">
        <v>100.0</v>
      </c>
      <c r="B119" s="1" t="s">
        <v>5</v>
      </c>
      <c r="C119" s="1">
        <v>10.0</v>
      </c>
      <c r="D119" s="1" t="s">
        <v>59</v>
      </c>
      <c r="E119" s="1" t="str">
        <f>IFERROR(__xludf.DUMMYFUNCTION("GOOGLETRANSLATE(D119,""PT"",""EN"")"),"Great customer service.")</f>
        <v>Great customer service.</v>
      </c>
    </row>
    <row r="120" ht="14.25" customHeight="1">
      <c r="A120" s="1">
        <v>33.0</v>
      </c>
      <c r="B120" s="1" t="s">
        <v>5</v>
      </c>
      <c r="C120" s="1">
        <v>0.0</v>
      </c>
      <c r="D120" s="2" t="s">
        <v>60</v>
      </c>
      <c r="E120" s="1" t="str">
        <f>IFERROR(__xludf.DUMMYFUNCTION("GOOGLETRANSLATE(D120,""PT"",""EN"")"),"I tried to regularize a debt in Sicoob the manager always plays to the central in Quirinópolis never solves my problem I got a financing in Sicoob time that my guarantor went to sign the endoer Sergio took from his head to analyze me that the account was "&amp;"legal That if I didn't pay, I would give me nothing to me, the name of the guarantor")</f>
        <v>I tried to regularize a debt in Sicoob the manager always plays to the central in Quirinópolis never solves my problem I got a financing in Sicoob time that my guarantor went to sign the endoer Sergio took from his head to analyze me that the account was legal That if I didn't pay, I would give me nothing to me, the name of the guarantor</v>
      </c>
    </row>
    <row r="121" ht="14.25" customHeight="1">
      <c r="A121" s="1">
        <v>100.0</v>
      </c>
      <c r="B121" s="1" t="s">
        <v>5</v>
      </c>
      <c r="C121" s="1">
        <v>10.0</v>
      </c>
      <c r="D121" s="1" t="s">
        <v>6</v>
      </c>
      <c r="E121" s="1"/>
    </row>
    <row r="122" ht="14.25" customHeight="1">
      <c r="A122" s="1">
        <v>100.0</v>
      </c>
      <c r="B122" s="1" t="s">
        <v>5</v>
      </c>
      <c r="C122" s="1">
        <v>10.0</v>
      </c>
      <c r="D122" s="2" t="s">
        <v>61</v>
      </c>
      <c r="E122" s="1" t="str">
        <f>IFERROR(__xludf.DUMMYFUNCTION("GOOGLETRANSLATE(D122,""PT"",""EN"")"),"Service is quality of services")</f>
        <v>Service is quality of services</v>
      </c>
    </row>
    <row r="123" ht="14.25" customHeight="1">
      <c r="A123" s="1">
        <v>100.0</v>
      </c>
      <c r="B123" s="1" t="s">
        <v>5</v>
      </c>
      <c r="C123" s="1">
        <v>10.0</v>
      </c>
      <c r="D123" s="1" t="s">
        <v>6</v>
      </c>
      <c r="E123" s="1"/>
    </row>
    <row r="124" ht="14.25" customHeight="1">
      <c r="A124" s="1">
        <v>100.0</v>
      </c>
      <c r="B124" s="1" t="s">
        <v>5</v>
      </c>
      <c r="C124" s="1">
        <v>10.0</v>
      </c>
      <c r="D124" s="1" t="s">
        <v>62</v>
      </c>
      <c r="E124" s="1" t="str">
        <f>IFERROR(__xludf.DUMMYFUNCTION("GOOGLETRANSLATE(D124,""PT"",""EN"")"),"Good service")</f>
        <v>Good service</v>
      </c>
    </row>
    <row r="125" ht="14.25" customHeight="1">
      <c r="A125" s="1">
        <v>100.0</v>
      </c>
      <c r="B125" s="1" t="s">
        <v>5</v>
      </c>
      <c r="C125" s="1">
        <v>10.0</v>
      </c>
      <c r="D125" s="2" t="s">
        <v>63</v>
      </c>
      <c r="E125" s="1" t="str">
        <f>IFERROR(__xludf.DUMMYFUNCTION("GOOGLETRANSLATE(D125,""PT"",""EN"")"),"Best Bank of Quirinópolis Congratulations")</f>
        <v>Best Bank of Quirinópolis Congratulations</v>
      </c>
    </row>
    <row r="126" ht="14.25" customHeight="1">
      <c r="A126" s="1">
        <v>100.0</v>
      </c>
      <c r="B126" s="1" t="s">
        <v>5</v>
      </c>
      <c r="C126" s="1">
        <v>10.0</v>
      </c>
      <c r="D126" s="1" t="s">
        <v>64</v>
      </c>
      <c r="E126" s="1" t="str">
        <f>IFERROR(__xludf.DUMMYFUNCTION("GOOGLETRANSLATE(D126,""PT"",""EN"")"),"I am satisfied with Sicoob")</f>
        <v>I am satisfied with Sicoob</v>
      </c>
    </row>
    <row r="127" ht="14.25" customHeight="1">
      <c r="A127" s="1">
        <v>66.0</v>
      </c>
      <c r="B127" s="1" t="s">
        <v>5</v>
      </c>
      <c r="C127" s="1">
        <v>7.0</v>
      </c>
      <c r="D127" s="1" t="s">
        <v>6</v>
      </c>
      <c r="E127" s="1"/>
    </row>
    <row r="128" ht="14.25" customHeight="1">
      <c r="A128" s="1">
        <v>100.0</v>
      </c>
      <c r="B128" s="1" t="s">
        <v>5</v>
      </c>
      <c r="C128" s="1">
        <v>10.0</v>
      </c>
      <c r="D128" s="1" t="s">
        <v>6</v>
      </c>
      <c r="E128" s="1"/>
    </row>
    <row r="129" ht="14.25" customHeight="1">
      <c r="A129" s="1">
        <v>100.0</v>
      </c>
      <c r="B129" s="1" t="s">
        <v>5</v>
      </c>
      <c r="C129" s="1">
        <v>10.0</v>
      </c>
      <c r="D129" s="1" t="s">
        <v>6</v>
      </c>
      <c r="E129" s="1"/>
    </row>
    <row r="130" ht="14.25" customHeight="1">
      <c r="A130" s="1">
        <v>100.0</v>
      </c>
      <c r="B130" s="1" t="s">
        <v>5</v>
      </c>
      <c r="C130" s="1">
        <v>10.0</v>
      </c>
      <c r="D130" s="2" t="s">
        <v>65</v>
      </c>
      <c r="E130" s="1" t="str">
        <f>IFERROR(__xludf.DUMMYFUNCTION("GOOGLETRANSLATE(D130,""PT"",""EN"")"),"It is better financial system, it only brings advantages to the member. Even most of my family members already have checking account or savings in Sicoob.")</f>
        <v>It is better financial system, it only brings advantages to the member. Even most of my family members already have checking account or savings in Sicoob.</v>
      </c>
    </row>
    <row r="131" ht="14.25" customHeight="1">
      <c r="A131" s="1">
        <v>33.0</v>
      </c>
      <c r="B131" s="1" t="s">
        <v>5</v>
      </c>
      <c r="C131" s="1">
        <v>1.0</v>
      </c>
      <c r="D131" s="2" t="s">
        <v>66</v>
      </c>
      <c r="E131" s="1" t="str">
        <f>IFERROR(__xludf.DUMMYFUNCTION("GOOGLETRANSLATE(D131,""PT"",""EN"")"),"Service leaves something to be desired")</f>
        <v>Service leaves something to be desired</v>
      </c>
    </row>
    <row r="132" ht="14.25" customHeight="1">
      <c r="A132" s="1">
        <v>100.0</v>
      </c>
      <c r="B132" s="1" t="s">
        <v>5</v>
      </c>
      <c r="C132" s="1">
        <v>9.0</v>
      </c>
      <c r="D132" s="1" t="s">
        <v>67</v>
      </c>
      <c r="E132" s="1"/>
    </row>
    <row r="133" ht="14.25" customHeight="1">
      <c r="A133" s="1">
        <v>100.0</v>
      </c>
      <c r="B133" s="1" t="s">
        <v>5</v>
      </c>
      <c r="C133" s="1">
        <v>10.0</v>
      </c>
      <c r="D133" s="2" t="s">
        <v>68</v>
      </c>
      <c r="E133" s="1" t="str">
        <f>IFERROR(__xludf.DUMMYFUNCTION("GOOGLETRANSLATE(D133,""PT"",""EN"")"),"There are people available to help when you have questions. Service does not take long.")</f>
        <v>There are people available to help when you have questions. Service does not take long.</v>
      </c>
    </row>
    <row r="134" ht="14.25" customHeight="1">
      <c r="A134" s="1">
        <v>100.0</v>
      </c>
      <c r="B134" s="1" t="s">
        <v>5</v>
      </c>
      <c r="C134" s="1">
        <v>10.0</v>
      </c>
      <c r="D134" s="2" t="s">
        <v>69</v>
      </c>
      <c r="E134" s="1" t="str">
        <f>IFERROR(__xludf.DUMMYFUNCTION("GOOGLETRANSLATE(D134,""PT"",""EN"")"),"Regarding the service here at the Gouvelândia Agency we are to be congratulated.")</f>
        <v>Regarding the service here at the Gouvelândia Agency we are to be congratulated.</v>
      </c>
    </row>
    <row r="135" ht="14.25" customHeight="1">
      <c r="A135" s="1">
        <v>100.0</v>
      </c>
      <c r="B135" s="1" t="s">
        <v>5</v>
      </c>
      <c r="C135" s="1">
        <v>10.0</v>
      </c>
      <c r="D135" s="1" t="s">
        <v>9</v>
      </c>
      <c r="E135" s="1" t="str">
        <f>IFERROR(__xludf.DUMMYFUNCTION("GOOGLETRANSLATE(D135,""PT"",""EN"")"),"10")</f>
        <v>10</v>
      </c>
    </row>
    <row r="136" ht="14.25" customHeight="1">
      <c r="A136" s="1">
        <v>100.0</v>
      </c>
      <c r="B136" s="1" t="s">
        <v>5</v>
      </c>
      <c r="C136" s="1">
        <v>10.0</v>
      </c>
      <c r="D136" s="1" t="s">
        <v>70</v>
      </c>
      <c r="E136" s="1" t="str">
        <f>IFERROR(__xludf.DUMMYFUNCTION("GOOGLETRANSLATE(D136,""PT"",""EN"")"),"I")</f>
        <v>I</v>
      </c>
    </row>
    <row r="137" ht="14.25" customHeight="1">
      <c r="A137" s="1">
        <v>100.0</v>
      </c>
      <c r="B137" s="1" t="s">
        <v>5</v>
      </c>
      <c r="C137" s="1">
        <v>10.0</v>
      </c>
      <c r="D137" s="1" t="s">
        <v>6</v>
      </c>
      <c r="E137" s="1"/>
    </row>
    <row r="138" ht="14.25" customHeight="1">
      <c r="A138" s="1">
        <v>100.0</v>
      </c>
      <c r="B138" s="1" t="s">
        <v>5</v>
      </c>
      <c r="C138" s="1">
        <v>10.0</v>
      </c>
      <c r="D138" s="2" t="s">
        <v>71</v>
      </c>
      <c r="E138" s="1" t="str">
        <f>IFERROR(__xludf.DUMMYFUNCTION("GOOGLETRANSLATE(D138,""PT"",""EN"")"),"I already got several accounts with family .. all are very pleased.")</f>
        <v>I already got several accounts with family .. all are very pleased.</v>
      </c>
    </row>
    <row r="139" ht="14.25" customHeight="1">
      <c r="A139" s="1">
        <v>100.0</v>
      </c>
      <c r="B139" s="1" t="s">
        <v>5</v>
      </c>
      <c r="C139" s="1">
        <v>10.0</v>
      </c>
      <c r="D139" s="2" t="s">
        <v>72</v>
      </c>
      <c r="E139" s="1" t="str">
        <f>IFERROR(__xludf.DUMMYFUNCTION("GOOGLETRANSLATE(D139,""PT"",""EN"")"),"People, competent, attentive technicians, responsible are dedicated!")</f>
        <v>People, competent, attentive technicians, responsible are dedicated!</v>
      </c>
    </row>
    <row r="140" ht="14.25" customHeight="1">
      <c r="A140" s="1">
        <v>66.0</v>
      </c>
      <c r="B140" s="1" t="s">
        <v>5</v>
      </c>
      <c r="C140" s="1">
        <v>8.0</v>
      </c>
      <c r="D140" s="2" t="s">
        <v>73</v>
      </c>
      <c r="E140" s="1" t="str">
        <f>IFERROR(__xludf.DUMMYFUNCTION("GOOGLETRANSLATE(D140,""PT"",""EN"")"),"Differentiated service is humanized")</f>
        <v>Differentiated service is humanized</v>
      </c>
    </row>
    <row r="141" ht="14.25" customHeight="1">
      <c r="A141" s="1">
        <v>100.0</v>
      </c>
      <c r="B141" s="1" t="s">
        <v>5</v>
      </c>
      <c r="C141" s="1">
        <v>10.0</v>
      </c>
      <c r="D141" s="2" t="s">
        <v>74</v>
      </c>
      <c r="E141" s="1" t="str">
        <f>IFERROR(__xludf.DUMMYFUNCTION("GOOGLETRANSLATE(D141,""PT"",""EN"")"),"Although bureaucratic has the best interest on the market")</f>
        <v>Although bureaucratic has the best interest on the market</v>
      </c>
    </row>
    <row r="142" ht="14.25" customHeight="1">
      <c r="A142" s="1">
        <v>100.0</v>
      </c>
      <c r="B142" s="1" t="s">
        <v>5</v>
      </c>
      <c r="C142" s="1">
        <v>10.0</v>
      </c>
      <c r="D142" s="2" t="s">
        <v>75</v>
      </c>
      <c r="E142" s="1" t="str">
        <f>IFERROR(__xludf.DUMMYFUNCTION("GOOGLETRANSLATE(D142,""PT"",""EN"")"),"A cooperative that gives opportunities, I am totally grateful for the confidence other banks never offered me a credit card with Sicoob was different without talking about the education that employees have 💚💚💚💚💚💚💚💚💚💚💚")</f>
        <v>A cooperative that gives opportunities, I am totally grateful for the confidence other banks never offered me a credit card with Sicoob was different without talking about the education that employees have 💚💚💚💚💚💚💚💚💚💚💚</v>
      </c>
    </row>
    <row r="143" ht="14.25" customHeight="1">
      <c r="A143" s="1">
        <v>100.0</v>
      </c>
      <c r="B143" s="1" t="s">
        <v>5</v>
      </c>
      <c r="C143" s="1">
        <v>10.0</v>
      </c>
      <c r="D143" s="1" t="s">
        <v>76</v>
      </c>
      <c r="E143" s="1" t="str">
        <f>IFERROR(__xludf.DUMMYFUNCTION("GOOGLETRANSLATE(D143,""PT"",""EN"")"),"Good service. Good options")</f>
        <v>Good service. Good options</v>
      </c>
    </row>
    <row r="144" ht="14.25" customHeight="1">
      <c r="A144" s="1">
        <v>100.0</v>
      </c>
      <c r="B144" s="1" t="s">
        <v>5</v>
      </c>
      <c r="C144" s="1">
        <v>10.0</v>
      </c>
      <c r="D144" s="1" t="s">
        <v>6</v>
      </c>
      <c r="E144" s="1"/>
    </row>
    <row r="145" ht="14.25" customHeight="1">
      <c r="A145" s="1">
        <v>100.0</v>
      </c>
      <c r="B145" s="1" t="s">
        <v>5</v>
      </c>
      <c r="C145" s="1">
        <v>10.0</v>
      </c>
      <c r="D145" s="1" t="s">
        <v>6</v>
      </c>
      <c r="E145" s="1"/>
    </row>
    <row r="146" ht="14.25" customHeight="1">
      <c r="A146" s="1">
        <v>100.0</v>
      </c>
      <c r="B146" s="1" t="s">
        <v>5</v>
      </c>
      <c r="C146" s="1">
        <v>9.0</v>
      </c>
      <c r="D146" s="1" t="s">
        <v>77</v>
      </c>
      <c r="E146" s="1" t="str">
        <f>IFERROR(__xludf.DUMMYFUNCTION("GOOGLETRANSLATE(D146,""PT"",""EN"")"),"AT")</f>
        <v>AT</v>
      </c>
    </row>
    <row r="147" ht="14.25" customHeight="1">
      <c r="A147" s="1">
        <v>100.0</v>
      </c>
      <c r="B147" s="1" t="s">
        <v>5</v>
      </c>
      <c r="C147" s="1">
        <v>10.0</v>
      </c>
      <c r="D147" s="1" t="s">
        <v>6</v>
      </c>
      <c r="E147" s="1"/>
    </row>
    <row r="148" ht="14.25" customHeight="1">
      <c r="A148" s="1">
        <v>100.0</v>
      </c>
      <c r="B148" s="1" t="s">
        <v>5</v>
      </c>
      <c r="C148" s="1">
        <v>10.0</v>
      </c>
      <c r="D148" s="1" t="s">
        <v>6</v>
      </c>
      <c r="E148" s="1"/>
    </row>
    <row r="149" ht="14.25" customHeight="1">
      <c r="A149" s="1">
        <v>100.0</v>
      </c>
      <c r="B149" s="1" t="s">
        <v>5</v>
      </c>
      <c r="C149" s="1">
        <v>10.0</v>
      </c>
      <c r="D149" s="1" t="s">
        <v>6</v>
      </c>
      <c r="E149" s="1"/>
    </row>
    <row r="150" ht="14.25" customHeight="1">
      <c r="A150" s="1">
        <v>100.0</v>
      </c>
      <c r="B150" s="1" t="s">
        <v>5</v>
      </c>
      <c r="C150" s="1">
        <v>10.0</v>
      </c>
      <c r="D150" s="1" t="s">
        <v>6</v>
      </c>
      <c r="E150" s="1"/>
    </row>
    <row r="151" ht="14.25" customHeight="1">
      <c r="A151" s="1">
        <v>33.0</v>
      </c>
      <c r="B151" s="1" t="s">
        <v>5</v>
      </c>
      <c r="C151" s="1">
        <v>0.0</v>
      </c>
      <c r="D151" s="1" t="s">
        <v>78</v>
      </c>
      <c r="E151" s="1" t="str">
        <f>IFERROR(__xludf.DUMMYFUNCTION("GOOGLETRANSLATE(D151,""PT"",""EN"")"),"Bad service.")</f>
        <v>Bad service.</v>
      </c>
    </row>
    <row r="152" ht="14.25" customHeight="1">
      <c r="A152" s="1">
        <v>100.0</v>
      </c>
      <c r="B152" s="1" t="s">
        <v>5</v>
      </c>
      <c r="C152" s="1">
        <v>10.0</v>
      </c>
      <c r="D152" s="1" t="s">
        <v>79</v>
      </c>
      <c r="E152" s="1" t="str">
        <f>IFERROR(__xludf.DUMMYFUNCTION("GOOGLETRANSLATE(D152,""PT"",""EN"")"),"Bank meets my expectations")</f>
        <v>Bank meets my expectations</v>
      </c>
    </row>
    <row r="153" ht="14.25" customHeight="1">
      <c r="A153" s="1">
        <v>100.0</v>
      </c>
      <c r="B153" s="1" t="s">
        <v>5</v>
      </c>
      <c r="C153" s="1">
        <v>10.0</v>
      </c>
      <c r="D153" s="1" t="s">
        <v>6</v>
      </c>
      <c r="E153" s="1"/>
    </row>
    <row r="154" ht="14.25" customHeight="1">
      <c r="A154" s="1">
        <v>66.0</v>
      </c>
      <c r="B154" s="1" t="s">
        <v>5</v>
      </c>
      <c r="C154" s="1">
        <v>8.0</v>
      </c>
      <c r="D154" s="1" t="s">
        <v>20</v>
      </c>
      <c r="E154" s="1" t="str">
        <f>IFERROR(__xludf.DUMMYFUNCTION("GOOGLETRANSLATE(D154,""PT"",""EN"")"),"Very good")</f>
        <v>Very good</v>
      </c>
    </row>
    <row r="155" ht="14.25" customHeight="1">
      <c r="A155" s="1">
        <v>100.0</v>
      </c>
      <c r="B155" s="1" t="s">
        <v>5</v>
      </c>
      <c r="C155" s="1">
        <v>10.0</v>
      </c>
      <c r="D155" s="1" t="s">
        <v>6</v>
      </c>
      <c r="E155" s="1"/>
    </row>
    <row r="156" ht="14.25" customHeight="1">
      <c r="A156" s="1">
        <v>100.0</v>
      </c>
      <c r="B156" s="1" t="s">
        <v>5</v>
      </c>
      <c r="C156" s="1">
        <v>10.0</v>
      </c>
      <c r="D156" s="1" t="s">
        <v>6</v>
      </c>
      <c r="E156" s="1"/>
    </row>
    <row r="157" ht="14.25" customHeight="1">
      <c r="A157" s="1">
        <v>100.0</v>
      </c>
      <c r="B157" s="1" t="s">
        <v>5</v>
      </c>
      <c r="C157" s="1">
        <v>10.0</v>
      </c>
      <c r="D157" s="1" t="s">
        <v>9</v>
      </c>
      <c r="E157" s="1" t="str">
        <f>IFERROR(__xludf.DUMMYFUNCTION("GOOGLETRANSLATE(D157,""PT"",""EN"")"),"10")</f>
        <v>10</v>
      </c>
    </row>
    <row r="158" ht="14.25" customHeight="1">
      <c r="A158" s="1">
        <v>66.0</v>
      </c>
      <c r="B158" s="1" t="s">
        <v>5</v>
      </c>
      <c r="C158" s="1">
        <v>8.0</v>
      </c>
      <c r="D158" s="1" t="s">
        <v>6</v>
      </c>
      <c r="E158" s="1"/>
    </row>
    <row r="159" ht="14.25" customHeight="1">
      <c r="A159" s="1">
        <v>100.0</v>
      </c>
      <c r="B159" s="1" t="s">
        <v>5</v>
      </c>
      <c r="C159" s="1">
        <v>10.0</v>
      </c>
      <c r="D159" s="2" t="s">
        <v>80</v>
      </c>
      <c r="E159" s="1" t="str">
        <f>IFERROR(__xludf.DUMMYFUNCTION("GOOGLETRANSLATE(D159,""PT"",""EN"")"),"It is a great bank with great service")</f>
        <v>It is a great bank with great service</v>
      </c>
    </row>
    <row r="160" ht="14.25" customHeight="1">
      <c r="A160" s="1">
        <v>100.0</v>
      </c>
      <c r="B160" s="1" t="s">
        <v>5</v>
      </c>
      <c r="C160" s="1">
        <v>10.0</v>
      </c>
      <c r="D160" s="2" t="s">
        <v>81</v>
      </c>
      <c r="E160" s="1" t="str">
        <f>IFERROR(__xludf.DUMMYFUNCTION("GOOGLETRANSLATE(D160,""PT"",""EN"")"),"At first it was my work more later I saw how important it is to work with the cooperative is to maintain a checking account. There are many benefits.")</f>
        <v>At first it was my work more later I saw how important it is to work with the cooperative is to maintain a checking account. There are many benefits.</v>
      </c>
    </row>
    <row r="161" ht="14.25" customHeight="1">
      <c r="A161" s="1">
        <v>100.0</v>
      </c>
      <c r="B161" s="1" t="s">
        <v>5</v>
      </c>
      <c r="C161" s="1">
        <v>10.0</v>
      </c>
      <c r="D161" s="2" t="s">
        <v>82</v>
      </c>
      <c r="E161" s="1" t="str">
        <f>IFERROR(__xludf.DUMMYFUNCTION("GOOGLETRANSLATE(D161,""PT"",""EN"")"),"Great service great products is services. Always willing to listen to your customers")</f>
        <v>Great service great products is services. Always willing to listen to your customers</v>
      </c>
    </row>
    <row r="162" ht="14.25" customHeight="1">
      <c r="A162" s="1">
        <v>33.0</v>
      </c>
      <c r="B162" s="1" t="s">
        <v>5</v>
      </c>
      <c r="C162" s="1">
        <v>0.0</v>
      </c>
      <c r="D162" s="1" t="s">
        <v>6</v>
      </c>
      <c r="E162" s="1"/>
    </row>
    <row r="163" ht="14.25" customHeight="1">
      <c r="A163" s="1">
        <v>100.0</v>
      </c>
      <c r="B163" s="1" t="s">
        <v>5</v>
      </c>
      <c r="C163" s="1">
        <v>10.0</v>
      </c>
      <c r="D163" s="2" t="s">
        <v>83</v>
      </c>
      <c r="E163" s="1" t="str">
        <f>IFERROR(__xludf.DUMMYFUNCTION("GOOGLETRANSLATE(D163,""PT"",""EN"")"),"A very good bank is answers us perfectly is thank you all team Sicoob")</f>
        <v>A very good bank is answers us perfectly is thank you all team Sicoob</v>
      </c>
    </row>
    <row r="164" ht="14.25" customHeight="1">
      <c r="A164" s="1">
        <v>33.0</v>
      </c>
      <c r="B164" s="1" t="s">
        <v>5</v>
      </c>
      <c r="C164" s="1">
        <v>0.0</v>
      </c>
      <c r="D164" s="2" t="s">
        <v>84</v>
      </c>
      <c r="E164" s="1" t="str">
        <f>IFERROR(__xludf.DUMMYFUNCTION("GOOGLETRANSLATE(D164,""PT"",""EN"")"),"Bank that does not help the cooperative")</f>
        <v>Bank that does not help the cooperative</v>
      </c>
    </row>
    <row r="165" ht="14.25" customHeight="1">
      <c r="A165" s="1">
        <v>33.0</v>
      </c>
      <c r="B165" s="1" t="s">
        <v>5</v>
      </c>
      <c r="C165" s="1">
        <v>5.0</v>
      </c>
      <c r="D165" s="1" t="s">
        <v>85</v>
      </c>
      <c r="E165" s="1" t="str">
        <f>IFERROR(__xludf.DUMMYFUNCTION("GOOGLETRANSLATE(D165,""PT"",""EN"")"),"Service")</f>
        <v>Service</v>
      </c>
    </row>
    <row r="166" ht="14.25" customHeight="1">
      <c r="A166" s="1">
        <v>33.0</v>
      </c>
      <c r="B166" s="1" t="s">
        <v>5</v>
      </c>
      <c r="C166" s="1">
        <v>2.0</v>
      </c>
      <c r="D166" s="2" t="s">
        <v>86</v>
      </c>
      <c r="E166" s="1" t="str">
        <f>IFERROR(__xludf.DUMMYFUNCTION("GOOGLETRANSLATE(D166,""PT"",""EN"")"),"It is not a company that thinks of its members in all, because only those who have more money")</f>
        <v>It is not a company that thinks of its members in all, because only those who have more money</v>
      </c>
    </row>
    <row r="167" ht="14.25" customHeight="1">
      <c r="A167" s="1">
        <v>100.0</v>
      </c>
      <c r="B167" s="1" t="s">
        <v>5</v>
      </c>
      <c r="C167" s="1">
        <v>10.0</v>
      </c>
      <c r="D167" s="1" t="s">
        <v>87</v>
      </c>
      <c r="E167" s="1" t="str">
        <f>IFERROR(__xludf.DUMMYFUNCTION("GOOGLETRANSLATE(D167,""PT"",""EN"")"),"Personalized service")</f>
        <v>Personalized service</v>
      </c>
    </row>
    <row r="168" ht="14.25" customHeight="1">
      <c r="A168" s="1">
        <v>100.0</v>
      </c>
      <c r="B168" s="1" t="s">
        <v>5</v>
      </c>
      <c r="C168" s="1">
        <v>10.0</v>
      </c>
      <c r="D168" s="2" t="s">
        <v>88</v>
      </c>
      <c r="E168" s="1" t="str">
        <f>IFERROR(__xludf.DUMMYFUNCTION("GOOGLETRANSLATE(D168,""PT"",""EN"")"),"Service is practicality.")</f>
        <v>Service is practicality.</v>
      </c>
    </row>
    <row r="169" ht="14.25" customHeight="1">
      <c r="A169" s="1">
        <v>100.0</v>
      </c>
      <c r="B169" s="1" t="s">
        <v>5</v>
      </c>
      <c r="C169" s="1">
        <v>10.0</v>
      </c>
      <c r="D169" s="2" t="s">
        <v>89</v>
      </c>
      <c r="E169" s="1" t="str">
        <f>IFERROR(__xludf.DUMMYFUNCTION("GOOGLETRANSLATE(D169,""PT"",""EN"")"),"Product diversity, great service is fair interest rates.")</f>
        <v>Product diversity, great service is fair interest rates.</v>
      </c>
    </row>
    <row r="170" ht="14.25" customHeight="1">
      <c r="A170" s="1">
        <v>100.0</v>
      </c>
      <c r="B170" s="1" t="s">
        <v>5</v>
      </c>
      <c r="C170" s="1">
        <v>10.0</v>
      </c>
      <c r="D170" s="1" t="s">
        <v>6</v>
      </c>
      <c r="E170" s="1"/>
    </row>
    <row r="171" ht="14.25" customHeight="1">
      <c r="A171" s="1">
        <v>100.0</v>
      </c>
      <c r="B171" s="1" t="s">
        <v>5</v>
      </c>
      <c r="C171" s="1">
        <v>10.0</v>
      </c>
      <c r="D171" s="2" t="s">
        <v>90</v>
      </c>
      <c r="E171" s="1" t="str">
        <f>IFERROR(__xludf.DUMMYFUNCTION("GOOGLETRANSLATE(D171,""PT"",""EN"")"),"Due to ease of access physically in the bank is when I request service via WhatsApp I am always attended.")</f>
        <v>Due to ease of access physically in the bank is when I request service via WhatsApp I am always attended.</v>
      </c>
    </row>
    <row r="172" ht="14.25" customHeight="1">
      <c r="A172" s="1">
        <v>33.0</v>
      </c>
      <c r="B172" s="1" t="s">
        <v>5</v>
      </c>
      <c r="C172" s="1">
        <v>5.0</v>
      </c>
      <c r="D172" s="1" t="s">
        <v>91</v>
      </c>
      <c r="E172" s="1" t="str">
        <f>IFERROR(__xludf.DUMMYFUNCTION("GOOGLETRANSLATE(D172,""PT"",""EN"")"),"Slowness in processes")</f>
        <v>Slowness in processes</v>
      </c>
    </row>
    <row r="173" ht="14.25" customHeight="1">
      <c r="A173" s="1">
        <v>100.0</v>
      </c>
      <c r="B173" s="1" t="s">
        <v>5</v>
      </c>
      <c r="C173" s="1">
        <v>10.0</v>
      </c>
      <c r="D173" s="1" t="s">
        <v>92</v>
      </c>
      <c r="E173" s="1" t="str">
        <f>IFERROR(__xludf.DUMMYFUNCTION("GOOGLETRANSLATE(D173,""PT"",""EN"")"),"Top bank")</f>
        <v>Top bank</v>
      </c>
    </row>
    <row r="174" ht="14.25" customHeight="1">
      <c r="A174" s="1">
        <v>33.0</v>
      </c>
      <c r="B174" s="1" t="s">
        <v>5</v>
      </c>
      <c r="C174" s="1">
        <v>0.0</v>
      </c>
      <c r="D174" s="2" t="s">
        <v>93</v>
      </c>
      <c r="E174" s="1" t="str">
        <f>IFERROR(__xludf.DUMMYFUNCTION("GOOGLETRANSLATE(D174,""PT"",""EN"")"),"Service in my PA, poorly trained employees, displeasing is abused")</f>
        <v>Service in my PA, poorly trained employees, displeasing is abused</v>
      </c>
    </row>
    <row r="175" ht="14.25" customHeight="1">
      <c r="A175" s="1">
        <v>100.0</v>
      </c>
      <c r="B175" s="1" t="s">
        <v>5</v>
      </c>
      <c r="C175" s="1">
        <v>10.0</v>
      </c>
      <c r="D175" s="1" t="s">
        <v>6</v>
      </c>
      <c r="E175" s="1"/>
    </row>
    <row r="176" ht="14.25" customHeight="1">
      <c r="A176" s="1">
        <v>33.0</v>
      </c>
      <c r="B176" s="1" t="s">
        <v>5</v>
      </c>
      <c r="C176" s="1">
        <v>4.0</v>
      </c>
      <c r="D176" s="2" t="s">
        <v>94</v>
      </c>
      <c r="E176" s="1" t="str">
        <f>IFERROR(__xludf.DUMMYFUNCTION("GOOGLETRANSLATE(D176,""PT"",""EN"")"),"I didn't have the service, which I expected.")</f>
        <v>I didn't have the service, which I expected.</v>
      </c>
    </row>
    <row r="177" ht="14.25" customHeight="1">
      <c r="A177" s="1">
        <v>100.0</v>
      </c>
      <c r="B177" s="1" t="s">
        <v>5</v>
      </c>
      <c r="C177" s="1">
        <v>10.0</v>
      </c>
      <c r="D177" s="1" t="s">
        <v>6</v>
      </c>
      <c r="E177" s="1"/>
    </row>
    <row r="178" ht="14.25" customHeight="1">
      <c r="A178" s="1">
        <v>100.0</v>
      </c>
      <c r="B178" s="1" t="s">
        <v>5</v>
      </c>
      <c r="C178" s="1">
        <v>9.0</v>
      </c>
      <c r="D178" s="2" t="s">
        <v>95</v>
      </c>
      <c r="E178" s="1" t="str">
        <f>IFERROR(__xludf.DUMMYFUNCTION("GOOGLETRANSLATE(D178,""PT"",""EN"")"),"Note 10 would be perfection, which is not, but I recommend it is an incentive to join new members.")</f>
        <v>Note 10 would be perfection, which is not, but I recommend it is an incentive to join new members.</v>
      </c>
    </row>
    <row r="179" ht="14.25" customHeight="1">
      <c r="A179" s="1">
        <v>100.0</v>
      </c>
      <c r="B179" s="1" t="s">
        <v>5</v>
      </c>
      <c r="C179" s="1">
        <v>9.0</v>
      </c>
      <c r="D179" s="1" t="s">
        <v>6</v>
      </c>
      <c r="E179" s="1"/>
    </row>
    <row r="180" ht="14.25" customHeight="1">
      <c r="A180" s="1">
        <v>100.0</v>
      </c>
      <c r="B180" s="1" t="s">
        <v>5</v>
      </c>
      <c r="C180" s="1">
        <v>10.0</v>
      </c>
      <c r="D180" s="1" t="s">
        <v>6</v>
      </c>
      <c r="E180" s="1"/>
    </row>
    <row r="181" ht="14.25" customHeight="1">
      <c r="A181" s="1">
        <v>100.0</v>
      </c>
      <c r="B181" s="1" t="s">
        <v>5</v>
      </c>
      <c r="C181" s="1">
        <v>10.0</v>
      </c>
      <c r="D181" s="1" t="s">
        <v>6</v>
      </c>
      <c r="E181" s="1"/>
    </row>
    <row r="182" ht="14.25" customHeight="1">
      <c r="A182" s="1">
        <v>100.0</v>
      </c>
      <c r="B182" s="1" t="s">
        <v>5</v>
      </c>
      <c r="C182" s="1">
        <v>9.0</v>
      </c>
      <c r="D182" s="1" t="s">
        <v>96</v>
      </c>
      <c r="E182" s="1" t="str">
        <f>IFERROR(__xludf.DUMMYFUNCTION("GOOGLETRANSLATE(D182,""PT"",""EN"")"),"Very satisfied with the service provided")</f>
        <v>Very satisfied with the service provided</v>
      </c>
    </row>
    <row r="183" ht="14.25" customHeight="1">
      <c r="A183" s="1">
        <v>100.0</v>
      </c>
      <c r="B183" s="1" t="s">
        <v>5</v>
      </c>
      <c r="C183" s="1">
        <v>10.0</v>
      </c>
      <c r="D183" s="1" t="s">
        <v>26</v>
      </c>
      <c r="E183" s="1" t="str">
        <f>IFERROR(__xludf.DUMMYFUNCTION("GOOGLETRANSLATE(D183,""PT"",""EN"")"),"Grade 10")</f>
        <v>Grade 10</v>
      </c>
    </row>
    <row r="184" ht="14.25" customHeight="1">
      <c r="A184" s="1">
        <v>100.0</v>
      </c>
      <c r="B184" s="1" t="s">
        <v>5</v>
      </c>
      <c r="C184" s="1">
        <v>10.0</v>
      </c>
      <c r="D184" s="1" t="s">
        <v>6</v>
      </c>
      <c r="E184" s="1"/>
    </row>
    <row r="185" ht="14.25" customHeight="1">
      <c r="A185" s="1">
        <v>100.0</v>
      </c>
      <c r="B185" s="1" t="s">
        <v>5</v>
      </c>
      <c r="C185" s="1">
        <v>10.0</v>
      </c>
      <c r="D185" s="1" t="s">
        <v>6</v>
      </c>
      <c r="E185" s="1"/>
    </row>
    <row r="186" ht="14.25" customHeight="1">
      <c r="A186" s="1">
        <v>100.0</v>
      </c>
      <c r="B186" s="1" t="s">
        <v>5</v>
      </c>
      <c r="C186" s="1">
        <v>10.0</v>
      </c>
      <c r="D186" s="2" t="s">
        <v>97</v>
      </c>
      <c r="E186" s="1" t="str">
        <f>IFERROR(__xludf.DUMMYFUNCTION("GOOGLETRANSLATE(D186,""PT"",""EN"")"),"Excellent")</f>
        <v>Excellent</v>
      </c>
    </row>
    <row r="187" ht="14.25" customHeight="1">
      <c r="A187" s="1">
        <v>100.0</v>
      </c>
      <c r="B187" s="1" t="s">
        <v>5</v>
      </c>
      <c r="C187" s="1">
        <v>10.0</v>
      </c>
      <c r="D187" s="1" t="s">
        <v>98</v>
      </c>
      <c r="E187" s="1" t="str">
        <f>IFERROR(__xludf.DUMMYFUNCTION("GOOGLETRANSLATE(D187,""PT"",""EN"")"),"Excellent service")</f>
        <v>Excellent service</v>
      </c>
    </row>
    <row r="188" ht="14.25" customHeight="1">
      <c r="A188" s="1">
        <v>100.0</v>
      </c>
      <c r="B188" s="1" t="s">
        <v>5</v>
      </c>
      <c r="C188" s="1">
        <v>10.0</v>
      </c>
      <c r="D188" s="1" t="s">
        <v>97</v>
      </c>
      <c r="E188" s="1" t="str">
        <f>IFERROR(__xludf.DUMMYFUNCTION("GOOGLETRANSLATE(D188,""PT"",""EN"")"),"Excellent")</f>
        <v>Excellent</v>
      </c>
    </row>
    <row r="189" ht="14.25" customHeight="1">
      <c r="A189" s="1">
        <v>100.0</v>
      </c>
      <c r="B189" s="1" t="s">
        <v>5</v>
      </c>
      <c r="C189" s="1">
        <v>10.0</v>
      </c>
      <c r="D189" s="1" t="s">
        <v>6</v>
      </c>
      <c r="E189" s="1"/>
    </row>
    <row r="190" ht="14.25" customHeight="1">
      <c r="A190" s="1">
        <v>33.0</v>
      </c>
      <c r="B190" s="1" t="s">
        <v>5</v>
      </c>
      <c r="C190" s="1">
        <v>5.0</v>
      </c>
      <c r="D190" s="2" t="s">
        <v>99</v>
      </c>
      <c r="E190" s="1" t="str">
        <f>IFERROR(__xludf.DUMMYFUNCTION("GOOGLETRANSLATE(D190,""PT"",""EN"")"),"Bad for credit")</f>
        <v>Bad for credit</v>
      </c>
    </row>
    <row r="191" ht="14.25" customHeight="1">
      <c r="A191" s="1">
        <v>100.0</v>
      </c>
      <c r="B191" s="1" t="s">
        <v>5</v>
      </c>
      <c r="C191" s="1">
        <v>10.0</v>
      </c>
      <c r="D191" s="1" t="s">
        <v>6</v>
      </c>
      <c r="E191" s="1"/>
    </row>
    <row r="192" ht="14.25" customHeight="1">
      <c r="A192" s="1">
        <v>100.0</v>
      </c>
      <c r="B192" s="1" t="s">
        <v>5</v>
      </c>
      <c r="C192" s="1">
        <v>10.0</v>
      </c>
      <c r="D192" s="1" t="s">
        <v>6</v>
      </c>
      <c r="E192" s="1"/>
    </row>
    <row r="193" ht="14.25" customHeight="1">
      <c r="A193" s="1">
        <v>100.0</v>
      </c>
      <c r="B193" s="1" t="s">
        <v>5</v>
      </c>
      <c r="C193" s="1">
        <v>10.0</v>
      </c>
      <c r="D193" s="2" t="s">
        <v>100</v>
      </c>
      <c r="E193" s="1" t="str">
        <f>IFERROR(__xludf.DUMMYFUNCTION("GOOGLETRANSLATE(D193,""PT"",""EN"")"),"I was always well attended to the bank. Account maintenance cost, prompt service.")</f>
        <v>I was always well attended to the bank. Account maintenance cost, prompt service.</v>
      </c>
    </row>
    <row r="194" ht="14.25" customHeight="1">
      <c r="A194" s="1">
        <v>100.0</v>
      </c>
      <c r="B194" s="1" t="s">
        <v>5</v>
      </c>
      <c r="C194" s="1">
        <v>10.0</v>
      </c>
      <c r="D194" s="1" t="s">
        <v>101</v>
      </c>
      <c r="E194" s="1" t="str">
        <f>IFERROR(__xludf.DUMMYFUNCTION("GOOGLETRANSLATE(D194,""PT"",""EN"")"),"Sicoob meets all new expectations.")</f>
        <v>Sicoob meets all new expectations.</v>
      </c>
    </row>
    <row r="195" ht="14.25" customHeight="1">
      <c r="A195" s="1">
        <v>100.0</v>
      </c>
      <c r="B195" s="1" t="s">
        <v>5</v>
      </c>
      <c r="C195" s="1">
        <v>10.0</v>
      </c>
      <c r="D195" s="1" t="s">
        <v>6</v>
      </c>
      <c r="E195" s="1"/>
    </row>
    <row r="196" ht="14.25" customHeight="1">
      <c r="A196" s="1">
        <v>100.0</v>
      </c>
      <c r="B196" s="1" t="s">
        <v>5</v>
      </c>
      <c r="C196" s="1">
        <v>10.0</v>
      </c>
      <c r="D196" s="1" t="s">
        <v>102</v>
      </c>
      <c r="E196" s="1" t="str">
        <f>IFERROR(__xludf.DUMMYFUNCTION("GOOGLETRANSLATE(D196,""PT"",""EN"")"),"Good morning, I would give 10 because I am very pleased with everything that provides me.")</f>
        <v>Good morning, I would give 10 because I am very pleased with everything that provides me.</v>
      </c>
    </row>
    <row r="197" ht="14.25" customHeight="1">
      <c r="A197" s="1">
        <v>100.0</v>
      </c>
      <c r="B197" s="1" t="s">
        <v>5</v>
      </c>
      <c r="C197" s="1">
        <v>10.0</v>
      </c>
      <c r="D197" s="1" t="s">
        <v>6</v>
      </c>
      <c r="E197" s="1"/>
    </row>
    <row r="198" ht="14.25" customHeight="1">
      <c r="A198" s="1">
        <v>100.0</v>
      </c>
      <c r="B198" s="1" t="s">
        <v>5</v>
      </c>
      <c r="C198" s="1">
        <v>10.0</v>
      </c>
      <c r="D198" s="1" t="s">
        <v>42</v>
      </c>
      <c r="E198" s="1" t="str">
        <f>IFERROR(__xludf.DUMMYFUNCTION("GOOGLETRANSLATE(D198,""PT"",""EN"")"),"good service")</f>
        <v>good service</v>
      </c>
    </row>
    <row r="199" ht="14.25" customHeight="1">
      <c r="A199" s="1">
        <v>100.0</v>
      </c>
      <c r="B199" s="1" t="s">
        <v>5</v>
      </c>
      <c r="C199" s="1">
        <v>10.0</v>
      </c>
      <c r="D199" s="1" t="s">
        <v>6</v>
      </c>
      <c r="E199" s="1"/>
    </row>
    <row r="200" ht="14.25" customHeight="1">
      <c r="A200" s="1">
        <v>100.0</v>
      </c>
      <c r="B200" s="1" t="s">
        <v>5</v>
      </c>
      <c r="C200" s="1">
        <v>10.0</v>
      </c>
      <c r="D200" s="2" t="s">
        <v>103</v>
      </c>
      <c r="E200" s="1" t="str">
        <f>IFERROR(__xludf.DUMMYFUNCTION("GOOGLETRANSLATE(D200,""PT"",""EN"")"),"Demands are always well met is resolved")</f>
        <v>Demands are always well met is resolved</v>
      </c>
    </row>
    <row r="201" ht="14.25" customHeight="1">
      <c r="A201" s="1">
        <v>100.0</v>
      </c>
      <c r="B201" s="1" t="s">
        <v>5</v>
      </c>
      <c r="C201" s="1">
        <v>10.0</v>
      </c>
      <c r="D201" s="1" t="s">
        <v>6</v>
      </c>
      <c r="E201" s="1"/>
    </row>
    <row r="202" ht="14.25" customHeight="1">
      <c r="A202" s="1">
        <v>100.0</v>
      </c>
      <c r="B202" s="1" t="s">
        <v>5</v>
      </c>
      <c r="C202" s="1">
        <v>10.0</v>
      </c>
      <c r="D202" s="2" t="s">
        <v>104</v>
      </c>
      <c r="E202" s="1" t="str">
        <f>IFERROR(__xludf.DUMMYFUNCTION("GOOGLETRANSLATE(D202,""PT"",""EN"")"),"because it is a cooperative that has all the advantages that the associate needs")</f>
        <v>because it is a cooperative that has all the advantages that the associate needs</v>
      </c>
    </row>
    <row r="203" ht="14.25" customHeight="1">
      <c r="A203" s="1">
        <v>100.0</v>
      </c>
      <c r="B203" s="1" t="s">
        <v>5</v>
      </c>
      <c r="C203" s="1">
        <v>10.0</v>
      </c>
      <c r="D203" s="1" t="s">
        <v>20</v>
      </c>
      <c r="E203" s="1" t="str">
        <f>IFERROR(__xludf.DUMMYFUNCTION("GOOGLETRANSLATE(D203,""PT"",""EN"")"),"Very good")</f>
        <v>Very good</v>
      </c>
    </row>
    <row r="204" ht="14.25" customHeight="1">
      <c r="A204" s="1">
        <v>100.0</v>
      </c>
      <c r="B204" s="1" t="s">
        <v>5</v>
      </c>
      <c r="C204" s="1">
        <v>10.0</v>
      </c>
      <c r="D204" s="1" t="s">
        <v>6</v>
      </c>
      <c r="E204" s="1"/>
    </row>
    <row r="205" ht="14.25" customHeight="1">
      <c r="A205" s="1">
        <v>66.0</v>
      </c>
      <c r="B205" s="1" t="s">
        <v>5</v>
      </c>
      <c r="C205" s="1">
        <v>8.0</v>
      </c>
      <c r="D205" s="1" t="s">
        <v>45</v>
      </c>
      <c r="E205" s="1" t="str">
        <f>IFERROR(__xludf.DUMMYFUNCTION("GOOGLETRANSLATE(D205,""PT"",""EN"")"),"Excellent service")</f>
        <v>Excellent service</v>
      </c>
    </row>
    <row r="206" ht="14.25" customHeight="1">
      <c r="A206" s="1">
        <v>100.0</v>
      </c>
      <c r="B206" s="1" t="s">
        <v>5</v>
      </c>
      <c r="C206" s="1">
        <v>10.0</v>
      </c>
      <c r="D206" s="1" t="s">
        <v>6</v>
      </c>
      <c r="E206" s="1"/>
    </row>
    <row r="207" ht="14.25" customHeight="1">
      <c r="A207" s="1">
        <v>100.0</v>
      </c>
      <c r="B207" s="1" t="s">
        <v>5</v>
      </c>
      <c r="C207" s="1">
        <v>10.0</v>
      </c>
      <c r="D207" s="1" t="s">
        <v>6</v>
      </c>
      <c r="E207" s="1"/>
    </row>
    <row r="208" ht="14.25" customHeight="1">
      <c r="A208" s="1">
        <v>100.0</v>
      </c>
      <c r="B208" s="1" t="s">
        <v>5</v>
      </c>
      <c r="C208" s="1">
        <v>9.0</v>
      </c>
      <c r="D208" s="1" t="s">
        <v>6</v>
      </c>
      <c r="E208" s="1"/>
    </row>
    <row r="209" ht="14.25" customHeight="1">
      <c r="A209" s="1">
        <v>33.0</v>
      </c>
      <c r="B209" s="1" t="s">
        <v>5</v>
      </c>
      <c r="C209" s="1">
        <v>3.0</v>
      </c>
      <c r="D209" s="1" t="s">
        <v>6</v>
      </c>
      <c r="E209" s="1"/>
    </row>
    <row r="210" ht="14.25" customHeight="1">
      <c r="A210" s="1">
        <v>33.0</v>
      </c>
      <c r="B210" s="1" t="s">
        <v>5</v>
      </c>
      <c r="C210" s="1">
        <v>3.0</v>
      </c>
      <c r="D210" s="2" t="s">
        <v>105</v>
      </c>
      <c r="E210" s="1" t="str">
        <f>IFERROR(__xludf.DUMMYFUNCTION("GOOGLETRANSLATE(D210,""PT"",""EN"")"),"I had a problem with the bench, it is after that I could never recover again, even I paying all my debts, it is totally recovering than I was ante, today I can move twice more, but still stuck.")</f>
        <v>I had a problem with the bench, it is after that I could never recover again, even I paying all my debts, it is totally recovering than I was ante, today I can move twice more, but still stuck.</v>
      </c>
    </row>
    <row r="211" ht="14.25" customHeight="1">
      <c r="A211" s="1">
        <v>33.0</v>
      </c>
      <c r="B211" s="1" t="s">
        <v>5</v>
      </c>
      <c r="C211" s="1">
        <v>4.0</v>
      </c>
      <c r="D211" s="2" t="s">
        <v>106</v>
      </c>
      <c r="E211" s="1" t="str">
        <f>IFERROR(__xludf.DUMMYFUNCTION("GOOGLETRANSLATE(D211,""PT"",""EN"")"),"The bank is a bank say private blz I have a good score I have an excellent movement in the bank but you do not help the credit issue is limit my limit Tu 1000 already has no change is boring I help bank but bank does not help me")</f>
        <v>The bank is a bank say private blz I have a good score I have an excellent movement in the bank but you do not help the credit issue is limit my limit Tu 1000 already has no change is boring I help bank but bank does not help me</v>
      </c>
    </row>
    <row r="212" ht="14.25" customHeight="1">
      <c r="A212" s="1">
        <v>33.0</v>
      </c>
      <c r="B212" s="1" t="s">
        <v>5</v>
      </c>
      <c r="C212" s="1">
        <v>0.0</v>
      </c>
      <c r="D212" s="2" t="s">
        <v>107</v>
      </c>
      <c r="E212" s="1" t="str">
        <f>IFERROR(__xludf.DUMMYFUNCTION("GOOGLETRANSLATE(D212,""PT"",""EN"")"),"I opened an account with Sicoob de Dourada/GO, I spent 5 months with the open account is I could not move because the agency could not issue a card for me, after I complained a lot issued a provisional card is asked for me 45 days to Emitting the definiti"&amp;"ve card, totaling 6 months is a little without account card, I thought it was absurd is requested the cancellation of the account.")</f>
        <v>I opened an account with Sicoob de Dourada/GO, I spent 5 months with the open account is I could not move because the agency could not issue a card for me, after I complained a lot issued a provisional card is asked for me 45 days to Emitting the definitive card, totaling 6 months is a little without account card, I thought it was absurd is requested the cancellation of the account.</v>
      </c>
    </row>
    <row r="213" ht="14.25" customHeight="1">
      <c r="A213" s="1">
        <v>100.0</v>
      </c>
      <c r="B213" s="1" t="s">
        <v>5</v>
      </c>
      <c r="C213" s="1">
        <v>10.0</v>
      </c>
      <c r="D213" s="1" t="s">
        <v>108</v>
      </c>
      <c r="E213" s="1" t="str">
        <f>IFERROR(__xludf.DUMMYFUNCTION("GOOGLETRANSLATE(D213,""PT"",""EN"")"),"Honesty with the people ...")</f>
        <v>Honesty with the people ...</v>
      </c>
    </row>
    <row r="214" ht="14.25" customHeight="1">
      <c r="A214" s="1">
        <v>100.0</v>
      </c>
      <c r="B214" s="1" t="s">
        <v>5</v>
      </c>
      <c r="C214" s="1">
        <v>10.0</v>
      </c>
      <c r="D214" s="1" t="s">
        <v>6</v>
      </c>
      <c r="E214" s="1"/>
    </row>
    <row r="215" ht="14.25" customHeight="1">
      <c r="A215" s="1">
        <v>100.0</v>
      </c>
      <c r="B215" s="1" t="s">
        <v>5</v>
      </c>
      <c r="C215" s="1">
        <v>10.0</v>
      </c>
      <c r="D215" s="2" t="s">
        <v>109</v>
      </c>
      <c r="E215" s="1" t="str">
        <f>IFERROR(__xludf.DUMMYFUNCTION("GOOGLETRANSLATE(D215,""PT"",""EN"")"),"very attention")</f>
        <v>very attention</v>
      </c>
    </row>
    <row r="216" ht="14.25" customHeight="1">
      <c r="A216" s="1">
        <v>100.0</v>
      </c>
      <c r="B216" s="1" t="s">
        <v>5</v>
      </c>
      <c r="C216" s="1">
        <v>10.0</v>
      </c>
      <c r="D216" s="1" t="s">
        <v>110</v>
      </c>
      <c r="E216" s="1" t="str">
        <f>IFERROR(__xludf.DUMMYFUNCTION("GOOGLETRANSLATE(D216,""PT"",""EN"")"),"I am well attended")</f>
        <v>I am well attended</v>
      </c>
    </row>
    <row r="217" ht="14.25" customHeight="1">
      <c r="A217" s="1">
        <v>100.0</v>
      </c>
      <c r="B217" s="1" t="s">
        <v>5</v>
      </c>
      <c r="C217" s="1">
        <v>10.0</v>
      </c>
      <c r="D217" s="1" t="s">
        <v>6</v>
      </c>
      <c r="E217" s="1"/>
    </row>
    <row r="218" ht="14.25" customHeight="1">
      <c r="A218" s="1">
        <v>100.0</v>
      </c>
      <c r="B218" s="1" t="s">
        <v>5</v>
      </c>
      <c r="C218" s="1">
        <v>10.0</v>
      </c>
      <c r="D218" s="1" t="s">
        <v>6</v>
      </c>
      <c r="E218" s="1"/>
    </row>
    <row r="219" ht="14.25" customHeight="1">
      <c r="A219" s="1">
        <v>100.0</v>
      </c>
      <c r="B219" s="1" t="s">
        <v>5</v>
      </c>
      <c r="C219" s="1">
        <v>10.0</v>
      </c>
      <c r="D219" s="1" t="s">
        <v>6</v>
      </c>
      <c r="E219" s="1"/>
    </row>
    <row r="220" ht="14.25" customHeight="1">
      <c r="A220" s="1">
        <v>100.0</v>
      </c>
      <c r="B220" s="1" t="s">
        <v>5</v>
      </c>
      <c r="C220" s="1">
        <v>10.0</v>
      </c>
      <c r="D220" s="1" t="s">
        <v>6</v>
      </c>
      <c r="E220" s="1"/>
    </row>
    <row r="221" ht="14.25" customHeight="1">
      <c r="A221" s="1">
        <v>100.0</v>
      </c>
      <c r="B221" s="1" t="s">
        <v>5</v>
      </c>
      <c r="C221" s="1">
        <v>10.0</v>
      </c>
      <c r="D221" s="1" t="s">
        <v>6</v>
      </c>
      <c r="E221" s="1"/>
    </row>
    <row r="222" ht="14.25" customHeight="1">
      <c r="A222" s="1">
        <v>100.0</v>
      </c>
      <c r="B222" s="1" t="s">
        <v>5</v>
      </c>
      <c r="C222" s="1">
        <v>10.0</v>
      </c>
      <c r="D222" s="1" t="s">
        <v>6</v>
      </c>
      <c r="E222" s="1"/>
    </row>
    <row r="223" ht="14.25" customHeight="1">
      <c r="A223" s="1">
        <v>100.0</v>
      </c>
      <c r="B223" s="1" t="s">
        <v>5</v>
      </c>
      <c r="C223" s="1">
        <v>10.0</v>
      </c>
      <c r="D223" s="1" t="s">
        <v>6</v>
      </c>
      <c r="E223" s="1"/>
    </row>
    <row r="224" ht="14.25" customHeight="1">
      <c r="A224" s="1">
        <v>100.0</v>
      </c>
      <c r="B224" s="1" t="s">
        <v>5</v>
      </c>
      <c r="C224" s="1">
        <v>10.0</v>
      </c>
      <c r="D224" s="2" t="s">
        <v>111</v>
      </c>
      <c r="E224" s="1" t="str">
        <f>IFERROR(__xludf.DUMMYFUNCTION("GOOGLETRANSLATE(D224,""PT"",""EN"")"),"Great service good partner to negotiate security ...")</f>
        <v>Great service good partner to negotiate security ...</v>
      </c>
    </row>
    <row r="225" ht="14.25" customHeight="1">
      <c r="A225" s="1">
        <v>100.0</v>
      </c>
      <c r="B225" s="1" t="s">
        <v>5</v>
      </c>
      <c r="C225" s="1">
        <v>9.0</v>
      </c>
      <c r="D225" s="1" t="s">
        <v>6</v>
      </c>
      <c r="E225" s="1"/>
    </row>
    <row r="226" ht="14.25" customHeight="1">
      <c r="A226" s="1">
        <v>100.0</v>
      </c>
      <c r="B226" s="1" t="s">
        <v>5</v>
      </c>
      <c r="C226" s="1">
        <v>10.0</v>
      </c>
      <c r="D226" s="1" t="s">
        <v>6</v>
      </c>
      <c r="E226" s="1"/>
    </row>
    <row r="227" ht="14.25" customHeight="1">
      <c r="A227" s="1">
        <v>100.0</v>
      </c>
      <c r="B227" s="1" t="s">
        <v>5</v>
      </c>
      <c r="C227" s="1">
        <v>10.0</v>
      </c>
      <c r="D227" s="1" t="s">
        <v>112</v>
      </c>
      <c r="E227" s="1" t="str">
        <f>IFERROR(__xludf.DUMMYFUNCTION("GOOGLETRANSLATE(D227,""PT"",""EN"")"),"Practicality")</f>
        <v>Practicality</v>
      </c>
    </row>
    <row r="228" ht="14.25" customHeight="1">
      <c r="A228" s="1">
        <v>33.0</v>
      </c>
      <c r="B228" s="1" t="s">
        <v>5</v>
      </c>
      <c r="C228" s="1">
        <v>0.0</v>
      </c>
      <c r="D228" s="1" t="s">
        <v>6</v>
      </c>
      <c r="E228" s="1"/>
    </row>
    <row r="229" ht="14.25" customHeight="1">
      <c r="A229" s="1">
        <v>100.0</v>
      </c>
      <c r="B229" s="1" t="s">
        <v>5</v>
      </c>
      <c r="C229" s="1">
        <v>10.0</v>
      </c>
      <c r="D229" s="2" t="s">
        <v>113</v>
      </c>
      <c r="E229" s="1" t="str">
        <f>IFERROR(__xludf.DUMMYFUNCTION("GOOGLETRANSLATE(D229,""PT"",""EN"")"),"Very fast in the apps is complicated to get into my account that I can't but enter")</f>
        <v>Very fast in the apps is complicated to get into my account that I can't but enter</v>
      </c>
    </row>
    <row r="230" ht="14.25" customHeight="1">
      <c r="A230" s="1">
        <v>100.0</v>
      </c>
      <c r="B230" s="1" t="s">
        <v>5</v>
      </c>
      <c r="C230" s="1">
        <v>10.0</v>
      </c>
      <c r="D230" s="2" t="s">
        <v>114</v>
      </c>
      <c r="E230" s="1" t="str">
        <f>IFERROR(__xludf.DUMMYFUNCTION("GOOGLETRANSLATE(D230,""PT"",""EN"")"),"Good service, cordiality ...")</f>
        <v>Good service, cordiality ...</v>
      </c>
    </row>
    <row r="231" ht="14.25" customHeight="1">
      <c r="A231" s="1">
        <v>100.0</v>
      </c>
      <c r="B231" s="1" t="s">
        <v>5</v>
      </c>
      <c r="C231" s="1">
        <v>10.0</v>
      </c>
      <c r="D231" s="1" t="s">
        <v>115</v>
      </c>
      <c r="E231" s="1" t="str">
        <f>IFERROR(__xludf.DUMMYFUNCTION("GOOGLETRANSLATE(D231,""PT"",""EN"")"),"Service.")</f>
        <v>Service.</v>
      </c>
    </row>
    <row r="232" ht="14.25" customHeight="1">
      <c r="A232" s="1">
        <v>100.0</v>
      </c>
      <c r="B232" s="1" t="s">
        <v>5</v>
      </c>
      <c r="C232" s="1">
        <v>10.0</v>
      </c>
      <c r="D232" s="2" t="s">
        <v>116</v>
      </c>
      <c r="E232" s="1" t="str">
        <f>IFERROR(__xludf.DUMMYFUNCTION("GOOGLETRANSLATE(D232,""PT"",""EN"")"),"Service is cheap")</f>
        <v>Service is cheap</v>
      </c>
    </row>
    <row r="233" ht="14.25" customHeight="1">
      <c r="A233" s="1">
        <v>100.0</v>
      </c>
      <c r="B233" s="1" t="s">
        <v>5</v>
      </c>
      <c r="C233" s="1">
        <v>10.0</v>
      </c>
      <c r="D233" s="1" t="s">
        <v>117</v>
      </c>
      <c r="E233" s="1" t="str">
        <f>IFERROR(__xludf.DUMMYFUNCTION("GOOGLETRANSLATE(D233,""PT"",""EN"")"),"Dedication with your members")</f>
        <v>Dedication with your members</v>
      </c>
    </row>
    <row r="234" ht="14.25" customHeight="1">
      <c r="A234" s="1">
        <v>66.0</v>
      </c>
      <c r="B234" s="1" t="s">
        <v>5</v>
      </c>
      <c r="C234" s="1">
        <v>7.0</v>
      </c>
      <c r="D234" s="1" t="s">
        <v>6</v>
      </c>
      <c r="E234" s="1"/>
    </row>
    <row r="235" ht="14.25" customHeight="1">
      <c r="A235" s="1">
        <v>100.0</v>
      </c>
      <c r="B235" s="1" t="s">
        <v>5</v>
      </c>
      <c r="C235" s="1">
        <v>10.0</v>
      </c>
      <c r="D235" s="1" t="s">
        <v>118</v>
      </c>
      <c r="E235" s="1" t="str">
        <f>IFERROR(__xludf.DUMMYFUNCTION("GOOGLETRANSLATE(D235,""PT"",""EN"")"),"NOTE MIL")</f>
        <v>NOTE MIL</v>
      </c>
    </row>
    <row r="236" ht="14.25" customHeight="1">
      <c r="A236" s="1">
        <v>100.0</v>
      </c>
      <c r="B236" s="1" t="s">
        <v>5</v>
      </c>
      <c r="C236" s="1">
        <v>9.0</v>
      </c>
      <c r="D236" s="1" t="s">
        <v>119</v>
      </c>
      <c r="E236" s="1" t="str">
        <f>IFERROR(__xludf.DUMMYFUNCTION("GOOGLETRANSLATE(D236,""PT"",""EN"")"),"A cooperative that always serves the customer with good result")</f>
        <v>A cooperative that always serves the customer with good result</v>
      </c>
    </row>
    <row r="237" ht="14.25" customHeight="1">
      <c r="A237" s="1">
        <v>66.0</v>
      </c>
      <c r="B237" s="1" t="s">
        <v>5</v>
      </c>
      <c r="C237" s="1">
        <v>8.0</v>
      </c>
      <c r="D237" s="1" t="s">
        <v>120</v>
      </c>
      <c r="E237" s="1" t="str">
        <f>IFERROR(__xludf.DUMMYFUNCTION("GOOGLETRANSLATE(D237,""PT"",""EN"")"),"Best attendants.")</f>
        <v>Best attendants.</v>
      </c>
    </row>
    <row r="238" ht="14.25" customHeight="1">
      <c r="A238" s="1">
        <v>100.0</v>
      </c>
      <c r="B238" s="1" t="s">
        <v>5</v>
      </c>
      <c r="C238" s="1">
        <v>10.0</v>
      </c>
      <c r="D238" s="1" t="s">
        <v>121</v>
      </c>
      <c r="E238" s="1" t="str">
        <f>IFERROR(__xludf.DUMMYFUNCTION("GOOGLETRANSLATE(D238,""PT"",""EN"")"),"Satisfaction.")</f>
        <v>Satisfaction.</v>
      </c>
    </row>
    <row r="239" ht="14.25" customHeight="1">
      <c r="A239" s="1">
        <v>100.0</v>
      </c>
      <c r="B239" s="1" t="s">
        <v>5</v>
      </c>
      <c r="C239" s="1">
        <v>9.0</v>
      </c>
      <c r="D239" s="1" t="s">
        <v>6</v>
      </c>
      <c r="E239" s="1"/>
    </row>
    <row r="240" ht="14.25" customHeight="1">
      <c r="A240" s="1">
        <v>100.0</v>
      </c>
      <c r="B240" s="1" t="s">
        <v>5</v>
      </c>
      <c r="C240" s="1">
        <v>9.0</v>
      </c>
      <c r="D240" s="1" t="s">
        <v>122</v>
      </c>
      <c r="E240" s="1" t="str">
        <f>IFERROR(__xludf.DUMMYFUNCTION("GOOGLETRANSLATE(D240,""PT"",""EN"")"),"Everything can be perfected. The search for 10 must be constant")</f>
        <v>Everything can be perfected. The search for 10 must be constant</v>
      </c>
    </row>
    <row r="241" ht="14.25" customHeight="1">
      <c r="A241" s="1">
        <v>66.0</v>
      </c>
      <c r="B241" s="1" t="s">
        <v>5</v>
      </c>
      <c r="C241" s="1">
        <v>8.0</v>
      </c>
      <c r="D241" s="1" t="s">
        <v>6</v>
      </c>
      <c r="E241" s="1"/>
    </row>
    <row r="242" ht="14.25" customHeight="1">
      <c r="A242" s="1">
        <v>100.0</v>
      </c>
      <c r="B242" s="1" t="s">
        <v>5</v>
      </c>
      <c r="C242" s="1">
        <v>10.0</v>
      </c>
      <c r="D242" s="1" t="s">
        <v>6</v>
      </c>
      <c r="E242" s="1"/>
    </row>
    <row r="243" ht="14.25" customHeight="1">
      <c r="A243" s="1">
        <v>100.0</v>
      </c>
      <c r="B243" s="1" t="s">
        <v>5</v>
      </c>
      <c r="C243" s="1">
        <v>9.0</v>
      </c>
      <c r="D243" s="2" t="s">
        <v>123</v>
      </c>
      <c r="E243" s="1" t="str">
        <f>IFERROR(__xludf.DUMMYFUNCTION("GOOGLETRANSLATE(D243,""PT"",""EN"")"),"Manager's efficiency is employees")</f>
        <v>Manager's efficiency is employees</v>
      </c>
    </row>
    <row r="244" ht="14.25" customHeight="1">
      <c r="A244" s="1">
        <v>66.0</v>
      </c>
      <c r="B244" s="1" t="s">
        <v>5</v>
      </c>
      <c r="C244" s="1">
        <v>8.0</v>
      </c>
      <c r="D244" s="1" t="s">
        <v>6</v>
      </c>
      <c r="E244" s="1"/>
    </row>
    <row r="245" ht="14.25" customHeight="1">
      <c r="A245" s="1">
        <v>100.0</v>
      </c>
      <c r="B245" s="1" t="s">
        <v>5</v>
      </c>
      <c r="C245" s="1">
        <v>10.0</v>
      </c>
      <c r="D245" s="2" t="s">
        <v>124</v>
      </c>
      <c r="E245" s="1" t="str">
        <f>IFERROR(__xludf.DUMMYFUNCTION("GOOGLETRANSLATE(D245,""PT"",""EN"")"),"Previously very good congratulations")</f>
        <v>Previously very good congratulations</v>
      </c>
    </row>
    <row r="246" ht="14.25" customHeight="1">
      <c r="A246" s="1">
        <v>100.0</v>
      </c>
      <c r="B246" s="1" t="s">
        <v>5</v>
      </c>
      <c r="C246" s="1">
        <v>10.0</v>
      </c>
      <c r="D246" s="1" t="s">
        <v>125</v>
      </c>
      <c r="E246" s="1" t="str">
        <f>IFERROR(__xludf.DUMMYFUNCTION("GOOGLETRANSLATE(D246,""PT"",""EN"")"),"Attention of employees ...")</f>
        <v>Attention of employees ...</v>
      </c>
    </row>
    <row r="247" ht="14.25" customHeight="1">
      <c r="A247" s="1">
        <v>100.0</v>
      </c>
      <c r="B247" s="1" t="s">
        <v>5</v>
      </c>
      <c r="C247" s="1">
        <v>10.0</v>
      </c>
      <c r="D247" s="2" t="s">
        <v>126</v>
      </c>
      <c r="E247" s="1" t="str">
        <f>IFERROR(__xludf.DUMMYFUNCTION("GOOGLETRANSLATE(D247,""PT"",""EN"")"),"Back, service, effectiveness is return.")</f>
        <v>Back, service, effectiveness is return.</v>
      </c>
    </row>
    <row r="248" ht="14.25" customHeight="1">
      <c r="A248" s="1">
        <v>100.0</v>
      </c>
      <c r="B248" s="1" t="s">
        <v>5</v>
      </c>
      <c r="C248" s="1">
        <v>10.0</v>
      </c>
      <c r="D248" s="2" t="s">
        <v>127</v>
      </c>
      <c r="E248" s="1" t="str">
        <f>IFERROR(__xludf.DUMMYFUNCTION("GOOGLETRANSLATE(D248,""PT"",""EN"")"),"It's a great bank the attendant answers us super well is the bank's app is very great is the interest rate is very good")</f>
        <v>It's a great bank the attendant answers us super well is the bank's app is very great is the interest rate is very good</v>
      </c>
    </row>
    <row r="249" ht="14.25" customHeight="1">
      <c r="A249" s="1">
        <v>100.0</v>
      </c>
      <c r="B249" s="1" t="s">
        <v>5</v>
      </c>
      <c r="C249" s="1">
        <v>9.0</v>
      </c>
      <c r="D249" s="1" t="s">
        <v>6</v>
      </c>
      <c r="E249" s="1"/>
    </row>
    <row r="250" ht="14.25" customHeight="1">
      <c r="A250" s="1">
        <v>33.0</v>
      </c>
      <c r="B250" s="1" t="s">
        <v>5</v>
      </c>
      <c r="C250" s="1">
        <v>0.0</v>
      </c>
      <c r="D250" s="2" t="s">
        <v>128</v>
      </c>
      <c r="E250" s="1" t="str">
        <f>IFERROR(__xludf.DUMMYFUNCTION("GOOGLETRANSLATE(D250,""PT"",""EN"")"),"I can't anything I need")</f>
        <v>I can't anything I need</v>
      </c>
    </row>
    <row r="251" ht="14.25" customHeight="1">
      <c r="A251" s="1">
        <v>100.0</v>
      </c>
      <c r="B251" s="1" t="s">
        <v>5</v>
      </c>
      <c r="C251" s="1">
        <v>10.0</v>
      </c>
      <c r="D251" s="1" t="s">
        <v>129</v>
      </c>
      <c r="E251" s="1" t="str">
        <f>IFERROR(__xludf.DUMMYFUNCTION("GOOGLETRANSLATE(D251,""PT"",""EN"")"),"always meets well with attention")</f>
        <v>always meets well with attention</v>
      </c>
    </row>
    <row r="252" ht="14.25" customHeight="1">
      <c r="A252" s="1">
        <v>33.0</v>
      </c>
      <c r="B252" s="1" t="s">
        <v>5</v>
      </c>
      <c r="C252" s="1">
        <v>1.0</v>
      </c>
      <c r="D252" s="1" t="s">
        <v>6</v>
      </c>
      <c r="E252" s="1"/>
    </row>
    <row r="253" ht="14.25" customHeight="1">
      <c r="A253" s="1">
        <v>100.0</v>
      </c>
      <c r="B253" s="1" t="s">
        <v>5</v>
      </c>
      <c r="C253" s="1">
        <v>10.0</v>
      </c>
      <c r="D253" s="2" t="s">
        <v>130</v>
      </c>
      <c r="E253" s="1" t="str">
        <f>IFERROR(__xludf.DUMMYFUNCTION("GOOGLETRANSLATE(D253,""PT"",""EN"")"),"Great service, attentive/professional manager (Ana Lúcia - AG 3042 Porteirão), great rates/profitability is confidence in cooperativism.")</f>
        <v>Great service, attentive/professional manager (Ana Lúcia - AG 3042 Porteirão), great rates/profitability is confidence in cooperativism.</v>
      </c>
    </row>
    <row r="254" ht="14.25" customHeight="1">
      <c r="A254" s="1">
        <v>100.0</v>
      </c>
      <c r="B254" s="1" t="s">
        <v>5</v>
      </c>
      <c r="C254" s="1">
        <v>9.0</v>
      </c>
      <c r="D254" s="1" t="s">
        <v>131</v>
      </c>
      <c r="E254" s="1" t="str">
        <f>IFERROR(__xludf.DUMMYFUNCTION("GOOGLETRANSLATE(D254,""PT"",""EN"")"),"Girls' attention in service")</f>
        <v>Girls' attention in service</v>
      </c>
    </row>
    <row r="255" ht="14.25" customHeight="1">
      <c r="A255" s="1">
        <v>100.0</v>
      </c>
      <c r="B255" s="1" t="s">
        <v>5</v>
      </c>
      <c r="C255" s="1">
        <v>10.0</v>
      </c>
      <c r="D255" s="1" t="s">
        <v>132</v>
      </c>
      <c r="E255" s="1" t="str">
        <f>IFERROR(__xludf.DUMMYFUNCTION("GOOGLETRANSLATE(D255,""PT"",""EN"")"),"Great service")</f>
        <v>Great service</v>
      </c>
    </row>
    <row r="256" ht="14.25" customHeight="1">
      <c r="A256" s="1">
        <v>100.0</v>
      </c>
      <c r="B256" s="1" t="s">
        <v>5</v>
      </c>
      <c r="C256" s="1">
        <v>10.0</v>
      </c>
      <c r="D256" s="2" t="s">
        <v>133</v>
      </c>
      <c r="E256" s="1" t="str">
        <f>IFERROR(__xludf.DUMMYFUNCTION("GOOGLETRANSLATE(D256,""PT"",""EN"")"),"This one answers only lacks limit")</f>
        <v>This one answers only lacks limit</v>
      </c>
    </row>
    <row r="257" ht="14.25" customHeight="1">
      <c r="A257" s="1">
        <v>100.0</v>
      </c>
      <c r="B257" s="1" t="s">
        <v>5</v>
      </c>
      <c r="C257" s="1">
        <v>10.0</v>
      </c>
      <c r="D257" s="1" t="s">
        <v>6</v>
      </c>
      <c r="E257" s="1"/>
    </row>
    <row r="258" ht="14.25" customHeight="1">
      <c r="A258" s="1">
        <v>100.0</v>
      </c>
      <c r="B258" s="1" t="s">
        <v>5</v>
      </c>
      <c r="C258" s="1">
        <v>10.0</v>
      </c>
      <c r="D258" s="2" t="s">
        <v>134</v>
      </c>
      <c r="E258" s="1" t="str">
        <f>IFERROR(__xludf.DUMMYFUNCTION("GOOGLETRANSLATE(D258,""PT"",""EN"")"),"Sicoob serves me in everything I need is great service.")</f>
        <v>Sicoob serves me in everything I need is great service.</v>
      </c>
    </row>
    <row r="259" ht="14.25" customHeight="1">
      <c r="A259" s="1">
        <v>33.0</v>
      </c>
      <c r="B259" s="1" t="s">
        <v>5</v>
      </c>
      <c r="C259" s="1">
        <v>2.0</v>
      </c>
      <c r="D259" s="1" t="s">
        <v>6</v>
      </c>
      <c r="E259" s="1"/>
    </row>
    <row r="260" ht="14.25" customHeight="1">
      <c r="A260" s="1">
        <v>100.0</v>
      </c>
      <c r="B260" s="1" t="s">
        <v>5</v>
      </c>
      <c r="C260" s="1">
        <v>9.0</v>
      </c>
      <c r="D260" s="1" t="s">
        <v>6</v>
      </c>
      <c r="E260" s="1"/>
    </row>
    <row r="261" ht="14.25" customHeight="1">
      <c r="A261" s="1">
        <v>100.0</v>
      </c>
      <c r="B261" s="1" t="s">
        <v>5</v>
      </c>
      <c r="C261" s="1">
        <v>9.0</v>
      </c>
      <c r="D261" s="1" t="s">
        <v>6</v>
      </c>
      <c r="E261" s="1"/>
    </row>
    <row r="262" ht="14.25" customHeight="1">
      <c r="A262" s="1">
        <v>100.0</v>
      </c>
      <c r="B262" s="1" t="s">
        <v>5</v>
      </c>
      <c r="C262" s="1">
        <v>10.0</v>
      </c>
      <c r="D262" s="1" t="s">
        <v>135</v>
      </c>
      <c r="E262" s="1" t="str">
        <f>IFERROR(__xludf.DUMMYFUNCTION("GOOGLETRANSLATE(D262,""PT"",""EN"")"),"very good")</f>
        <v>very good</v>
      </c>
    </row>
    <row r="263" ht="14.25" customHeight="1">
      <c r="A263" s="1">
        <v>100.0</v>
      </c>
      <c r="B263" s="1" t="s">
        <v>5</v>
      </c>
      <c r="C263" s="1">
        <v>10.0</v>
      </c>
      <c r="D263" s="2" t="s">
        <v>136</v>
      </c>
      <c r="E263" s="1" t="str">
        <f>IFERROR(__xludf.DUMMYFUNCTION("GOOGLETRANSLATE(D263,""PT"",""EN"")"),"the service")</f>
        <v>the service</v>
      </c>
    </row>
    <row r="264" ht="14.25" customHeight="1">
      <c r="A264" s="1">
        <v>100.0</v>
      </c>
      <c r="B264" s="1" t="s">
        <v>5</v>
      </c>
      <c r="C264" s="1">
        <v>10.0</v>
      </c>
      <c r="D264" s="1" t="s">
        <v>6</v>
      </c>
      <c r="E264" s="1"/>
    </row>
    <row r="265" ht="14.25" customHeight="1">
      <c r="A265" s="1">
        <v>100.0</v>
      </c>
      <c r="B265" s="1" t="s">
        <v>5</v>
      </c>
      <c r="C265" s="1">
        <v>10.0</v>
      </c>
      <c r="D265" s="2" t="s">
        <v>137</v>
      </c>
      <c r="E265" s="1" t="str">
        <f>IFERROR(__xludf.DUMMYFUNCTION("GOOGLETRANSLATE(D265,""PT"",""EN"")"),"Service, is a fee for better financing than in other bank.")</f>
        <v>Service, is a fee for better financing than in other bank.</v>
      </c>
    </row>
    <row r="266" ht="14.25" customHeight="1">
      <c r="A266" s="1">
        <v>100.0</v>
      </c>
      <c r="B266" s="1" t="s">
        <v>5</v>
      </c>
      <c r="C266" s="1">
        <v>10.0</v>
      </c>
      <c r="D266" s="1" t="s">
        <v>6</v>
      </c>
      <c r="E266" s="1"/>
    </row>
    <row r="267" ht="14.25" customHeight="1">
      <c r="A267" s="1">
        <v>100.0</v>
      </c>
      <c r="B267" s="1" t="s">
        <v>5</v>
      </c>
      <c r="C267" s="1">
        <v>10.0</v>
      </c>
      <c r="D267" s="1" t="s">
        <v>37</v>
      </c>
      <c r="E267" s="1" t="str">
        <f>IFERROR(__xludf.DUMMYFUNCTION("GOOGLETRANSLATE(D267,""PT"",""EN"")"),"Great service")</f>
        <v>Great service</v>
      </c>
    </row>
    <row r="268" ht="14.25" customHeight="1">
      <c r="A268" s="1">
        <v>100.0</v>
      </c>
      <c r="B268" s="1" t="s">
        <v>5</v>
      </c>
      <c r="C268" s="1">
        <v>9.0</v>
      </c>
      <c r="D268" s="1" t="s">
        <v>6</v>
      </c>
      <c r="E268" s="1"/>
    </row>
    <row r="269" ht="14.25" customHeight="1">
      <c r="A269" s="1">
        <v>66.0</v>
      </c>
      <c r="B269" s="1" t="s">
        <v>5</v>
      </c>
      <c r="C269" s="1">
        <v>8.0</v>
      </c>
      <c r="D269" s="1" t="s">
        <v>6</v>
      </c>
      <c r="E269" s="1"/>
    </row>
    <row r="270" ht="14.25" customHeight="1">
      <c r="A270" s="1">
        <v>100.0</v>
      </c>
      <c r="B270" s="1" t="s">
        <v>5</v>
      </c>
      <c r="C270" s="1">
        <v>10.0</v>
      </c>
      <c r="D270" s="1" t="s">
        <v>6</v>
      </c>
      <c r="E270" s="1"/>
    </row>
    <row r="271" ht="14.25" customHeight="1">
      <c r="A271" s="1">
        <v>33.0</v>
      </c>
      <c r="B271" s="1" t="s">
        <v>5</v>
      </c>
      <c r="C271" s="1">
        <v>0.0</v>
      </c>
      <c r="D271" s="1" t="s">
        <v>138</v>
      </c>
      <c r="E271" s="1" t="str">
        <f>IFERROR(__xludf.DUMMYFUNCTION("GOOGLETRANSLATE(D271,""PT"",""EN"")"),"I am cooperated zero note")</f>
        <v>I am cooperated zero note</v>
      </c>
    </row>
    <row r="272" ht="14.25" customHeight="1">
      <c r="A272" s="1">
        <v>100.0</v>
      </c>
      <c r="B272" s="1" t="s">
        <v>5</v>
      </c>
      <c r="C272" s="1">
        <v>10.0</v>
      </c>
      <c r="D272" s="1" t="s">
        <v>6</v>
      </c>
      <c r="E272" s="1"/>
    </row>
    <row r="273" ht="14.25" customHeight="1">
      <c r="A273" s="1">
        <v>33.0</v>
      </c>
      <c r="B273" s="1" t="s">
        <v>5</v>
      </c>
      <c r="C273" s="1">
        <v>5.0</v>
      </c>
      <c r="D273" s="1" t="s">
        <v>6</v>
      </c>
      <c r="E273" s="1"/>
    </row>
    <row r="274" ht="14.25" customHeight="1">
      <c r="A274" s="1">
        <v>100.0</v>
      </c>
      <c r="B274" s="1" t="s">
        <v>5</v>
      </c>
      <c r="C274" s="1">
        <v>10.0</v>
      </c>
      <c r="D274" s="2" t="s">
        <v>139</v>
      </c>
      <c r="E274" s="1" t="str">
        <f>IFERROR(__xludf.DUMMYFUNCTION("GOOGLETRANSLATE(D274,""PT"",""EN"")"),"Employee attention is 10")</f>
        <v>Employee attention is 10</v>
      </c>
    </row>
    <row r="275" ht="14.25" customHeight="1">
      <c r="A275" s="1">
        <v>100.0</v>
      </c>
      <c r="B275" s="1" t="s">
        <v>5</v>
      </c>
      <c r="C275" s="1">
        <v>10.0</v>
      </c>
      <c r="D275" s="2" t="s">
        <v>140</v>
      </c>
      <c r="E275" s="1" t="str">
        <f>IFERROR(__xludf.DUMMYFUNCTION("GOOGLETRANSLATE(D275,""PT"",""EN"")"),"Very good service is low rates")</f>
        <v>Very good service is low rates</v>
      </c>
    </row>
    <row r="276" ht="14.25" customHeight="1">
      <c r="A276" s="1">
        <v>100.0</v>
      </c>
      <c r="B276" s="1" t="s">
        <v>5</v>
      </c>
      <c r="C276" s="1">
        <v>10.0</v>
      </c>
      <c r="D276" s="2" t="s">
        <v>141</v>
      </c>
      <c r="E276" s="1" t="str">
        <f>IFERROR(__xludf.DUMMYFUNCTION("GOOGLETRANSLATE(D276,""PT"",""EN"")"),"Communication with management.")</f>
        <v>Communication with management.</v>
      </c>
    </row>
    <row r="277" ht="14.25" customHeight="1">
      <c r="A277" s="1">
        <v>100.0</v>
      </c>
      <c r="B277" s="1" t="s">
        <v>5</v>
      </c>
      <c r="C277" s="1">
        <v>10.0</v>
      </c>
      <c r="D277" s="1" t="s">
        <v>142</v>
      </c>
      <c r="E277" s="1" t="str">
        <f>IFERROR(__xludf.DUMMYFUNCTION("GOOGLETRANSLATE(D277,""PT"",""EN"")"),"Always very well attended")</f>
        <v>Always very well attended</v>
      </c>
    </row>
    <row r="278" ht="14.25" customHeight="1">
      <c r="A278" s="1">
        <v>100.0</v>
      </c>
      <c r="B278" s="1" t="s">
        <v>5</v>
      </c>
      <c r="C278" s="1">
        <v>10.0</v>
      </c>
      <c r="D278" s="1" t="s">
        <v>143</v>
      </c>
      <c r="E278" s="1" t="str">
        <f>IFERROR(__xludf.DUMMYFUNCTION("GOOGLETRANSLATE(D278,""PT"",""EN"")"),"Very good service with cooperative customers")</f>
        <v>Very good service with cooperative customers</v>
      </c>
    </row>
    <row r="279" ht="14.25" customHeight="1">
      <c r="A279" s="1">
        <v>66.0</v>
      </c>
      <c r="B279" s="1" t="s">
        <v>5</v>
      </c>
      <c r="C279" s="1">
        <v>7.0</v>
      </c>
      <c r="D279" s="2" t="s">
        <v>144</v>
      </c>
      <c r="E279" s="1" t="str">
        <f>IFERROR(__xludf.DUMMYFUNCTION("GOOGLETRANSLATE(D279,""PT"",""EN"")"),"I have an account at Santander is there I have more prestige in credit lines that the Sicoob that I have more time, that's why I transferred all my gain there!")</f>
        <v>I have an account at Santander is there I have more prestige in credit lines that the Sicoob that I have more time, that's why I transferred all my gain there!</v>
      </c>
    </row>
    <row r="280" ht="14.25" customHeight="1">
      <c r="A280" s="1">
        <v>100.0</v>
      </c>
      <c r="B280" s="1" t="s">
        <v>5</v>
      </c>
      <c r="C280" s="1">
        <v>10.0</v>
      </c>
      <c r="D280" s="2" t="s">
        <v>145</v>
      </c>
      <c r="E280" s="1" t="str">
        <f>IFERROR(__xludf.DUMMYFUNCTION("GOOGLETRANSLATE(D280,""PT"",""EN"")"),"I see that it is an institution would be")</f>
        <v>I see that it is an institution would be</v>
      </c>
    </row>
    <row r="281" ht="14.25" customHeight="1">
      <c r="A281" s="1">
        <v>100.0</v>
      </c>
      <c r="B281" s="1" t="s">
        <v>5</v>
      </c>
      <c r="C281" s="1">
        <v>9.0</v>
      </c>
      <c r="D281" s="1" t="s">
        <v>146</v>
      </c>
      <c r="E281" s="1" t="str">
        <f>IFERROR(__xludf.DUMMYFUNCTION("GOOGLETRANSLATE(D281,""PT"",""EN"")"),"Service of the employees of this Dourada GO Cachoeira Unit")</f>
        <v>Service of the employees of this Dourada GO Cachoeira Unit</v>
      </c>
    </row>
    <row r="282" ht="14.25" customHeight="1">
      <c r="A282" s="1">
        <v>100.0</v>
      </c>
      <c r="B282" s="1" t="s">
        <v>5</v>
      </c>
      <c r="C282" s="1">
        <v>9.0</v>
      </c>
      <c r="D282" s="2" t="s">
        <v>147</v>
      </c>
      <c r="E282" s="1" t="str">
        <f>IFERROR(__xludf.DUMMYFUNCTION("GOOGLETRANSLATE(D282,""PT"",""EN"")"),"Meets all my need")</f>
        <v>Meets all my need</v>
      </c>
    </row>
    <row r="283" ht="14.25" customHeight="1">
      <c r="A283" s="1">
        <v>100.0</v>
      </c>
      <c r="B283" s="1" t="s">
        <v>5</v>
      </c>
      <c r="C283" s="1">
        <v>9.0</v>
      </c>
      <c r="D283" s="1" t="s">
        <v>6</v>
      </c>
      <c r="E283" s="1"/>
    </row>
    <row r="284" ht="14.25" customHeight="1">
      <c r="A284" s="1">
        <v>100.0</v>
      </c>
      <c r="B284" s="1" t="s">
        <v>5</v>
      </c>
      <c r="C284" s="1">
        <v>10.0</v>
      </c>
      <c r="D284" s="2" t="s">
        <v>148</v>
      </c>
      <c r="E284" s="1" t="str">
        <f>IFERROR(__xludf.DUMMYFUNCTION("GOOGLETRANSLATE(D284,""PT"",""EN"")"),"Service is accessibility")</f>
        <v>Service is accessibility</v>
      </c>
    </row>
    <row r="285" ht="14.25" customHeight="1">
      <c r="A285" s="1">
        <v>33.0</v>
      </c>
      <c r="B285" s="1" t="s">
        <v>5</v>
      </c>
      <c r="C285" s="1">
        <v>1.0</v>
      </c>
      <c r="D285" s="1" t="s">
        <v>6</v>
      </c>
      <c r="E285" s="1"/>
    </row>
    <row r="286" ht="14.25" customHeight="1">
      <c r="A286" s="1">
        <v>66.0</v>
      </c>
      <c r="B286" s="1" t="s">
        <v>5</v>
      </c>
      <c r="C286" s="1">
        <v>7.0</v>
      </c>
      <c r="D286" s="2" t="s">
        <v>149</v>
      </c>
      <c r="E286" s="1" t="str">
        <f>IFERROR(__xludf.DUMMYFUNCTION("GOOGLETRANSLATE(D286,""PT"",""EN"")"),"There are some things that I do not agree, are details.")</f>
        <v>There are some things that I do not agree, are details.</v>
      </c>
    </row>
    <row r="287" ht="14.25" customHeight="1">
      <c r="A287" s="1">
        <v>66.0</v>
      </c>
      <c r="B287" s="1" t="s">
        <v>5</v>
      </c>
      <c r="C287" s="1">
        <v>8.0</v>
      </c>
      <c r="D287" s="1" t="s">
        <v>150</v>
      </c>
      <c r="E287" s="1" t="str">
        <f>IFERROR(__xludf.DUMMYFUNCTION("GOOGLETRANSLATE(D287,""PT"",""EN"")"),"Reliable agile")</f>
        <v>Reliable agile</v>
      </c>
    </row>
    <row r="288" ht="14.25" customHeight="1">
      <c r="A288" s="1">
        <v>100.0</v>
      </c>
      <c r="B288" s="1" t="s">
        <v>5</v>
      </c>
      <c r="C288" s="1">
        <v>9.0</v>
      </c>
      <c r="D288" s="1" t="s">
        <v>6</v>
      </c>
      <c r="E288" s="1"/>
    </row>
    <row r="289" ht="14.25" customHeight="1">
      <c r="A289" s="1">
        <v>100.0</v>
      </c>
      <c r="B289" s="1" t="s">
        <v>5</v>
      </c>
      <c r="C289" s="1">
        <v>10.0</v>
      </c>
      <c r="D289" s="2" t="s">
        <v>151</v>
      </c>
      <c r="E289" s="1" t="str">
        <f>IFERROR(__xludf.DUMMYFUNCTION("GOOGLETRANSLATE(D289,""PT"",""EN"")"),"Firstly, the service differentiating, the accessibility of using the application is other factors that in other institutions are very long!")</f>
        <v>Firstly, the service differentiating, the accessibility of using the application is other factors that in other institutions are very long!</v>
      </c>
    </row>
    <row r="290" ht="14.25" customHeight="1">
      <c r="A290" s="1">
        <v>100.0</v>
      </c>
      <c r="B290" s="1" t="s">
        <v>5</v>
      </c>
      <c r="C290" s="1">
        <v>9.0</v>
      </c>
      <c r="D290" s="1" t="s">
        <v>6</v>
      </c>
      <c r="E290" s="1"/>
    </row>
    <row r="291" ht="14.25" customHeight="1">
      <c r="A291" s="1">
        <v>100.0</v>
      </c>
      <c r="B291" s="1" t="s">
        <v>5</v>
      </c>
      <c r="C291" s="1">
        <v>10.0</v>
      </c>
      <c r="D291" s="1" t="s">
        <v>6</v>
      </c>
      <c r="E291" s="1"/>
    </row>
    <row r="292" ht="14.25" customHeight="1">
      <c r="A292" s="1">
        <v>100.0</v>
      </c>
      <c r="B292" s="1" t="s">
        <v>5</v>
      </c>
      <c r="C292" s="1">
        <v>10.0</v>
      </c>
      <c r="D292" s="1" t="s">
        <v>6</v>
      </c>
      <c r="E292" s="1"/>
    </row>
    <row r="293" ht="14.25" customHeight="1">
      <c r="A293" s="1">
        <v>100.0</v>
      </c>
      <c r="B293" s="1" t="s">
        <v>5</v>
      </c>
      <c r="C293" s="1">
        <v>10.0</v>
      </c>
      <c r="D293" s="1" t="s">
        <v>6</v>
      </c>
      <c r="E293" s="1"/>
    </row>
    <row r="294" ht="14.25" customHeight="1">
      <c r="A294" s="1">
        <v>100.0</v>
      </c>
      <c r="B294" s="1" t="s">
        <v>5</v>
      </c>
      <c r="C294" s="1">
        <v>10.0</v>
      </c>
      <c r="D294" s="1" t="s">
        <v>152</v>
      </c>
      <c r="E294" s="1" t="str">
        <f>IFERROR(__xludf.DUMMYFUNCTION("GOOGLETRANSLATE(D294,""PT"",""EN"")"),"Great service!")</f>
        <v>Great service!</v>
      </c>
    </row>
    <row r="295" ht="14.25" customHeight="1">
      <c r="A295" s="1">
        <v>100.0</v>
      </c>
      <c r="B295" s="1" t="s">
        <v>5</v>
      </c>
      <c r="C295" s="1">
        <v>10.0</v>
      </c>
      <c r="D295" s="1" t="s">
        <v>6</v>
      </c>
      <c r="E295" s="1"/>
    </row>
    <row r="296" ht="14.25" customHeight="1">
      <c r="A296" s="1">
        <v>100.0</v>
      </c>
      <c r="B296" s="1" t="s">
        <v>5</v>
      </c>
      <c r="C296" s="1">
        <v>10.0</v>
      </c>
      <c r="D296" s="1" t="s">
        <v>6</v>
      </c>
      <c r="E296" s="1"/>
    </row>
    <row r="297" ht="14.25" customHeight="1">
      <c r="A297" s="1">
        <v>33.0</v>
      </c>
      <c r="B297" s="1" t="s">
        <v>5</v>
      </c>
      <c r="C297" s="1">
        <v>4.0</v>
      </c>
      <c r="D297" s="1" t="s">
        <v>6</v>
      </c>
      <c r="E297" s="1"/>
    </row>
    <row r="298" ht="14.25" customHeight="1">
      <c r="A298" s="1">
        <v>33.0</v>
      </c>
      <c r="B298" s="1" t="s">
        <v>5</v>
      </c>
      <c r="C298" s="1">
        <v>0.0</v>
      </c>
      <c r="D298" s="2" t="s">
        <v>153</v>
      </c>
      <c r="E298" s="1" t="str">
        <f>IFERROR(__xludf.DUMMYFUNCTION("GOOGLETRANSLATE(D298,""PT"",""EN"")"),"Pessimo Support")</f>
        <v>Pessimo Support</v>
      </c>
    </row>
    <row r="299" ht="14.25" customHeight="1">
      <c r="A299" s="1">
        <v>66.0</v>
      </c>
      <c r="B299" s="1" t="s">
        <v>5</v>
      </c>
      <c r="C299" s="1">
        <v>8.0</v>
      </c>
      <c r="D299" s="1" t="s">
        <v>6</v>
      </c>
      <c r="E299" s="1"/>
    </row>
    <row r="300" ht="14.25" customHeight="1">
      <c r="A300" s="1">
        <v>100.0</v>
      </c>
      <c r="B300" s="1" t="s">
        <v>5</v>
      </c>
      <c r="C300" s="1">
        <v>10.0</v>
      </c>
      <c r="D300" s="2" t="s">
        <v>154</v>
      </c>
      <c r="E300" s="1" t="str">
        <f>IFERROR(__xludf.DUMMYFUNCTION("GOOGLETRANSLATE(D300,""PT"",""EN"")"),"Great service highlighting the employee Alexandre from the Dourada Cachoeira Agency was.")</f>
        <v>Great service highlighting the employee Alexandre from the Dourada Cachoeira Agency was.</v>
      </c>
    </row>
    <row r="301" ht="14.25" customHeight="1">
      <c r="A301" s="1">
        <v>100.0</v>
      </c>
      <c r="B301" s="1" t="s">
        <v>5</v>
      </c>
      <c r="C301" s="1">
        <v>10.0</v>
      </c>
      <c r="D301" s="2" t="s">
        <v>155</v>
      </c>
      <c r="E301" s="1" t="str">
        <f>IFERROR(__xludf.DUMMYFUNCTION("GOOGLETRANSLATE(D301,""PT"",""EN"")"),"Good service speed honesty")</f>
        <v>Good service speed honesty</v>
      </c>
    </row>
    <row r="302" ht="14.25" customHeight="1">
      <c r="A302" s="1">
        <v>33.0</v>
      </c>
      <c r="B302" s="1" t="s">
        <v>5</v>
      </c>
      <c r="C302" s="1">
        <v>0.0</v>
      </c>
      <c r="D302" s="1" t="s">
        <v>156</v>
      </c>
      <c r="E302" s="1" t="str">
        <f>IFERROR(__xludf.DUMMYFUNCTION("GOOGLETRANSLATE(D302,""PT"",""EN"")"),"Weak bank")</f>
        <v>Weak bank</v>
      </c>
    </row>
    <row r="303" ht="14.25" customHeight="1">
      <c r="A303" s="1">
        <v>100.0</v>
      </c>
      <c r="B303" s="1" t="s">
        <v>157</v>
      </c>
      <c r="C303" s="1">
        <v>10.0</v>
      </c>
      <c r="D303" s="1" t="s">
        <v>37</v>
      </c>
      <c r="E303" s="1" t="str">
        <f>IFERROR(__xludf.DUMMYFUNCTION("GOOGLETRANSLATE(D303,""PT"",""EN"")"),"Great service")</f>
        <v>Great service</v>
      </c>
    </row>
    <row r="304" ht="14.25" customHeight="1">
      <c r="A304" s="1">
        <v>100.0</v>
      </c>
      <c r="B304" s="1" t="s">
        <v>157</v>
      </c>
      <c r="C304" s="1">
        <v>10.0</v>
      </c>
      <c r="D304" s="1" t="s">
        <v>158</v>
      </c>
      <c r="E304" s="1" t="str">
        <f>IFERROR(__xludf.DUMMYFUNCTION("GOOGLETRANSLATE(D304,""PT"",""EN"")"),"Super attentive account managers ...")</f>
        <v>Super attentive account managers ...</v>
      </c>
    </row>
    <row r="305" ht="14.25" customHeight="1">
      <c r="A305" s="1">
        <v>66.0</v>
      </c>
      <c r="B305" s="1" t="s">
        <v>157</v>
      </c>
      <c r="C305" s="1">
        <v>8.0</v>
      </c>
      <c r="D305" s="1" t="s">
        <v>6</v>
      </c>
      <c r="E305" s="1"/>
    </row>
    <row r="306" ht="14.25" customHeight="1">
      <c r="A306" s="1">
        <v>100.0</v>
      </c>
      <c r="B306" s="1" t="s">
        <v>157</v>
      </c>
      <c r="C306" s="1">
        <v>10.0</v>
      </c>
      <c r="D306" s="1" t="s">
        <v>6</v>
      </c>
      <c r="E306" s="1"/>
    </row>
    <row r="307" ht="14.25" customHeight="1">
      <c r="A307" s="1">
        <v>100.0</v>
      </c>
      <c r="B307" s="1" t="s">
        <v>157</v>
      </c>
      <c r="C307" s="1">
        <v>10.0</v>
      </c>
      <c r="D307" s="1" t="s">
        <v>159</v>
      </c>
      <c r="E307" s="1" t="str">
        <f>IFERROR(__xludf.DUMMYFUNCTION("GOOGLETRANSLATE(D307,""PT"",""EN"")"),"Attention")</f>
        <v>Attention</v>
      </c>
    </row>
    <row r="308" ht="14.25" customHeight="1">
      <c r="A308" s="1">
        <v>100.0</v>
      </c>
      <c r="B308" s="1" t="s">
        <v>157</v>
      </c>
      <c r="C308" s="1">
        <v>10.0</v>
      </c>
      <c r="D308" s="1" t="s">
        <v>6</v>
      </c>
      <c r="E308" s="1"/>
    </row>
    <row r="309" ht="14.25" customHeight="1">
      <c r="A309" s="1">
        <v>100.0</v>
      </c>
      <c r="B309" s="1" t="s">
        <v>157</v>
      </c>
      <c r="C309" s="1">
        <v>10.0</v>
      </c>
      <c r="D309" s="1" t="s">
        <v>6</v>
      </c>
      <c r="E309" s="1"/>
    </row>
    <row r="310" ht="14.25" customHeight="1">
      <c r="A310" s="1">
        <v>33.0</v>
      </c>
      <c r="B310" s="1" t="s">
        <v>157</v>
      </c>
      <c r="C310" s="1">
        <v>0.0</v>
      </c>
      <c r="D310" s="2" t="s">
        <v>160</v>
      </c>
      <c r="E310" s="1" t="str">
        <f>IFERROR(__xludf.DUMMYFUNCTION("GOOGLETRANSLATE(D310,""PT"",""EN"")"),"Does not release limits is much less financing")</f>
        <v>Does not release limits is much less financing</v>
      </c>
    </row>
    <row r="311" ht="14.25" customHeight="1">
      <c r="A311" s="1">
        <v>100.0</v>
      </c>
      <c r="B311" s="1" t="s">
        <v>157</v>
      </c>
      <c r="C311" s="1">
        <v>10.0</v>
      </c>
      <c r="D311" s="1" t="s">
        <v>161</v>
      </c>
      <c r="E311" s="1" t="str">
        <f>IFERROR(__xludf.DUMMYFUNCTION("GOOGLETRANSLATE(D311,""PT"",""EN"")"),"I was always very well attended by the employees of Sicoob")</f>
        <v>I was always very well attended by the employees of Sicoob</v>
      </c>
    </row>
    <row r="312" ht="14.25" customHeight="1">
      <c r="A312" s="1">
        <v>100.0</v>
      </c>
      <c r="B312" s="1" t="s">
        <v>157</v>
      </c>
      <c r="C312" s="1">
        <v>10.0</v>
      </c>
      <c r="D312" s="2" t="s">
        <v>162</v>
      </c>
      <c r="E312" s="1" t="str">
        <f>IFERROR(__xludf.DUMMYFUNCTION("GOOGLETRANSLATE(D312,""PT"",""EN"")"),"Very good service, lower rates is lower interest")</f>
        <v>Very good service, lower rates is lower interest</v>
      </c>
    </row>
    <row r="313" ht="14.25" customHeight="1">
      <c r="A313" s="1">
        <v>100.0</v>
      </c>
      <c r="B313" s="1" t="s">
        <v>157</v>
      </c>
      <c r="C313" s="1">
        <v>9.0</v>
      </c>
      <c r="D313" s="1" t="s">
        <v>6</v>
      </c>
      <c r="E313" s="1"/>
    </row>
    <row r="314" ht="14.25" customHeight="1">
      <c r="A314" s="1">
        <v>100.0</v>
      </c>
      <c r="B314" s="1" t="s">
        <v>157</v>
      </c>
      <c r="C314" s="1">
        <v>10.0</v>
      </c>
      <c r="D314" s="1" t="s">
        <v>6</v>
      </c>
      <c r="E314" s="1"/>
    </row>
    <row r="315" ht="14.25" customHeight="1">
      <c r="A315" s="1">
        <v>100.0</v>
      </c>
      <c r="B315" s="1" t="s">
        <v>157</v>
      </c>
      <c r="C315" s="1">
        <v>10.0</v>
      </c>
      <c r="D315" s="2" t="s">
        <v>163</v>
      </c>
      <c r="E315" s="1" t="str">
        <f>IFERROR(__xludf.DUMMYFUNCTION("GOOGLETRANSLATE(D315,""PT"",""EN"")"),"Top cooperative is with conditions for the insured")</f>
        <v>Top cooperative is with conditions for the insured</v>
      </c>
    </row>
    <row r="316" ht="14.25" customHeight="1">
      <c r="A316" s="1">
        <v>100.0</v>
      </c>
      <c r="B316" s="1" t="s">
        <v>157</v>
      </c>
      <c r="C316" s="1">
        <v>10.0</v>
      </c>
      <c r="D316" s="1" t="s">
        <v>6</v>
      </c>
      <c r="E316" s="1"/>
    </row>
    <row r="317" ht="14.25" customHeight="1">
      <c r="A317" s="1">
        <v>100.0</v>
      </c>
      <c r="B317" s="1" t="s">
        <v>157</v>
      </c>
      <c r="C317" s="1">
        <v>9.0</v>
      </c>
      <c r="D317" s="1" t="s">
        <v>6</v>
      </c>
      <c r="E317" s="1"/>
    </row>
    <row r="318" ht="14.25" customHeight="1">
      <c r="A318" s="1">
        <v>100.0</v>
      </c>
      <c r="B318" s="1" t="s">
        <v>157</v>
      </c>
      <c r="C318" s="1">
        <v>10.0</v>
      </c>
      <c r="D318" s="1" t="s">
        <v>6</v>
      </c>
      <c r="E318" s="1"/>
    </row>
    <row r="319" ht="14.25" customHeight="1">
      <c r="A319" s="1">
        <v>33.0</v>
      </c>
      <c r="B319" s="1" t="s">
        <v>157</v>
      </c>
      <c r="C319" s="1">
        <v>5.0</v>
      </c>
      <c r="D319" s="1" t="s">
        <v>6</v>
      </c>
      <c r="E319" s="1"/>
    </row>
    <row r="320" ht="14.25" customHeight="1">
      <c r="A320" s="1">
        <v>100.0</v>
      </c>
      <c r="B320" s="1" t="s">
        <v>157</v>
      </c>
      <c r="C320" s="1">
        <v>10.0</v>
      </c>
      <c r="D320" s="1" t="s">
        <v>6</v>
      </c>
      <c r="E320" s="1"/>
    </row>
    <row r="321" ht="14.25" customHeight="1">
      <c r="A321" s="1">
        <v>100.0</v>
      </c>
      <c r="B321" s="1" t="s">
        <v>157</v>
      </c>
      <c r="C321" s="1">
        <v>10.0</v>
      </c>
      <c r="D321" s="1" t="s">
        <v>6</v>
      </c>
      <c r="E321" s="1"/>
    </row>
    <row r="322" ht="14.25" customHeight="1">
      <c r="A322" s="1">
        <v>100.0</v>
      </c>
      <c r="B322" s="1" t="s">
        <v>157</v>
      </c>
      <c r="C322" s="1">
        <v>10.0</v>
      </c>
      <c r="D322" s="1" t="s">
        <v>85</v>
      </c>
      <c r="E322" s="1" t="str">
        <f>IFERROR(__xludf.DUMMYFUNCTION("GOOGLETRANSLATE(D322,""PT"",""EN"")"),"Service")</f>
        <v>Service</v>
      </c>
    </row>
    <row r="323" ht="14.25" customHeight="1">
      <c r="A323" s="1">
        <v>100.0</v>
      </c>
      <c r="B323" s="1" t="s">
        <v>157</v>
      </c>
      <c r="C323" s="1">
        <v>10.0</v>
      </c>
      <c r="D323" s="1" t="s">
        <v>6</v>
      </c>
      <c r="E323" s="1"/>
    </row>
    <row r="324" ht="14.25" customHeight="1">
      <c r="A324" s="1">
        <v>33.0</v>
      </c>
      <c r="B324" s="1" t="s">
        <v>157</v>
      </c>
      <c r="C324" s="1">
        <v>0.0</v>
      </c>
      <c r="D324" s="1" t="s">
        <v>6</v>
      </c>
      <c r="E324" s="1"/>
    </row>
    <row r="325" ht="14.25" customHeight="1">
      <c r="A325" s="1">
        <v>100.0</v>
      </c>
      <c r="B325" s="1" t="s">
        <v>157</v>
      </c>
      <c r="C325" s="1">
        <v>10.0</v>
      </c>
      <c r="D325" s="1" t="s">
        <v>135</v>
      </c>
      <c r="E325" s="1" t="str">
        <f>IFERROR(__xludf.DUMMYFUNCTION("GOOGLETRANSLATE(D325,""PT"",""EN"")"),"very good")</f>
        <v>very good</v>
      </c>
    </row>
    <row r="326" ht="14.25" customHeight="1">
      <c r="A326" s="1">
        <v>100.0</v>
      </c>
      <c r="B326" s="1" t="s">
        <v>157</v>
      </c>
      <c r="C326" s="1">
        <v>10.0</v>
      </c>
      <c r="D326" s="1" t="s">
        <v>6</v>
      </c>
      <c r="E326" s="1"/>
    </row>
    <row r="327" ht="14.25" customHeight="1">
      <c r="A327" s="1">
        <v>100.0</v>
      </c>
      <c r="B327" s="1" t="s">
        <v>157</v>
      </c>
      <c r="C327" s="1">
        <v>10.0</v>
      </c>
      <c r="D327" s="1" t="s">
        <v>6</v>
      </c>
      <c r="E327" s="1"/>
    </row>
    <row r="328" ht="14.25" customHeight="1">
      <c r="A328" s="1">
        <v>100.0</v>
      </c>
      <c r="B328" s="1" t="s">
        <v>157</v>
      </c>
      <c r="C328" s="1">
        <v>10.0</v>
      </c>
      <c r="D328" s="1" t="s">
        <v>164</v>
      </c>
      <c r="E328" s="1" t="str">
        <f>IFERROR(__xludf.DUMMYFUNCTION("GOOGLETRANSLATE(D328,""PT"",""EN"")"),"Great bank")</f>
        <v>Great bank</v>
      </c>
    </row>
    <row r="329" ht="14.25" customHeight="1">
      <c r="A329" s="1">
        <v>100.0</v>
      </c>
      <c r="B329" s="1" t="s">
        <v>157</v>
      </c>
      <c r="C329" s="1">
        <v>10.0</v>
      </c>
      <c r="D329" s="1" t="s">
        <v>165</v>
      </c>
      <c r="E329" s="1" t="str">
        <f>IFERROR(__xludf.DUMMYFUNCTION("GOOGLETRANSLATE(D329,""PT"",""EN"")"),"excellent service")</f>
        <v>excellent service</v>
      </c>
    </row>
    <row r="330" ht="14.25" customHeight="1">
      <c r="A330" s="1">
        <v>100.0</v>
      </c>
      <c r="B330" s="1" t="s">
        <v>157</v>
      </c>
      <c r="C330" s="1">
        <v>10.0</v>
      </c>
      <c r="D330" s="1" t="s">
        <v>6</v>
      </c>
      <c r="E330" s="1"/>
    </row>
    <row r="331" ht="14.25" customHeight="1">
      <c r="A331" s="1">
        <v>100.0</v>
      </c>
      <c r="B331" s="1" t="s">
        <v>157</v>
      </c>
      <c r="C331" s="1">
        <v>10.0</v>
      </c>
      <c r="D331" s="1" t="s">
        <v>6</v>
      </c>
      <c r="E331" s="1"/>
    </row>
    <row r="332" ht="14.25" customHeight="1">
      <c r="A332" s="1">
        <v>100.0</v>
      </c>
      <c r="B332" s="1" t="s">
        <v>157</v>
      </c>
      <c r="C332" s="1">
        <v>10.0</v>
      </c>
      <c r="D332" s="1" t="s">
        <v>166</v>
      </c>
      <c r="E332" s="1" t="str">
        <f>IFERROR(__xludf.DUMMYFUNCTION("GOOGLETRANSLATE(D332,""PT"",""EN"")"),"Excellent service.")</f>
        <v>Excellent service.</v>
      </c>
    </row>
    <row r="333" ht="14.25" customHeight="1">
      <c r="A333" s="1">
        <v>100.0</v>
      </c>
      <c r="B333" s="1" t="s">
        <v>157</v>
      </c>
      <c r="C333" s="1">
        <v>10.0</v>
      </c>
      <c r="D333" s="1" t="s">
        <v>167</v>
      </c>
      <c r="E333" s="1" t="str">
        <f>IFERROR(__xludf.DUMMYFUNCTION("GOOGLETRANSLATE(D333,""PT"",""EN"")"),"I loved the service")</f>
        <v>I loved the service</v>
      </c>
    </row>
    <row r="334" ht="14.25" customHeight="1">
      <c r="A334" s="1">
        <v>100.0</v>
      </c>
      <c r="B334" s="1" t="s">
        <v>157</v>
      </c>
      <c r="C334" s="1">
        <v>10.0</v>
      </c>
      <c r="D334" s="1" t="s">
        <v>17</v>
      </c>
      <c r="E334" s="1" t="str">
        <f>IFERROR(__xludf.DUMMYFUNCTION("GOOGLETRANSLATE(D334,""PT"",""EN"")"),"Satisfaction")</f>
        <v>Satisfaction</v>
      </c>
    </row>
    <row r="335" ht="14.25" customHeight="1">
      <c r="A335" s="1">
        <v>100.0</v>
      </c>
      <c r="B335" s="1" t="s">
        <v>157</v>
      </c>
      <c r="C335" s="1">
        <v>10.0</v>
      </c>
      <c r="D335" s="2" t="s">
        <v>168</v>
      </c>
      <c r="E335" s="1" t="str">
        <f>IFERROR(__xludf.DUMMYFUNCTION("GOOGLETRANSLATE(D335,""PT"",""EN"")"),"Great service is services")</f>
        <v>Great service is services</v>
      </c>
    </row>
    <row r="336" ht="14.25" customHeight="1">
      <c r="A336" s="1">
        <v>100.0</v>
      </c>
      <c r="B336" s="1" t="s">
        <v>157</v>
      </c>
      <c r="C336" s="1">
        <v>10.0</v>
      </c>
      <c r="D336" s="1" t="s">
        <v>169</v>
      </c>
      <c r="E336" s="1" t="str">
        <f>IFERROR(__xludf.DUMMYFUNCTION("GOOGLETRANSLATE(D336,""PT"",""EN"")"),"Best Cooperative in Brazil")</f>
        <v>Best Cooperative in Brazil</v>
      </c>
    </row>
    <row r="337" ht="14.25" customHeight="1">
      <c r="A337" s="1">
        <v>33.0</v>
      </c>
      <c r="B337" s="1" t="s">
        <v>157</v>
      </c>
      <c r="C337" s="1">
        <v>3.0</v>
      </c>
      <c r="D337" s="2" t="s">
        <v>170</v>
      </c>
      <c r="E337" s="1" t="str">
        <f>IFERROR(__xludf.DUMMYFUNCTION("GOOGLETRANSLATE(D337,""PT"",""EN"")"),"Very weak to release credit ....")</f>
        <v>Very weak to release credit ....</v>
      </c>
    </row>
    <row r="338" ht="14.25" customHeight="1">
      <c r="A338" s="1">
        <v>100.0</v>
      </c>
      <c r="B338" s="1" t="s">
        <v>157</v>
      </c>
      <c r="C338" s="1">
        <v>10.0</v>
      </c>
      <c r="D338" s="1" t="s">
        <v>62</v>
      </c>
      <c r="E338" s="1" t="str">
        <f>IFERROR(__xludf.DUMMYFUNCTION("GOOGLETRANSLATE(D338,""PT"",""EN"")"),"Good service")</f>
        <v>Good service</v>
      </c>
    </row>
    <row r="339" ht="14.25" customHeight="1">
      <c r="A339" s="1">
        <v>100.0</v>
      </c>
      <c r="B339" s="1" t="s">
        <v>157</v>
      </c>
      <c r="C339" s="1">
        <v>10.0</v>
      </c>
      <c r="D339" s="1" t="s">
        <v>6</v>
      </c>
      <c r="E339" s="1"/>
    </row>
    <row r="340" ht="14.25" customHeight="1">
      <c r="A340" s="1">
        <v>33.0</v>
      </c>
      <c r="B340" s="1" t="s">
        <v>157</v>
      </c>
      <c r="C340" s="1">
        <v>1.0</v>
      </c>
      <c r="D340" s="1" t="s">
        <v>6</v>
      </c>
      <c r="E340" s="1"/>
    </row>
    <row r="341" ht="14.25" customHeight="1">
      <c r="A341" s="1">
        <v>66.0</v>
      </c>
      <c r="B341" s="1" t="s">
        <v>157</v>
      </c>
      <c r="C341" s="1">
        <v>8.0</v>
      </c>
      <c r="D341" s="1" t="s">
        <v>6</v>
      </c>
      <c r="E341" s="1"/>
    </row>
    <row r="342" ht="14.25" customHeight="1">
      <c r="A342" s="1">
        <v>33.0</v>
      </c>
      <c r="B342" s="1" t="s">
        <v>157</v>
      </c>
      <c r="C342" s="1">
        <v>1.0</v>
      </c>
      <c r="D342" s="1" t="s">
        <v>6</v>
      </c>
      <c r="E342" s="1"/>
    </row>
    <row r="343" ht="14.25" customHeight="1">
      <c r="A343" s="1">
        <v>100.0</v>
      </c>
      <c r="B343" s="1" t="s">
        <v>157</v>
      </c>
      <c r="C343" s="1">
        <v>10.0</v>
      </c>
      <c r="D343" s="1" t="s">
        <v>171</v>
      </c>
      <c r="E343" s="1" t="str">
        <f>IFERROR(__xludf.DUMMYFUNCTION("GOOGLETRANSLATE(D343,""PT"",""EN"")"),"Always meet my needs")</f>
        <v>Always meet my needs</v>
      </c>
    </row>
    <row r="344" ht="14.25" customHeight="1">
      <c r="A344" s="1">
        <v>100.0</v>
      </c>
      <c r="B344" s="1" t="s">
        <v>157</v>
      </c>
      <c r="C344" s="1">
        <v>10.0</v>
      </c>
      <c r="D344" s="1" t="s">
        <v>172</v>
      </c>
      <c r="E344" s="1" t="str">
        <f>IFERROR(__xludf.DUMMYFUNCTION("GOOGLETRANSLATE(D344,""PT"",""EN"")"),"Excellent service. Practicality")</f>
        <v>Excellent service. Practicality</v>
      </c>
    </row>
    <row r="345" ht="14.25" customHeight="1">
      <c r="A345" s="1">
        <v>100.0</v>
      </c>
      <c r="B345" s="1" t="s">
        <v>157</v>
      </c>
      <c r="C345" s="1">
        <v>10.0</v>
      </c>
      <c r="D345" s="1" t="s">
        <v>164</v>
      </c>
      <c r="E345" s="1" t="str">
        <f>IFERROR(__xludf.DUMMYFUNCTION("GOOGLETRANSLATE(D345,""PT"",""EN"")"),"Great bank")</f>
        <v>Great bank</v>
      </c>
    </row>
    <row r="346" ht="14.25" customHeight="1">
      <c r="A346" s="1">
        <v>100.0</v>
      </c>
      <c r="B346" s="1" t="s">
        <v>157</v>
      </c>
      <c r="C346" s="1">
        <v>10.0</v>
      </c>
      <c r="D346" s="1" t="s">
        <v>6</v>
      </c>
      <c r="E346" s="1"/>
    </row>
    <row r="347" ht="14.25" customHeight="1">
      <c r="A347" s="1">
        <v>100.0</v>
      </c>
      <c r="B347" s="1" t="s">
        <v>157</v>
      </c>
      <c r="C347" s="1">
        <v>10.0</v>
      </c>
      <c r="D347" s="1" t="s">
        <v>6</v>
      </c>
      <c r="E347" s="1"/>
    </row>
    <row r="348" ht="14.25" customHeight="1">
      <c r="A348" s="1">
        <v>100.0</v>
      </c>
      <c r="B348" s="1" t="s">
        <v>157</v>
      </c>
      <c r="C348" s="1">
        <v>10.0</v>
      </c>
      <c r="D348" s="1" t="s">
        <v>6</v>
      </c>
      <c r="E348" s="1"/>
    </row>
    <row r="349" ht="14.25" customHeight="1">
      <c r="A349" s="1">
        <v>100.0</v>
      </c>
      <c r="B349" s="1" t="s">
        <v>157</v>
      </c>
      <c r="C349" s="1">
        <v>10.0</v>
      </c>
      <c r="D349" s="2" t="s">
        <v>173</v>
      </c>
      <c r="E349" s="1" t="str">
        <f>IFERROR(__xludf.DUMMYFUNCTION("GOOGLETRANSLATE(D349,""PT"",""EN"")"),"Good service is practicality")</f>
        <v>Good service is practicality</v>
      </c>
    </row>
    <row r="350" ht="14.25" customHeight="1">
      <c r="A350" s="1">
        <v>100.0</v>
      </c>
      <c r="B350" s="1" t="s">
        <v>157</v>
      </c>
      <c r="C350" s="1">
        <v>9.0</v>
      </c>
      <c r="D350" s="2" t="s">
        <v>174</v>
      </c>
      <c r="E350" s="1" t="str">
        <f>IFERROR(__xludf.DUMMYFUNCTION("GOOGLETRANSLATE(D350,""PT"",""EN"")"),"Service from the Victor Account Manager, is to be congratulated.")</f>
        <v>Service from the Victor Account Manager, is to be congratulated.</v>
      </c>
    </row>
    <row r="351" ht="14.25" customHeight="1">
      <c r="A351" s="1">
        <v>33.0</v>
      </c>
      <c r="B351" s="1" t="s">
        <v>157</v>
      </c>
      <c r="C351" s="1">
        <v>0.0</v>
      </c>
      <c r="D351" s="1" t="s">
        <v>6</v>
      </c>
      <c r="E351" s="1"/>
    </row>
    <row r="352" ht="14.25" customHeight="1">
      <c r="A352" s="1">
        <v>33.0</v>
      </c>
      <c r="B352" s="1" t="s">
        <v>157</v>
      </c>
      <c r="C352" s="1">
        <v>3.0</v>
      </c>
      <c r="D352" s="2" t="s">
        <v>175</v>
      </c>
      <c r="E352" s="1" t="str">
        <f>IFERROR(__xludf.DUMMYFUNCTION("GOOGLETRANSLATE(D352,""PT"",""EN"")"),"Lack of communication, it is disinterest in knowing/understanding the operation is the demand of the company")</f>
        <v>Lack of communication, it is disinterest in knowing/understanding the operation is the demand of the company</v>
      </c>
    </row>
    <row r="353" ht="14.25" customHeight="1">
      <c r="A353" s="1">
        <v>100.0</v>
      </c>
      <c r="B353" s="1" t="s">
        <v>157</v>
      </c>
      <c r="C353" s="1">
        <v>10.0</v>
      </c>
      <c r="D353" s="2" t="s">
        <v>176</v>
      </c>
      <c r="E353" s="1" t="str">
        <f>IFERROR(__xludf.DUMMYFUNCTION("GOOGLETRANSLATE(D353,""PT"",""EN"")"),"Great service is respect for the cooperative account holder")</f>
        <v>Great service is respect for the cooperative account holder</v>
      </c>
    </row>
    <row r="354" ht="14.25" customHeight="1">
      <c r="A354" s="1">
        <v>66.0</v>
      </c>
      <c r="B354" s="1" t="s">
        <v>157</v>
      </c>
      <c r="C354" s="1">
        <v>8.0</v>
      </c>
      <c r="D354" s="1" t="s">
        <v>6</v>
      </c>
      <c r="E354" s="1"/>
    </row>
    <row r="355" ht="14.25" customHeight="1">
      <c r="A355" s="1">
        <v>100.0</v>
      </c>
      <c r="B355" s="1" t="s">
        <v>157</v>
      </c>
      <c r="C355" s="1">
        <v>10.0</v>
      </c>
      <c r="D355" s="1" t="s">
        <v>6</v>
      </c>
      <c r="E355" s="1"/>
    </row>
    <row r="356" ht="14.25" customHeight="1">
      <c r="A356" s="1">
        <v>100.0</v>
      </c>
      <c r="B356" s="1" t="s">
        <v>157</v>
      </c>
      <c r="C356" s="1">
        <v>10.0</v>
      </c>
      <c r="D356" s="1" t="s">
        <v>177</v>
      </c>
      <c r="E356" s="1" t="str">
        <f>IFERROR(__xludf.DUMMYFUNCTION("GOOGLETRANSLATE(D356,""PT"",""EN"")"),"Team off the curve, phenomenal")</f>
        <v>Team off the curve, phenomenal</v>
      </c>
    </row>
    <row r="357" ht="14.25" customHeight="1">
      <c r="A357" s="1">
        <v>100.0</v>
      </c>
      <c r="B357" s="1" t="s">
        <v>157</v>
      </c>
      <c r="C357" s="1">
        <v>9.0</v>
      </c>
      <c r="D357" s="1" t="s">
        <v>6</v>
      </c>
      <c r="E357" s="1"/>
    </row>
    <row r="358" ht="14.25" customHeight="1">
      <c r="A358" s="1">
        <v>100.0</v>
      </c>
      <c r="B358" s="1" t="s">
        <v>157</v>
      </c>
      <c r="C358" s="1">
        <v>10.0</v>
      </c>
      <c r="D358" s="1" t="s">
        <v>85</v>
      </c>
      <c r="E358" s="1" t="str">
        <f>IFERROR(__xludf.DUMMYFUNCTION("GOOGLETRANSLATE(D358,""PT"",""EN"")"),"Service")</f>
        <v>Service</v>
      </c>
    </row>
    <row r="359" ht="14.25" customHeight="1">
      <c r="A359" s="1">
        <v>100.0</v>
      </c>
      <c r="B359" s="1" t="s">
        <v>157</v>
      </c>
      <c r="C359" s="1">
        <v>10.0</v>
      </c>
      <c r="D359" s="1" t="s">
        <v>6</v>
      </c>
      <c r="E359" s="1"/>
    </row>
    <row r="360" ht="14.25" customHeight="1">
      <c r="A360" s="1">
        <v>33.0</v>
      </c>
      <c r="B360" s="1" t="s">
        <v>157</v>
      </c>
      <c r="C360" s="1">
        <v>0.0</v>
      </c>
      <c r="D360" s="2" t="s">
        <v>178</v>
      </c>
      <c r="E360" s="1" t="str">
        <f>IFERROR(__xludf.DUMMYFUNCTION("GOOGLETRANSLATE(D360,""PT"",""EN"")"),"In an institution that to renegotiate a debt has to let it win is to be charged and then request the renegotiation does not deserve my respect")</f>
        <v>In an institution that to renegotiate a debt has to let it win is to be charged and then request the renegotiation does not deserve my respect</v>
      </c>
    </row>
    <row r="361" ht="14.25" customHeight="1">
      <c r="A361" s="1">
        <v>100.0</v>
      </c>
      <c r="B361" s="1" t="s">
        <v>157</v>
      </c>
      <c r="C361" s="1">
        <v>10.0</v>
      </c>
      <c r="D361" s="1" t="s">
        <v>179</v>
      </c>
      <c r="E361" s="1" t="str">
        <f>IFERROR(__xludf.DUMMYFUNCTION("GOOGLETRANSLATE(D361,""PT"",""EN"")"),"Ease")</f>
        <v>Ease</v>
      </c>
    </row>
    <row r="362" ht="14.25" customHeight="1">
      <c r="A362" s="1">
        <v>100.0</v>
      </c>
      <c r="B362" s="1" t="s">
        <v>157</v>
      </c>
      <c r="C362" s="1">
        <v>10.0</v>
      </c>
      <c r="D362" s="1" t="s">
        <v>6</v>
      </c>
      <c r="E362" s="1"/>
    </row>
    <row r="363" ht="14.25" customHeight="1">
      <c r="A363" s="1">
        <v>100.0</v>
      </c>
      <c r="B363" s="1" t="s">
        <v>157</v>
      </c>
      <c r="C363" s="1">
        <v>10.0</v>
      </c>
      <c r="D363" s="1" t="s">
        <v>180</v>
      </c>
      <c r="E363" s="1" t="str">
        <f>IFERROR(__xludf.DUMMYFUNCTION("GOOGLETRANSLATE(D363,""PT"",""EN"")"),"GOOD SERVICE")</f>
        <v>GOOD SERVICE</v>
      </c>
    </row>
    <row r="364" ht="14.25" customHeight="1">
      <c r="A364" s="1">
        <v>100.0</v>
      </c>
      <c r="B364" s="1" t="s">
        <v>157</v>
      </c>
      <c r="C364" s="1">
        <v>10.0</v>
      </c>
      <c r="D364" s="1" t="s">
        <v>181</v>
      </c>
      <c r="E364" s="1" t="str">
        <f>IFERROR(__xludf.DUMMYFUNCTION("GOOGLETRANSLATE(D364,""PT"",""EN"")"),"I'm satisfied")</f>
        <v>I'm satisfied</v>
      </c>
    </row>
    <row r="365" ht="14.25" customHeight="1">
      <c r="A365" s="1">
        <v>100.0</v>
      </c>
      <c r="B365" s="1" t="s">
        <v>157</v>
      </c>
      <c r="C365" s="1">
        <v>10.0</v>
      </c>
      <c r="D365" s="1" t="s">
        <v>37</v>
      </c>
      <c r="E365" s="1" t="str">
        <f>IFERROR(__xludf.DUMMYFUNCTION("GOOGLETRANSLATE(D365,""PT"",""EN"")"),"Great service")</f>
        <v>Great service</v>
      </c>
    </row>
    <row r="366" ht="14.25" customHeight="1">
      <c r="A366" s="1">
        <v>100.0</v>
      </c>
      <c r="B366" s="1" t="s">
        <v>157</v>
      </c>
      <c r="C366" s="1">
        <v>10.0</v>
      </c>
      <c r="D366" s="1" t="s">
        <v>182</v>
      </c>
      <c r="E366" s="1" t="str">
        <f>IFERROR(__xludf.DUMMYFUNCTION("GOOGLETRANSLATE(D366,""PT"",""EN"")"),"Excellent service from account manager Vitor.")</f>
        <v>Excellent service from account manager Vitor.</v>
      </c>
    </row>
    <row r="367" ht="14.25" customHeight="1">
      <c r="A367" s="1">
        <v>100.0</v>
      </c>
      <c r="B367" s="1" t="s">
        <v>157</v>
      </c>
      <c r="C367" s="1">
        <v>10.0</v>
      </c>
      <c r="D367" s="2" t="s">
        <v>97</v>
      </c>
      <c r="E367" s="1" t="str">
        <f>IFERROR(__xludf.DUMMYFUNCTION("GOOGLETRANSLATE(D367,""PT"",""EN"")"),"Excellent")</f>
        <v>Excellent</v>
      </c>
    </row>
    <row r="368" ht="14.25" customHeight="1">
      <c r="A368" s="1">
        <v>100.0</v>
      </c>
      <c r="B368" s="1" t="s">
        <v>157</v>
      </c>
      <c r="C368" s="1">
        <v>10.0</v>
      </c>
      <c r="D368" s="1" t="s">
        <v>6</v>
      </c>
      <c r="E368" s="1"/>
    </row>
    <row r="369" ht="14.25" customHeight="1">
      <c r="A369" s="1">
        <v>100.0</v>
      </c>
      <c r="B369" s="1" t="s">
        <v>157</v>
      </c>
      <c r="C369" s="1">
        <v>10.0</v>
      </c>
      <c r="D369" s="1" t="s">
        <v>6</v>
      </c>
      <c r="E369" s="1"/>
    </row>
    <row r="370" ht="14.25" customHeight="1">
      <c r="A370" s="1">
        <v>100.0</v>
      </c>
      <c r="B370" s="1" t="s">
        <v>157</v>
      </c>
      <c r="C370" s="1">
        <v>10.0</v>
      </c>
      <c r="D370" s="1" t="s">
        <v>6</v>
      </c>
      <c r="E370" s="1"/>
    </row>
    <row r="371" ht="14.25" customHeight="1">
      <c r="A371" s="1">
        <v>100.0</v>
      </c>
      <c r="B371" s="1" t="s">
        <v>157</v>
      </c>
      <c r="C371" s="1">
        <v>10.0</v>
      </c>
      <c r="D371" s="1" t="s">
        <v>183</v>
      </c>
      <c r="E371" s="1" t="str">
        <f>IFERROR(__xludf.DUMMYFUNCTION("GOOGLETRANSLATE(D371,""PT"",""EN"")"),"Great Cooperative")</f>
        <v>Great Cooperative</v>
      </c>
    </row>
    <row r="372" ht="14.25" customHeight="1">
      <c r="A372" s="1">
        <v>33.0</v>
      </c>
      <c r="B372" s="1" t="s">
        <v>157</v>
      </c>
      <c r="C372" s="1">
        <v>3.0</v>
      </c>
      <c r="D372" s="1" t="s">
        <v>184</v>
      </c>
      <c r="E372" s="1" t="str">
        <f>IFERROR(__xludf.DUMMYFUNCTION("GOOGLETRANSLATE(D372,""PT"",""EN"")"),"Delay in meeting a request")</f>
        <v>Delay in meeting a request</v>
      </c>
    </row>
    <row r="373" ht="14.25" customHeight="1">
      <c r="A373" s="1">
        <v>33.0</v>
      </c>
      <c r="B373" s="1" t="s">
        <v>157</v>
      </c>
      <c r="C373" s="1">
        <v>5.0</v>
      </c>
      <c r="D373" s="1" t="s">
        <v>6</v>
      </c>
      <c r="E373" s="1"/>
    </row>
    <row r="374" ht="14.25" customHeight="1">
      <c r="A374" s="1">
        <v>66.0</v>
      </c>
      <c r="B374" s="1" t="s">
        <v>157</v>
      </c>
      <c r="C374" s="1">
        <v>8.0</v>
      </c>
      <c r="D374" s="1" t="s">
        <v>6</v>
      </c>
      <c r="E374" s="1"/>
    </row>
    <row r="375" ht="14.25" customHeight="1">
      <c r="A375" s="1">
        <v>33.0</v>
      </c>
      <c r="B375" s="1" t="s">
        <v>157</v>
      </c>
      <c r="C375" s="1">
        <v>0.0</v>
      </c>
      <c r="D375" s="2" t="s">
        <v>185</v>
      </c>
      <c r="E375" s="1" t="str">
        <f>IFERROR(__xludf.DUMMYFUNCTION("GOOGLETRANSLATE(D375,""PT"",""EN"")"),"No products for PJ")</f>
        <v>No products for PJ</v>
      </c>
    </row>
    <row r="376" ht="14.25" customHeight="1">
      <c r="A376" s="1">
        <v>100.0</v>
      </c>
      <c r="B376" s="1" t="s">
        <v>157</v>
      </c>
      <c r="C376" s="1">
        <v>10.0</v>
      </c>
      <c r="D376" s="1" t="s">
        <v>186</v>
      </c>
      <c r="E376" s="1" t="str">
        <f>IFERROR(__xludf.DUMMYFUNCTION("GOOGLETRANSLATE(D376,""PT"",""EN"")"),"Good service excellent cooperative")</f>
        <v>Good service excellent cooperative</v>
      </c>
    </row>
    <row r="377" ht="14.25" customHeight="1">
      <c r="A377" s="1">
        <v>100.0</v>
      </c>
      <c r="B377" s="1" t="s">
        <v>157</v>
      </c>
      <c r="C377" s="1">
        <v>10.0</v>
      </c>
      <c r="D377" s="2" t="s">
        <v>187</v>
      </c>
      <c r="E377" s="1" t="str">
        <f>IFERROR(__xludf.DUMMYFUNCTION("GOOGLETRANSLATE(D377,""PT"",""EN"")"),"The bank has different mechanisms from large banks.")</f>
        <v>The bank has different mechanisms from large banks.</v>
      </c>
    </row>
    <row r="378" ht="14.25" customHeight="1">
      <c r="A378" s="1">
        <v>100.0</v>
      </c>
      <c r="B378" s="1" t="s">
        <v>157</v>
      </c>
      <c r="C378" s="1">
        <v>10.0</v>
      </c>
      <c r="D378" s="1" t="s">
        <v>6</v>
      </c>
      <c r="E378" s="1"/>
    </row>
    <row r="379" ht="14.25" customHeight="1">
      <c r="A379" s="1">
        <v>100.0</v>
      </c>
      <c r="B379" s="1" t="s">
        <v>157</v>
      </c>
      <c r="C379" s="1">
        <v>10.0</v>
      </c>
      <c r="D379" s="1" t="s">
        <v>6</v>
      </c>
      <c r="E379" s="1"/>
    </row>
    <row r="380" ht="14.25" customHeight="1">
      <c r="A380" s="1">
        <v>100.0</v>
      </c>
      <c r="B380" s="1" t="s">
        <v>157</v>
      </c>
      <c r="C380" s="1">
        <v>10.0</v>
      </c>
      <c r="D380" s="1" t="s">
        <v>6</v>
      </c>
      <c r="E380" s="1"/>
    </row>
    <row r="381" ht="14.25" customHeight="1">
      <c r="A381" s="1">
        <v>100.0</v>
      </c>
      <c r="B381" s="1" t="s">
        <v>157</v>
      </c>
      <c r="C381" s="1">
        <v>10.0</v>
      </c>
      <c r="D381" s="1" t="s">
        <v>9</v>
      </c>
      <c r="E381" s="1" t="str">
        <f>IFERROR(__xludf.DUMMYFUNCTION("GOOGLETRANSLATE(D381,""PT"",""EN"")"),"10")</f>
        <v>10</v>
      </c>
    </row>
    <row r="382" ht="14.25" customHeight="1">
      <c r="A382" s="1">
        <v>33.0</v>
      </c>
      <c r="B382" s="1" t="s">
        <v>157</v>
      </c>
      <c r="C382" s="1">
        <v>0.0</v>
      </c>
      <c r="D382" s="1" t="s">
        <v>188</v>
      </c>
      <c r="E382" s="1" t="str">
        <f>IFERROR(__xludf.DUMMYFUNCTION("GOOGLETRANSLATE(D382,""PT"",""EN"")"),"Complicated ... the moment I need it most left me in hand ...")</f>
        <v>Complicated ... the moment I need it most left me in hand ...</v>
      </c>
    </row>
    <row r="383" ht="14.25" customHeight="1">
      <c r="A383" s="1">
        <v>100.0</v>
      </c>
      <c r="B383" s="1" t="s">
        <v>157</v>
      </c>
      <c r="C383" s="1">
        <v>10.0</v>
      </c>
      <c r="D383" s="2" t="s">
        <v>189</v>
      </c>
      <c r="E383" s="1" t="str">
        <f>IFERROR(__xludf.DUMMYFUNCTION("GOOGLETRANSLATE(D383,""PT"",""EN"")"),"The cooperative is very good, the service is great.")</f>
        <v>The cooperative is very good, the service is great.</v>
      </c>
    </row>
    <row r="384" ht="14.25" customHeight="1">
      <c r="A384" s="1">
        <v>66.0</v>
      </c>
      <c r="B384" s="1" t="s">
        <v>157</v>
      </c>
      <c r="C384" s="1">
        <v>7.0</v>
      </c>
      <c r="D384" s="1" t="s">
        <v>6</v>
      </c>
      <c r="E384" s="1"/>
    </row>
    <row r="385" ht="14.25" customHeight="1">
      <c r="A385" s="1">
        <v>100.0</v>
      </c>
      <c r="B385" s="1" t="s">
        <v>157</v>
      </c>
      <c r="C385" s="1">
        <v>10.0</v>
      </c>
      <c r="D385" s="1" t="s">
        <v>190</v>
      </c>
      <c r="E385" s="1" t="str">
        <f>IFERROR(__xludf.DUMMYFUNCTION("GOOGLETRANSLATE(D385,""PT"",""EN"")"),"Agility")</f>
        <v>Agility</v>
      </c>
    </row>
    <row r="386" ht="14.25" customHeight="1">
      <c r="A386" s="1">
        <v>66.0</v>
      </c>
      <c r="B386" s="1" t="s">
        <v>157</v>
      </c>
      <c r="C386" s="1">
        <v>8.0</v>
      </c>
      <c r="D386" s="2" t="s">
        <v>191</v>
      </c>
      <c r="E386" s="1" t="str">
        <f>IFERROR(__xludf.DUMMYFUNCTION("GOOGLETRANSLATE(D386,""PT"",""EN"")"),"ATM is missing in our city, making it very difficult for weekends to deposit money, having to go to another agency for online deposit ...")</f>
        <v>ATM is missing in our city, making it very difficult for weekends to deposit money, having to go to another agency for online deposit ...</v>
      </c>
    </row>
    <row r="387" ht="14.25" customHeight="1">
      <c r="A387" s="1">
        <v>100.0</v>
      </c>
      <c r="B387" s="1" t="s">
        <v>157</v>
      </c>
      <c r="C387" s="1">
        <v>10.0</v>
      </c>
      <c r="D387" s="1" t="s">
        <v>6</v>
      </c>
      <c r="E387" s="1"/>
    </row>
    <row r="388" ht="14.25" customHeight="1">
      <c r="A388" s="1">
        <v>100.0</v>
      </c>
      <c r="B388" s="1" t="s">
        <v>157</v>
      </c>
      <c r="C388" s="1">
        <v>10.0</v>
      </c>
      <c r="D388" s="1" t="s">
        <v>6</v>
      </c>
      <c r="E388" s="1"/>
    </row>
    <row r="389" ht="14.25" customHeight="1">
      <c r="A389" s="1">
        <v>100.0</v>
      </c>
      <c r="B389" s="1" t="s">
        <v>157</v>
      </c>
      <c r="C389" s="1">
        <v>10.0</v>
      </c>
      <c r="D389" s="1" t="s">
        <v>6</v>
      </c>
      <c r="E389" s="1"/>
    </row>
    <row r="390" ht="14.25" customHeight="1">
      <c r="A390" s="1">
        <v>100.0</v>
      </c>
      <c r="B390" s="1" t="s">
        <v>157</v>
      </c>
      <c r="C390" s="1">
        <v>10.0</v>
      </c>
      <c r="D390" s="1" t="s">
        <v>192</v>
      </c>
      <c r="E390" s="1" t="str">
        <f>IFERROR(__xludf.DUMMYFUNCTION("GOOGLETRANSLATE(D390,""PT"",""EN"")"),"Great")</f>
        <v>Great</v>
      </c>
    </row>
    <row r="391" ht="14.25" customHeight="1">
      <c r="A391" s="1">
        <v>100.0</v>
      </c>
      <c r="B391" s="1" t="s">
        <v>157</v>
      </c>
      <c r="C391" s="1">
        <v>10.0</v>
      </c>
      <c r="D391" s="1" t="s">
        <v>9</v>
      </c>
      <c r="E391" s="1" t="str">
        <f>IFERROR(__xludf.DUMMYFUNCTION("GOOGLETRANSLATE(D391,""PT"",""EN"")"),"10")</f>
        <v>10</v>
      </c>
    </row>
    <row r="392" ht="14.25" customHeight="1">
      <c r="A392" s="1">
        <v>66.0</v>
      </c>
      <c r="B392" s="1" t="s">
        <v>157</v>
      </c>
      <c r="C392" s="1">
        <v>8.0</v>
      </c>
      <c r="D392" s="1" t="s">
        <v>193</v>
      </c>
      <c r="E392" s="1" t="str">
        <f>IFERROR(__xludf.DUMMYFUNCTION("GOOGLETRANSLATE(D392,""PT"",""EN"")"),"no comments.")</f>
        <v>no comments.</v>
      </c>
    </row>
    <row r="393" ht="14.25" customHeight="1">
      <c r="A393" s="1">
        <v>100.0</v>
      </c>
      <c r="B393" s="1" t="s">
        <v>157</v>
      </c>
      <c r="C393" s="1">
        <v>10.0</v>
      </c>
      <c r="D393" s="1" t="s">
        <v>6</v>
      </c>
      <c r="E393" s="1"/>
    </row>
    <row r="394" ht="14.25" customHeight="1">
      <c r="A394" s="1">
        <v>100.0</v>
      </c>
      <c r="B394" s="1" t="s">
        <v>157</v>
      </c>
      <c r="C394" s="1">
        <v>10.0</v>
      </c>
      <c r="D394" s="2" t="s">
        <v>194</v>
      </c>
      <c r="E394" s="1" t="str">
        <f>IFERROR(__xludf.DUMMYFUNCTION("GOOGLETRANSLATE(D394,""PT"",""EN"")"),"Sicoob is a better financial institution, for the reception of the cooperative")</f>
        <v>Sicoob is a better financial institution, for the reception of the cooperative</v>
      </c>
    </row>
    <row r="395" ht="14.25" customHeight="1">
      <c r="A395" s="1">
        <v>33.0</v>
      </c>
      <c r="B395" s="1" t="s">
        <v>157</v>
      </c>
      <c r="C395" s="1">
        <v>4.0</v>
      </c>
      <c r="D395" s="1" t="s">
        <v>195</v>
      </c>
      <c r="E395" s="1" t="str">
        <f>IFERROR(__xludf.DUMMYFUNCTION("GOOGLETRANSLATE(D395,""PT"",""EN"")"),"4")</f>
        <v>4</v>
      </c>
    </row>
    <row r="396" ht="14.25" customHeight="1">
      <c r="A396" s="1">
        <v>100.0</v>
      </c>
      <c r="B396" s="1" t="s">
        <v>157</v>
      </c>
      <c r="C396" s="1">
        <v>10.0</v>
      </c>
      <c r="D396" s="2" t="s">
        <v>196</v>
      </c>
      <c r="E396" s="1" t="str">
        <f>IFERROR(__xludf.DUMMYFUNCTION("GOOGLETRANSLATE(D396,""PT"",""EN"")"),"Excellence in service is cordiality with the associates.")</f>
        <v>Excellence in service is cordiality with the associates.</v>
      </c>
    </row>
    <row r="397" ht="14.25" customHeight="1">
      <c r="A397" s="1">
        <v>100.0</v>
      </c>
      <c r="B397" s="1" t="s">
        <v>157</v>
      </c>
      <c r="C397" s="1">
        <v>10.0</v>
      </c>
      <c r="D397" s="1" t="s">
        <v>6</v>
      </c>
      <c r="E397" s="1"/>
    </row>
    <row r="398" ht="14.25" customHeight="1">
      <c r="A398" s="1">
        <v>100.0</v>
      </c>
      <c r="B398" s="1" t="s">
        <v>157</v>
      </c>
      <c r="C398" s="1">
        <v>9.0</v>
      </c>
      <c r="D398" s="1" t="s">
        <v>197</v>
      </c>
      <c r="E398" s="1" t="str">
        <f>IFERROR(__xludf.DUMMYFUNCTION("GOOGLETRANSLATE(D398,""PT"",""EN"")"),"Without much bureaucracy in service, the amount of significant tariffs buys less than other banking institutions ...")</f>
        <v>Without much bureaucracy in service, the amount of significant tariffs buys less than other banking institutions ...</v>
      </c>
    </row>
    <row r="399" ht="14.25" customHeight="1">
      <c r="A399" s="1">
        <v>100.0</v>
      </c>
      <c r="B399" s="1" t="s">
        <v>157</v>
      </c>
      <c r="C399" s="1">
        <v>9.0</v>
      </c>
      <c r="D399" s="1" t="s">
        <v>198</v>
      </c>
      <c r="E399" s="1" t="str">
        <f>IFERROR(__xludf.DUMMYFUNCTION("GOOGLETRANSLATE(D399,""PT"",""EN"")"),"Good bank")</f>
        <v>Good bank</v>
      </c>
    </row>
    <row r="400" ht="14.25" customHeight="1">
      <c r="A400" s="1">
        <v>100.0</v>
      </c>
      <c r="B400" s="1" t="s">
        <v>157</v>
      </c>
      <c r="C400" s="1">
        <v>9.0</v>
      </c>
      <c r="D400" s="1" t="s">
        <v>85</v>
      </c>
      <c r="E400" s="1" t="str">
        <f>IFERROR(__xludf.DUMMYFUNCTION("GOOGLETRANSLATE(D400,""PT"",""EN"")"),"Service")</f>
        <v>Service</v>
      </c>
    </row>
    <row r="401" ht="14.25" customHeight="1">
      <c r="A401" s="1">
        <v>33.0</v>
      </c>
      <c r="B401" s="1" t="s">
        <v>157</v>
      </c>
      <c r="C401" s="1">
        <v>0.0</v>
      </c>
      <c r="D401" s="1" t="s">
        <v>6</v>
      </c>
      <c r="E401" s="1"/>
    </row>
    <row r="402" ht="14.25" customHeight="1">
      <c r="A402" s="1">
        <v>100.0</v>
      </c>
      <c r="B402" s="1" t="s">
        <v>157</v>
      </c>
      <c r="C402" s="1">
        <v>10.0</v>
      </c>
      <c r="D402" s="1" t="s">
        <v>6</v>
      </c>
      <c r="E402" s="1"/>
    </row>
    <row r="403" ht="14.25" customHeight="1">
      <c r="A403" s="1">
        <v>33.0</v>
      </c>
      <c r="B403" s="1" t="s">
        <v>157</v>
      </c>
      <c r="C403" s="1">
        <v>0.0</v>
      </c>
      <c r="D403" s="2" t="s">
        <v>199</v>
      </c>
      <c r="E403" s="1" t="str">
        <f>IFERROR(__xludf.DUMMYFUNCTION("GOOGLETRANSLATE(D403,""PT"",""EN"")"),"Simply said something that did not happen, they said that the consortium, if it gave a certain value in the bid I would be contemplated, has been 4 months is so far nothing, already increased the value is still not, I need urgency because I need him for w"&amp;"ork")</f>
        <v>Simply said something that did not happen, they said that the consortium, if it gave a certain value in the bid I would be contemplated, has been 4 months is so far nothing, already increased the value is still not, I need urgency because I need him for work</v>
      </c>
    </row>
    <row r="404" ht="14.25" customHeight="1">
      <c r="A404" s="1">
        <v>100.0</v>
      </c>
      <c r="B404" s="1" t="s">
        <v>157</v>
      </c>
      <c r="C404" s="1">
        <v>10.0</v>
      </c>
      <c r="D404" s="1" t="s">
        <v>6</v>
      </c>
      <c r="E404" s="1"/>
    </row>
    <row r="405" ht="14.25" customHeight="1">
      <c r="A405" s="1">
        <v>33.0</v>
      </c>
      <c r="B405" s="1" t="s">
        <v>157</v>
      </c>
      <c r="C405" s="1">
        <v>0.0</v>
      </c>
      <c r="D405" s="1" t="s">
        <v>6</v>
      </c>
      <c r="E405" s="1"/>
    </row>
    <row r="406" ht="14.25" customHeight="1">
      <c r="A406" s="1">
        <v>66.0</v>
      </c>
      <c r="B406" s="1" t="s">
        <v>157</v>
      </c>
      <c r="C406" s="1">
        <v>7.0</v>
      </c>
      <c r="D406" s="1" t="s">
        <v>6</v>
      </c>
      <c r="E406" s="1"/>
    </row>
    <row r="407" ht="14.25" customHeight="1">
      <c r="A407" s="1">
        <v>100.0</v>
      </c>
      <c r="B407" s="1" t="s">
        <v>157</v>
      </c>
      <c r="C407" s="1">
        <v>10.0</v>
      </c>
      <c r="D407" s="1" t="s">
        <v>85</v>
      </c>
      <c r="E407" s="1" t="str">
        <f>IFERROR(__xludf.DUMMYFUNCTION("GOOGLETRANSLATE(D407,""PT"",""EN"")"),"Service")</f>
        <v>Service</v>
      </c>
    </row>
    <row r="408" ht="14.25" customHeight="1">
      <c r="A408" s="1">
        <v>100.0</v>
      </c>
      <c r="B408" s="1" t="s">
        <v>157</v>
      </c>
      <c r="C408" s="1">
        <v>10.0</v>
      </c>
      <c r="D408" s="1" t="s">
        <v>6</v>
      </c>
      <c r="E408" s="1"/>
    </row>
    <row r="409" ht="14.25" customHeight="1">
      <c r="A409" s="1">
        <v>100.0</v>
      </c>
      <c r="B409" s="1" t="s">
        <v>157</v>
      </c>
      <c r="C409" s="1">
        <v>10.0</v>
      </c>
      <c r="D409" s="2" t="s">
        <v>200</v>
      </c>
      <c r="E409" s="1" t="str">
        <f>IFERROR(__xludf.DUMMYFUNCTION("GOOGLETRANSLATE(D409,""PT"",""EN"")"),"Presctative service is easy -to -handle applications.")</f>
        <v>Presctative service is easy -to -handle applications.</v>
      </c>
    </row>
    <row r="410" ht="14.25" customHeight="1">
      <c r="A410" s="1">
        <v>100.0</v>
      </c>
      <c r="B410" s="1" t="s">
        <v>157</v>
      </c>
      <c r="C410" s="1">
        <v>10.0</v>
      </c>
      <c r="D410" s="1" t="s">
        <v>6</v>
      </c>
      <c r="E410" s="1"/>
    </row>
    <row r="411" ht="14.25" customHeight="1">
      <c r="A411" s="1">
        <v>100.0</v>
      </c>
      <c r="B411" s="1" t="s">
        <v>157</v>
      </c>
      <c r="C411" s="1">
        <v>10.0</v>
      </c>
      <c r="D411" s="1" t="s">
        <v>6</v>
      </c>
      <c r="E411" s="1"/>
    </row>
    <row r="412" ht="14.25" customHeight="1">
      <c r="A412" s="1">
        <v>100.0</v>
      </c>
      <c r="B412" s="1" t="s">
        <v>157</v>
      </c>
      <c r="C412" s="1">
        <v>10.0</v>
      </c>
      <c r="D412" s="1" t="s">
        <v>6</v>
      </c>
      <c r="E412" s="1"/>
    </row>
    <row r="413" ht="14.25" customHeight="1">
      <c r="A413" s="1">
        <v>33.0</v>
      </c>
      <c r="B413" s="1" t="s">
        <v>157</v>
      </c>
      <c r="C413" s="1">
        <v>0.0</v>
      </c>
      <c r="D413" s="2" t="s">
        <v>201</v>
      </c>
      <c r="E413" s="1" t="str">
        <f>IFERROR(__xludf.DUMMYFUNCTION("GOOGLETRANSLATE(D413,""PT"",""EN"")"),"My request was not met.")</f>
        <v>My request was not met.</v>
      </c>
    </row>
    <row r="414" ht="14.25" customHeight="1">
      <c r="A414" s="1">
        <v>100.0</v>
      </c>
      <c r="B414" s="1" t="s">
        <v>157</v>
      </c>
      <c r="C414" s="1">
        <v>10.0</v>
      </c>
      <c r="D414" s="2" t="s">
        <v>202</v>
      </c>
      <c r="E414" s="1" t="str">
        <f>IFERROR(__xludf.DUMMYFUNCTION("GOOGLETRANSLATE(D414,""PT"",""EN"")"),"Great service is very good offers!")</f>
        <v>Great service is very good offers!</v>
      </c>
    </row>
    <row r="415" ht="14.25" customHeight="1">
      <c r="A415" s="1">
        <v>100.0</v>
      </c>
      <c r="B415" s="1" t="s">
        <v>157</v>
      </c>
      <c r="C415" s="1">
        <v>10.0</v>
      </c>
      <c r="D415" s="1" t="s">
        <v>6</v>
      </c>
      <c r="E415" s="1"/>
    </row>
    <row r="416" ht="14.25" customHeight="1">
      <c r="A416" s="1">
        <v>100.0</v>
      </c>
      <c r="B416" s="1" t="s">
        <v>157</v>
      </c>
      <c r="C416" s="1">
        <v>10.0</v>
      </c>
      <c r="D416" s="1" t="s">
        <v>6</v>
      </c>
      <c r="E416" s="1"/>
    </row>
    <row r="417" ht="14.25" customHeight="1">
      <c r="A417" s="1">
        <v>100.0</v>
      </c>
      <c r="B417" s="1" t="s">
        <v>157</v>
      </c>
      <c r="C417" s="1">
        <v>10.0</v>
      </c>
      <c r="D417" s="1" t="s">
        <v>6</v>
      </c>
      <c r="E417" s="1"/>
    </row>
    <row r="418" ht="14.25" customHeight="1">
      <c r="A418" s="1">
        <v>100.0</v>
      </c>
      <c r="B418" s="1" t="s">
        <v>157</v>
      </c>
      <c r="C418" s="1">
        <v>10.0</v>
      </c>
      <c r="D418" s="1" t="s">
        <v>203</v>
      </c>
      <c r="E418" s="1" t="str">
        <f>IFERROR(__xludf.DUMMYFUNCTION("GOOGLETRANSLATE(D418,""PT"",""EN"")"),"Very satisfied")</f>
        <v>Very satisfied</v>
      </c>
    </row>
    <row r="419" ht="14.25" customHeight="1">
      <c r="A419" s="1">
        <v>100.0</v>
      </c>
      <c r="B419" s="1" t="s">
        <v>157</v>
      </c>
      <c r="C419" s="1">
        <v>10.0</v>
      </c>
      <c r="D419" s="1" t="s">
        <v>9</v>
      </c>
      <c r="E419" s="1" t="str">
        <f>IFERROR(__xludf.DUMMYFUNCTION("GOOGLETRANSLATE(D419,""PT"",""EN"")"),"10")</f>
        <v>10</v>
      </c>
    </row>
    <row r="420" ht="14.25" customHeight="1">
      <c r="A420" s="1">
        <v>100.0</v>
      </c>
      <c r="B420" s="1" t="s">
        <v>157</v>
      </c>
      <c r="C420" s="1">
        <v>9.0</v>
      </c>
      <c r="D420" s="1" t="s">
        <v>6</v>
      </c>
      <c r="E420" s="1"/>
    </row>
    <row r="421" ht="14.25" customHeight="1">
      <c r="A421" s="1">
        <v>100.0</v>
      </c>
      <c r="B421" s="1" t="s">
        <v>157</v>
      </c>
      <c r="C421" s="1">
        <v>10.0</v>
      </c>
      <c r="D421" s="2" t="s">
        <v>204</v>
      </c>
      <c r="E421" s="1" t="str">
        <f>IFERROR(__xludf.DUMMYFUNCTION("GOOGLETRANSLATE(D421,""PT"",""EN"")"),"It is because they have always made me available to all products is services that the bank offers, besides being cheaper financially.")</f>
        <v>It is because they have always made me available to all products is services that the bank offers, besides being cheaper financially.</v>
      </c>
    </row>
    <row r="422" ht="14.25" customHeight="1">
      <c r="A422" s="1">
        <v>100.0</v>
      </c>
      <c r="B422" s="1" t="s">
        <v>157</v>
      </c>
      <c r="C422" s="1">
        <v>10.0</v>
      </c>
      <c r="D422" s="1" t="s">
        <v>6</v>
      </c>
      <c r="E422" s="1"/>
    </row>
    <row r="423" ht="14.25" customHeight="1">
      <c r="A423" s="1">
        <v>100.0</v>
      </c>
      <c r="B423" s="1" t="s">
        <v>157</v>
      </c>
      <c r="C423" s="1">
        <v>10.0</v>
      </c>
      <c r="D423" s="2" t="s">
        <v>205</v>
      </c>
      <c r="E423" s="1" t="str">
        <f>IFERROR(__xludf.DUMMYFUNCTION("GOOGLETRANSLATE(D423,""PT"",""EN"")"),"Institution would be where you as a partner has easy access, besides the credibility")</f>
        <v>Institution would be where you as a partner has easy access, besides the credibility</v>
      </c>
    </row>
    <row r="424" ht="14.25" customHeight="1">
      <c r="A424" s="1">
        <v>100.0</v>
      </c>
      <c r="B424" s="1" t="s">
        <v>157</v>
      </c>
      <c r="C424" s="1">
        <v>10.0</v>
      </c>
      <c r="D424" s="2" t="s">
        <v>206</v>
      </c>
      <c r="E424" s="1" t="str">
        <f>IFERROR(__xludf.DUMMYFUNCTION("GOOGLETRANSLATE(D424,""PT"",""EN"")"),"Everything fast is easy")</f>
        <v>Everything fast is easy</v>
      </c>
    </row>
    <row r="425" ht="14.25" customHeight="1">
      <c r="A425" s="1">
        <v>100.0</v>
      </c>
      <c r="B425" s="1" t="s">
        <v>157</v>
      </c>
      <c r="C425" s="1">
        <v>10.0</v>
      </c>
      <c r="D425" s="1" t="s">
        <v>207</v>
      </c>
      <c r="E425" s="1" t="str">
        <f>IFERROR(__xludf.DUMMYFUNCTION("GOOGLETRANSLATE(D425,""PT"",""EN"")"),"Your service")</f>
        <v>Your service</v>
      </c>
    </row>
    <row r="426" ht="14.25" customHeight="1">
      <c r="A426" s="1">
        <v>66.0</v>
      </c>
      <c r="B426" s="1" t="s">
        <v>157</v>
      </c>
      <c r="C426" s="1">
        <v>8.0</v>
      </c>
      <c r="D426" s="2" t="s">
        <v>208</v>
      </c>
      <c r="E426" s="1" t="str">
        <f>IFERROR(__xludf.DUMMYFUNCTION("GOOGLETRANSLATE(D426,""PT"",""EN"")"),"excellent")</f>
        <v>excellent</v>
      </c>
    </row>
    <row r="427" ht="14.25" customHeight="1">
      <c r="A427" s="1">
        <v>100.0</v>
      </c>
      <c r="B427" s="1" t="s">
        <v>157</v>
      </c>
      <c r="C427" s="1">
        <v>9.0</v>
      </c>
      <c r="D427" s="1" t="s">
        <v>6</v>
      </c>
      <c r="E427" s="1"/>
    </row>
    <row r="428" ht="14.25" customHeight="1">
      <c r="A428" s="1">
        <v>66.0</v>
      </c>
      <c r="B428" s="1" t="s">
        <v>157</v>
      </c>
      <c r="C428" s="1">
        <v>7.0</v>
      </c>
      <c r="D428" s="2" t="s">
        <v>209</v>
      </c>
      <c r="E428" s="1" t="str">
        <f>IFERROR(__xludf.DUMMYFUNCTION("GOOGLETRANSLATE(D428,""PT"",""EN"")"),"It has nothing to say")</f>
        <v>It has nothing to say</v>
      </c>
    </row>
    <row r="429" ht="14.25" customHeight="1">
      <c r="A429" s="1">
        <v>100.0</v>
      </c>
      <c r="B429" s="1" t="s">
        <v>157</v>
      </c>
      <c r="C429" s="1">
        <v>10.0</v>
      </c>
      <c r="D429" s="1" t="s">
        <v>6</v>
      </c>
      <c r="E429" s="1"/>
    </row>
    <row r="430" ht="14.25" customHeight="1">
      <c r="A430" s="1">
        <v>33.0</v>
      </c>
      <c r="B430" s="1" t="s">
        <v>157</v>
      </c>
      <c r="C430" s="1">
        <v>6.0</v>
      </c>
      <c r="D430" s="1" t="s">
        <v>6</v>
      </c>
      <c r="E430" s="1"/>
    </row>
    <row r="431" ht="14.25" customHeight="1">
      <c r="A431" s="1">
        <v>100.0</v>
      </c>
      <c r="B431" s="1" t="s">
        <v>157</v>
      </c>
      <c r="C431" s="1">
        <v>10.0</v>
      </c>
      <c r="D431" s="1" t="s">
        <v>37</v>
      </c>
      <c r="E431" s="1" t="str">
        <f>IFERROR(__xludf.DUMMYFUNCTION("GOOGLETRANSLATE(D431,""PT"",""EN"")"),"Great service")</f>
        <v>Great service</v>
      </c>
    </row>
    <row r="432" ht="14.25" customHeight="1">
      <c r="A432" s="1">
        <v>100.0</v>
      </c>
      <c r="B432" s="1" t="s">
        <v>157</v>
      </c>
      <c r="C432" s="1">
        <v>10.0</v>
      </c>
      <c r="D432" s="1" t="s">
        <v>6</v>
      </c>
      <c r="E432" s="1"/>
    </row>
    <row r="433" ht="14.25" customHeight="1">
      <c r="A433" s="1">
        <v>100.0</v>
      </c>
      <c r="B433" s="1" t="s">
        <v>157</v>
      </c>
      <c r="C433" s="1">
        <v>10.0</v>
      </c>
      <c r="D433" s="1" t="s">
        <v>6</v>
      </c>
      <c r="E433" s="1"/>
    </row>
    <row r="434" ht="14.25" customHeight="1">
      <c r="A434" s="1">
        <v>100.0</v>
      </c>
      <c r="B434" s="1" t="s">
        <v>157</v>
      </c>
      <c r="C434" s="1">
        <v>10.0</v>
      </c>
      <c r="D434" s="1" t="s">
        <v>152</v>
      </c>
      <c r="E434" s="1" t="str">
        <f>IFERROR(__xludf.DUMMYFUNCTION("GOOGLETRANSLATE(D434,""PT"",""EN"")"),"Great service!")</f>
        <v>Great service!</v>
      </c>
    </row>
    <row r="435" ht="14.25" customHeight="1">
      <c r="A435" s="1">
        <v>100.0</v>
      </c>
      <c r="B435" s="1" t="s">
        <v>157</v>
      </c>
      <c r="C435" s="1">
        <v>10.0</v>
      </c>
      <c r="D435" s="1" t="s">
        <v>6</v>
      </c>
      <c r="E435" s="1"/>
    </row>
    <row r="436" ht="14.25" customHeight="1">
      <c r="A436" s="1">
        <v>100.0</v>
      </c>
      <c r="B436" s="1" t="s">
        <v>157</v>
      </c>
      <c r="C436" s="1">
        <v>10.0</v>
      </c>
      <c r="D436" s="1" t="s">
        <v>6</v>
      </c>
      <c r="E436" s="1"/>
    </row>
    <row r="437" ht="14.25" customHeight="1">
      <c r="A437" s="1">
        <v>100.0</v>
      </c>
      <c r="B437" s="1" t="s">
        <v>157</v>
      </c>
      <c r="C437" s="1">
        <v>10.0</v>
      </c>
      <c r="D437" s="2" t="s">
        <v>97</v>
      </c>
      <c r="E437" s="1" t="str">
        <f>IFERROR(__xludf.DUMMYFUNCTION("GOOGLETRANSLATE(D437,""PT"",""EN"")"),"Excellent")</f>
        <v>Excellent</v>
      </c>
    </row>
    <row r="438" ht="14.25" customHeight="1">
      <c r="A438" s="1">
        <v>100.0</v>
      </c>
      <c r="B438" s="1" t="s">
        <v>157</v>
      </c>
      <c r="C438" s="1">
        <v>10.0</v>
      </c>
      <c r="D438" s="1" t="s">
        <v>210</v>
      </c>
      <c r="E438" s="1" t="str">
        <f>IFERROR(__xludf.DUMMYFUNCTION("GOOGLETRANSLATE(D438,""PT"",""EN"")"),"Ten minutes good")</f>
        <v>Ten minutes good</v>
      </c>
    </row>
    <row r="439" ht="14.25" customHeight="1">
      <c r="A439" s="1">
        <v>100.0</v>
      </c>
      <c r="B439" s="1" t="s">
        <v>157</v>
      </c>
      <c r="C439" s="1">
        <v>10.0</v>
      </c>
      <c r="D439" s="1" t="s">
        <v>211</v>
      </c>
      <c r="E439" s="1" t="str">
        <f>IFERROR(__xludf.DUMMYFUNCTION("GOOGLETRANSLATE(D439,""PT"",""EN"")"),"You are great")</f>
        <v>You are great</v>
      </c>
    </row>
    <row r="440" ht="14.25" customHeight="1">
      <c r="A440" s="1">
        <v>33.0</v>
      </c>
      <c r="B440" s="1" t="s">
        <v>157</v>
      </c>
      <c r="C440" s="1">
        <v>0.0</v>
      </c>
      <c r="D440" s="2" t="s">
        <v>212</v>
      </c>
      <c r="E440" s="1" t="str">
        <f>IFERROR(__xludf.DUMMYFUNCTION("GOOGLETRANSLATE(D440,""PT"",""EN"")"),"Because everything is difficult. You can't redo the online password, you can't cancel the account except at the agency.")</f>
        <v>Because everything is difficult. You can't redo the online password, you can't cancel the account except at the agency.</v>
      </c>
    </row>
    <row r="441" ht="14.25" customHeight="1">
      <c r="A441" s="1">
        <v>100.0</v>
      </c>
      <c r="B441" s="1" t="s">
        <v>157</v>
      </c>
      <c r="C441" s="1">
        <v>10.0</v>
      </c>
      <c r="D441" s="1" t="s">
        <v>213</v>
      </c>
      <c r="E441" s="1" t="str">
        <f>IFERROR(__xludf.DUMMYFUNCTION("GOOGLETRANSLATE(D441,""PT"",""EN"")"),"Bank 10")</f>
        <v>Bank 10</v>
      </c>
    </row>
    <row r="442" ht="14.25" customHeight="1">
      <c r="A442" s="1">
        <v>100.0</v>
      </c>
      <c r="B442" s="1" t="s">
        <v>157</v>
      </c>
      <c r="C442" s="1">
        <v>10.0</v>
      </c>
      <c r="D442" s="1" t="s">
        <v>37</v>
      </c>
      <c r="E442" s="1" t="str">
        <f>IFERROR(__xludf.DUMMYFUNCTION("GOOGLETRANSLATE(D442,""PT"",""EN"")"),"Great service")</f>
        <v>Great service</v>
      </c>
    </row>
    <row r="443" ht="14.25" customHeight="1">
      <c r="A443" s="1">
        <v>66.0</v>
      </c>
      <c r="B443" s="1" t="s">
        <v>157</v>
      </c>
      <c r="C443" s="1">
        <v>8.0</v>
      </c>
      <c r="D443" s="1" t="s">
        <v>6</v>
      </c>
      <c r="E443" s="1"/>
    </row>
    <row r="444" ht="14.25" customHeight="1">
      <c r="A444" s="1">
        <v>100.0</v>
      </c>
      <c r="B444" s="1" t="s">
        <v>157</v>
      </c>
      <c r="C444" s="1">
        <v>10.0</v>
      </c>
      <c r="D444" s="1" t="s">
        <v>6</v>
      </c>
      <c r="E444" s="1"/>
    </row>
    <row r="445" ht="14.25" customHeight="1">
      <c r="A445" s="1">
        <v>100.0</v>
      </c>
      <c r="B445" s="1" t="s">
        <v>157</v>
      </c>
      <c r="C445" s="1">
        <v>10.0</v>
      </c>
      <c r="D445" s="1" t="s">
        <v>6</v>
      </c>
      <c r="E445" s="1"/>
    </row>
    <row r="446" ht="14.25" customHeight="1">
      <c r="A446" s="1">
        <v>33.0</v>
      </c>
      <c r="B446" s="1" t="s">
        <v>157</v>
      </c>
      <c r="C446" s="1">
        <v>3.0</v>
      </c>
      <c r="D446" s="2" t="s">
        <v>214</v>
      </c>
      <c r="E446" s="1" t="str">
        <f>IFERROR(__xludf.DUMMYFUNCTION("GOOGLETRANSLATE(D446,""PT"",""EN"")"),"I am an account holder, I have a good movement is needed $ 7,000.00 bigger bureaucracy, Nubank without me asking released me $ 15,000.00 I will only pay the card is I will cancel my account.")</f>
        <v>I am an account holder, I have a good movement is needed $ 7,000.00 bigger bureaucracy, Nubank without me asking released me $ 15,000.00 I will only pay the card is I will cancel my account.</v>
      </c>
    </row>
    <row r="447" ht="14.25" customHeight="1">
      <c r="A447" s="1">
        <v>100.0</v>
      </c>
      <c r="B447" s="1" t="s">
        <v>157</v>
      </c>
      <c r="C447" s="1">
        <v>10.0</v>
      </c>
      <c r="D447" s="1" t="s">
        <v>215</v>
      </c>
      <c r="E447" s="1" t="str">
        <f>IFERROR(__xludf.DUMMYFUNCTION("GOOGLETRANSLATE(D447,""PT"",""EN"")"),"Excellence")</f>
        <v>Excellence</v>
      </c>
    </row>
    <row r="448" ht="14.25" customHeight="1">
      <c r="A448" s="1">
        <v>100.0</v>
      </c>
      <c r="B448" s="1" t="s">
        <v>157</v>
      </c>
      <c r="C448" s="1">
        <v>10.0</v>
      </c>
      <c r="D448" s="2" t="s">
        <v>216</v>
      </c>
      <c r="E448" s="1" t="str">
        <f>IFERROR(__xludf.DUMMYFUNCTION("GOOGLETRANSLATE(D448,""PT"",""EN"")"),"Speed ​​is good service")</f>
        <v>Speed ​​is good service</v>
      </c>
    </row>
    <row r="449" ht="14.25" customHeight="1">
      <c r="A449" s="1">
        <v>100.0</v>
      </c>
      <c r="B449" s="1" t="s">
        <v>157</v>
      </c>
      <c r="C449" s="1">
        <v>10.0</v>
      </c>
      <c r="D449" s="1" t="s">
        <v>6</v>
      </c>
      <c r="E449" s="1"/>
    </row>
    <row r="450" ht="14.25" customHeight="1">
      <c r="A450" s="1">
        <v>100.0</v>
      </c>
      <c r="B450" s="1" t="s">
        <v>157</v>
      </c>
      <c r="C450" s="1">
        <v>10.0</v>
      </c>
      <c r="D450" s="2" t="s">
        <v>217</v>
      </c>
      <c r="E450" s="1" t="str">
        <f>IFERROR(__xludf.DUMMYFUNCTION("GOOGLETRANSLATE(D450,""PT"",""EN"")"),"Great service is attention that has with the cooperative.")</f>
        <v>Great service is attention that has with the cooperative.</v>
      </c>
    </row>
    <row r="451" ht="14.25" customHeight="1">
      <c r="A451" s="1">
        <v>66.0</v>
      </c>
      <c r="B451" s="1" t="s">
        <v>157</v>
      </c>
      <c r="C451" s="1">
        <v>8.0</v>
      </c>
      <c r="D451" s="1" t="s">
        <v>6</v>
      </c>
      <c r="E451" s="1"/>
    </row>
    <row r="452" ht="14.25" customHeight="1">
      <c r="A452" s="1">
        <v>100.0</v>
      </c>
      <c r="B452" s="1" t="s">
        <v>157</v>
      </c>
      <c r="C452" s="1">
        <v>10.0</v>
      </c>
      <c r="D452" s="1" t="s">
        <v>6</v>
      </c>
      <c r="E452" s="1"/>
    </row>
    <row r="453" ht="14.25" customHeight="1">
      <c r="A453" s="1">
        <v>100.0</v>
      </c>
      <c r="B453" s="1" t="s">
        <v>157</v>
      </c>
      <c r="C453" s="1">
        <v>10.0</v>
      </c>
      <c r="D453" s="1" t="s">
        <v>62</v>
      </c>
      <c r="E453" s="1" t="str">
        <f>IFERROR(__xludf.DUMMYFUNCTION("GOOGLETRANSLATE(D453,""PT"",""EN"")"),"Good service")</f>
        <v>Good service</v>
      </c>
    </row>
    <row r="454" ht="14.25" customHeight="1">
      <c r="A454" s="1">
        <v>66.0</v>
      </c>
      <c r="B454" s="1" t="s">
        <v>157</v>
      </c>
      <c r="C454" s="1">
        <v>7.0</v>
      </c>
      <c r="D454" s="1" t="s">
        <v>20</v>
      </c>
      <c r="E454" s="1" t="str">
        <f>IFERROR(__xludf.DUMMYFUNCTION("GOOGLETRANSLATE(D454,""PT"",""EN"")"),"Very good")</f>
        <v>Very good</v>
      </c>
    </row>
    <row r="455" ht="14.25" customHeight="1">
      <c r="A455" s="1">
        <v>100.0</v>
      </c>
      <c r="B455" s="1" t="s">
        <v>157</v>
      </c>
      <c r="C455" s="1">
        <v>10.0</v>
      </c>
      <c r="D455" s="2" t="s">
        <v>218</v>
      </c>
      <c r="E455" s="1" t="str">
        <f>IFERROR(__xludf.DUMMYFUNCTION("GOOGLETRANSLATE(D455,""PT"",""EN"")"),"It is a bank that is very close to the customer is the face -to -face service. This makes the difference!")</f>
        <v>It is a bank that is very close to the customer is the face -to -face service. This makes the difference!</v>
      </c>
    </row>
    <row r="456" ht="14.25" customHeight="1">
      <c r="A456" s="1">
        <v>100.0</v>
      </c>
      <c r="B456" s="1" t="s">
        <v>157</v>
      </c>
      <c r="C456" s="1">
        <v>10.0</v>
      </c>
      <c r="D456" s="1" t="s">
        <v>6</v>
      </c>
      <c r="E456" s="1"/>
    </row>
    <row r="457" ht="14.25" customHeight="1">
      <c r="A457" s="1">
        <v>100.0</v>
      </c>
      <c r="B457" s="1" t="s">
        <v>157</v>
      </c>
      <c r="C457" s="1">
        <v>10.0</v>
      </c>
      <c r="D457" s="1" t="s">
        <v>6</v>
      </c>
      <c r="E457" s="1"/>
    </row>
    <row r="458" ht="14.25" customHeight="1">
      <c r="A458" s="1">
        <v>66.0</v>
      </c>
      <c r="B458" s="1" t="s">
        <v>157</v>
      </c>
      <c r="C458" s="1">
        <v>8.0</v>
      </c>
      <c r="D458" s="1" t="s">
        <v>6</v>
      </c>
      <c r="E458" s="1"/>
    </row>
    <row r="459" ht="14.25" customHeight="1">
      <c r="A459" s="1">
        <v>100.0</v>
      </c>
      <c r="B459" s="1" t="s">
        <v>157</v>
      </c>
      <c r="C459" s="1">
        <v>10.0</v>
      </c>
      <c r="D459" s="1" t="s">
        <v>6</v>
      </c>
      <c r="E459" s="1"/>
    </row>
    <row r="460" ht="14.25" customHeight="1">
      <c r="A460" s="1">
        <v>33.0</v>
      </c>
      <c r="B460" s="1" t="s">
        <v>157</v>
      </c>
      <c r="C460" s="1">
        <v>2.0</v>
      </c>
      <c r="D460" s="1" t="s">
        <v>6</v>
      </c>
      <c r="E460" s="1"/>
    </row>
    <row r="461" ht="14.25" customHeight="1">
      <c r="A461" s="1">
        <v>66.0</v>
      </c>
      <c r="B461" s="1" t="s">
        <v>157</v>
      </c>
      <c r="C461" s="1">
        <v>8.0</v>
      </c>
      <c r="D461" s="1" t="s">
        <v>6</v>
      </c>
      <c r="E461" s="1"/>
    </row>
    <row r="462" ht="14.25" customHeight="1">
      <c r="A462" s="1">
        <v>33.0</v>
      </c>
      <c r="B462" s="1" t="s">
        <v>157</v>
      </c>
      <c r="C462" s="1">
        <v>0.0</v>
      </c>
      <c r="D462" s="2" t="s">
        <v>219</v>
      </c>
      <c r="E462" s="1" t="str">
        <f>IFERROR(__xludf.DUMMYFUNCTION("GOOGLETRANSLATE(D462,""PT"",""EN"")"),"terrible attendance")</f>
        <v>terrible attendance</v>
      </c>
    </row>
    <row r="463" ht="14.25" customHeight="1">
      <c r="A463" s="1">
        <v>33.0</v>
      </c>
      <c r="B463" s="1" t="s">
        <v>157</v>
      </c>
      <c r="C463" s="1">
        <v>4.0</v>
      </c>
      <c r="D463" s="2" t="s">
        <v>220</v>
      </c>
      <c r="E463" s="1" t="str">
        <f>IFERROR(__xludf.DUMMYFUNCTION("GOOGLETRANSLATE(D463,""PT"",""EN"")"),"I have a problem with the cardboards, they are giving a lot of confusion.")</f>
        <v>I have a problem with the cardboards, they are giving a lot of confusion.</v>
      </c>
    </row>
    <row r="464" ht="14.25" customHeight="1">
      <c r="A464" s="1">
        <v>100.0</v>
      </c>
      <c r="B464" s="1" t="s">
        <v>157</v>
      </c>
      <c r="C464" s="1">
        <v>10.0</v>
      </c>
      <c r="D464" s="1" t="s">
        <v>221</v>
      </c>
      <c r="E464" s="1" t="str">
        <f>IFERROR(__xludf.DUMMYFUNCTION("GOOGLETRANSLATE(D464,""PT"",""EN"")"),"Wonderful Bank")</f>
        <v>Wonderful Bank</v>
      </c>
    </row>
    <row r="465" ht="14.25" customHeight="1">
      <c r="A465" s="1">
        <v>33.0</v>
      </c>
      <c r="B465" s="1" t="s">
        <v>157</v>
      </c>
      <c r="C465" s="1">
        <v>4.0</v>
      </c>
      <c r="D465" s="1" t="s">
        <v>6</v>
      </c>
      <c r="E465" s="1"/>
    </row>
    <row r="466" ht="14.25" customHeight="1">
      <c r="A466" s="1">
        <v>100.0</v>
      </c>
      <c r="B466" s="1" t="s">
        <v>157</v>
      </c>
      <c r="C466" s="1">
        <v>10.0</v>
      </c>
      <c r="D466" s="1" t="s">
        <v>6</v>
      </c>
      <c r="E466" s="1"/>
    </row>
    <row r="467" ht="14.25" customHeight="1">
      <c r="A467" s="1">
        <v>100.0</v>
      </c>
      <c r="B467" s="1" t="s">
        <v>157</v>
      </c>
      <c r="C467" s="1">
        <v>10.0</v>
      </c>
      <c r="D467" s="2" t="s">
        <v>222</v>
      </c>
      <c r="E467" s="1" t="str">
        <f>IFERROR(__xludf.DUMMYFUNCTION("GOOGLETRANSLATE(D467,""PT"",""EN"")"),"The attendants are very attentive")</f>
        <v>The attendants are very attentive</v>
      </c>
    </row>
    <row r="468" ht="14.25" customHeight="1">
      <c r="A468" s="1">
        <v>100.0</v>
      </c>
      <c r="B468" s="1" t="s">
        <v>157</v>
      </c>
      <c r="C468" s="1">
        <v>10.0</v>
      </c>
      <c r="D468" s="1" t="s">
        <v>223</v>
      </c>
      <c r="E468" s="1" t="str">
        <f>IFERROR(__xludf.DUMMYFUNCTION("GOOGLETRANSLATE(D468,""PT"",""EN"")"),"Excellent customer service.")</f>
        <v>Excellent customer service.</v>
      </c>
    </row>
    <row r="469" ht="14.25" customHeight="1">
      <c r="A469" s="1">
        <v>100.0</v>
      </c>
      <c r="B469" s="1" t="s">
        <v>157</v>
      </c>
      <c r="C469" s="1">
        <v>10.0</v>
      </c>
      <c r="D469" s="1" t="s">
        <v>6</v>
      </c>
      <c r="E469" s="1"/>
    </row>
    <row r="470" ht="14.25" customHeight="1">
      <c r="A470" s="1">
        <v>100.0</v>
      </c>
      <c r="B470" s="1" t="s">
        <v>157</v>
      </c>
      <c r="C470" s="1">
        <v>10.0</v>
      </c>
      <c r="D470" s="1" t="s">
        <v>6</v>
      </c>
      <c r="E470" s="1"/>
    </row>
    <row r="471" ht="14.25" customHeight="1">
      <c r="A471" s="1">
        <v>100.0</v>
      </c>
      <c r="B471" s="1" t="s">
        <v>157</v>
      </c>
      <c r="C471" s="1">
        <v>10.0</v>
      </c>
      <c r="D471" s="1" t="s">
        <v>6</v>
      </c>
      <c r="E471" s="1"/>
    </row>
    <row r="472" ht="14.25" customHeight="1">
      <c r="A472" s="1">
        <v>100.0</v>
      </c>
      <c r="B472" s="1" t="s">
        <v>157</v>
      </c>
      <c r="C472" s="1">
        <v>10.0</v>
      </c>
      <c r="D472" s="1" t="s">
        <v>6</v>
      </c>
      <c r="E472" s="1"/>
    </row>
    <row r="473" ht="14.25" customHeight="1">
      <c r="A473" s="1">
        <v>100.0</v>
      </c>
      <c r="B473" s="1" t="s">
        <v>157</v>
      </c>
      <c r="C473" s="1">
        <v>10.0</v>
      </c>
      <c r="D473" s="1" t="s">
        <v>6</v>
      </c>
      <c r="E473" s="1"/>
    </row>
    <row r="474" ht="14.25" customHeight="1">
      <c r="A474" s="1">
        <v>100.0</v>
      </c>
      <c r="B474" s="1" t="s">
        <v>157</v>
      </c>
      <c r="C474" s="1">
        <v>10.0</v>
      </c>
      <c r="D474" s="1" t="s">
        <v>6</v>
      </c>
      <c r="E474" s="1"/>
    </row>
    <row r="475" ht="14.25" customHeight="1">
      <c r="A475" s="1">
        <v>33.0</v>
      </c>
      <c r="B475" s="1" t="s">
        <v>157</v>
      </c>
      <c r="C475" s="1">
        <v>0.0</v>
      </c>
      <c r="D475" s="2" t="s">
        <v>224</v>
      </c>
      <c r="E475" s="1" t="str">
        <f>IFERROR(__xludf.DUMMYFUNCTION("GOOGLETRANSLATE(D475,""PT"",""EN"")"),"I have no connection with Sicoob is I even know what it is for. Just to spam in my email.")</f>
        <v>I have no connection with Sicoob is I even know what it is for. Just to spam in my email.</v>
      </c>
    </row>
    <row r="476" ht="14.25" customHeight="1">
      <c r="A476" s="1">
        <v>100.0</v>
      </c>
      <c r="B476" s="1" t="s">
        <v>157</v>
      </c>
      <c r="C476" s="1">
        <v>10.0</v>
      </c>
      <c r="D476" s="1" t="s">
        <v>6</v>
      </c>
      <c r="E476" s="1"/>
    </row>
    <row r="477" ht="14.25" customHeight="1">
      <c r="A477" s="1">
        <v>100.0</v>
      </c>
      <c r="B477" s="1" t="s">
        <v>157</v>
      </c>
      <c r="C477" s="1">
        <v>10.0</v>
      </c>
      <c r="D477" s="2" t="s">
        <v>225</v>
      </c>
      <c r="E477" s="1" t="str">
        <f>IFERROR(__xludf.DUMMYFUNCTION("GOOGLETRANSLATE(D477,""PT"",""EN"")"),"Bank is easy application to solve everything ...")</f>
        <v>Bank is easy application to solve everything ...</v>
      </c>
    </row>
    <row r="478" ht="14.25" customHeight="1">
      <c r="A478" s="1">
        <v>33.0</v>
      </c>
      <c r="B478" s="1" t="s">
        <v>157</v>
      </c>
      <c r="C478" s="1">
        <v>5.0</v>
      </c>
      <c r="D478" s="1" t="s">
        <v>6</v>
      </c>
      <c r="E478" s="1"/>
    </row>
    <row r="479" ht="14.25" customHeight="1">
      <c r="A479" s="1">
        <v>100.0</v>
      </c>
      <c r="B479" s="1" t="s">
        <v>157</v>
      </c>
      <c r="C479" s="1">
        <v>10.0</v>
      </c>
      <c r="D479" s="2" t="s">
        <v>226</v>
      </c>
      <c r="E479" s="1" t="str">
        <f>IFERROR(__xludf.DUMMYFUNCTION("GOOGLETRANSLATE(D479,""PT"",""EN"")"),"Agility is prestability.")</f>
        <v>Agility is prestability.</v>
      </c>
    </row>
    <row r="480" ht="14.25" customHeight="1">
      <c r="A480" s="1">
        <v>100.0</v>
      </c>
      <c r="B480" s="1" t="s">
        <v>157</v>
      </c>
      <c r="C480" s="1">
        <v>10.0</v>
      </c>
      <c r="D480" s="1" t="s">
        <v>6</v>
      </c>
      <c r="E480" s="1"/>
    </row>
    <row r="481" ht="14.25" customHeight="1">
      <c r="A481" s="1">
        <v>33.0</v>
      </c>
      <c r="B481" s="1" t="s">
        <v>157</v>
      </c>
      <c r="C481" s="1">
        <v>1.0</v>
      </c>
      <c r="D481" s="1" t="s">
        <v>6</v>
      </c>
      <c r="E481" s="1"/>
    </row>
    <row r="482" ht="14.25" customHeight="1">
      <c r="A482" s="1">
        <v>100.0</v>
      </c>
      <c r="B482" s="1" t="s">
        <v>157</v>
      </c>
      <c r="C482" s="1">
        <v>10.0</v>
      </c>
      <c r="D482" s="1" t="s">
        <v>6</v>
      </c>
      <c r="E482" s="1"/>
    </row>
    <row r="483" ht="14.25" customHeight="1">
      <c r="A483" s="1">
        <v>100.0</v>
      </c>
      <c r="B483" s="1" t="s">
        <v>157</v>
      </c>
      <c r="C483" s="1">
        <v>10.0</v>
      </c>
      <c r="D483" s="1" t="s">
        <v>227</v>
      </c>
      <c r="E483" s="1" t="str">
        <f>IFERROR(__xludf.DUMMYFUNCTION("GOOGLETRANSLATE(D483,""PT"",""EN"")"),"Commitment")</f>
        <v>Commitment</v>
      </c>
    </row>
    <row r="484" ht="14.25" customHeight="1">
      <c r="A484" s="1">
        <v>100.0</v>
      </c>
      <c r="B484" s="1" t="s">
        <v>157</v>
      </c>
      <c r="C484" s="1">
        <v>10.0</v>
      </c>
      <c r="D484" s="1" t="s">
        <v>85</v>
      </c>
      <c r="E484" s="1" t="str">
        <f>IFERROR(__xludf.DUMMYFUNCTION("GOOGLETRANSLATE(D484,""PT"",""EN"")"),"Service")</f>
        <v>Service</v>
      </c>
    </row>
    <row r="485" ht="14.25" customHeight="1">
      <c r="A485" s="1">
        <v>100.0</v>
      </c>
      <c r="B485" s="1" t="s">
        <v>157</v>
      </c>
      <c r="C485" s="1">
        <v>10.0</v>
      </c>
      <c r="D485" s="2" t="s">
        <v>228</v>
      </c>
      <c r="E485" s="1" t="str">
        <f>IFERROR(__xludf.DUMMYFUNCTION("GOOGLETRANSLATE(D485,""PT"",""EN"")"),"Super satisfied, very attentive Crispin manager is concerned with looking for the best way to the customer.")</f>
        <v>Super satisfied, very attentive Crispin manager is concerned with looking for the best way to the customer.</v>
      </c>
    </row>
    <row r="486" ht="14.25" customHeight="1">
      <c r="A486" s="1">
        <v>100.0</v>
      </c>
      <c r="B486" s="1" t="s">
        <v>157</v>
      </c>
      <c r="C486" s="1">
        <v>10.0</v>
      </c>
      <c r="D486" s="2" t="s">
        <v>229</v>
      </c>
      <c r="E486" s="1" t="str">
        <f>IFERROR(__xludf.DUMMYFUNCTION("GOOGLETRANSLATE(D486,""PT"",""EN"")"),"Good service, I don't have to complain")</f>
        <v>Good service, I don't have to complain</v>
      </c>
    </row>
    <row r="487" ht="14.25" customHeight="1">
      <c r="A487" s="1">
        <v>100.0</v>
      </c>
      <c r="B487" s="1" t="s">
        <v>157</v>
      </c>
      <c r="C487" s="1">
        <v>10.0</v>
      </c>
      <c r="D487" s="1" t="s">
        <v>6</v>
      </c>
      <c r="E487" s="1"/>
    </row>
    <row r="488" ht="14.25" customHeight="1">
      <c r="A488" s="1">
        <v>100.0</v>
      </c>
      <c r="B488" s="1" t="s">
        <v>157</v>
      </c>
      <c r="C488" s="1">
        <v>10.0</v>
      </c>
      <c r="D488" s="1" t="s">
        <v>9</v>
      </c>
      <c r="E488" s="1" t="str">
        <f>IFERROR(__xludf.DUMMYFUNCTION("GOOGLETRANSLATE(D488,""PT"",""EN"")"),"10")</f>
        <v>10</v>
      </c>
    </row>
    <row r="489" ht="14.25" customHeight="1">
      <c r="A489" s="1">
        <v>100.0</v>
      </c>
      <c r="B489" s="1" t="s">
        <v>157</v>
      </c>
      <c r="C489" s="1">
        <v>10.0</v>
      </c>
      <c r="D489" s="2" t="s">
        <v>230</v>
      </c>
      <c r="E489" s="1" t="str">
        <f>IFERROR(__xludf.DUMMYFUNCTION("GOOGLETRANSLATE(D489,""PT"",""EN"")"),"Good service is the attention of employees")</f>
        <v>Good service is the attention of employees</v>
      </c>
    </row>
    <row r="490" ht="14.25" customHeight="1">
      <c r="A490" s="1">
        <v>33.0</v>
      </c>
      <c r="B490" s="1" t="s">
        <v>157</v>
      </c>
      <c r="C490" s="1">
        <v>5.0</v>
      </c>
      <c r="D490" s="1" t="s">
        <v>6</v>
      </c>
      <c r="E490" s="1"/>
    </row>
    <row r="491" ht="14.25" customHeight="1">
      <c r="A491" s="1">
        <v>33.0</v>
      </c>
      <c r="B491" s="1" t="s">
        <v>157</v>
      </c>
      <c r="C491" s="1">
        <v>4.0</v>
      </c>
      <c r="D491" s="1" t="s">
        <v>6</v>
      </c>
      <c r="E491" s="1"/>
    </row>
    <row r="492" ht="14.25" customHeight="1">
      <c r="A492" s="1">
        <v>66.0</v>
      </c>
      <c r="B492" s="1" t="s">
        <v>157</v>
      </c>
      <c r="C492" s="1">
        <v>8.0</v>
      </c>
      <c r="D492" s="1" t="s">
        <v>6</v>
      </c>
      <c r="E492" s="1"/>
    </row>
    <row r="493" ht="14.25" customHeight="1">
      <c r="A493" s="1">
        <v>66.0</v>
      </c>
      <c r="B493" s="1" t="s">
        <v>157</v>
      </c>
      <c r="C493" s="1">
        <v>8.0</v>
      </c>
      <c r="D493" s="1" t="s">
        <v>6</v>
      </c>
      <c r="E493" s="1"/>
    </row>
    <row r="494" ht="14.25" customHeight="1">
      <c r="A494" s="1">
        <v>100.0</v>
      </c>
      <c r="B494" s="1" t="s">
        <v>157</v>
      </c>
      <c r="C494" s="1">
        <v>9.0</v>
      </c>
      <c r="D494" s="1" t="s">
        <v>6</v>
      </c>
      <c r="E494" s="1"/>
    </row>
    <row r="495" ht="14.25" customHeight="1">
      <c r="A495" s="1">
        <v>33.0</v>
      </c>
      <c r="B495" s="1" t="s">
        <v>157</v>
      </c>
      <c r="C495" s="1">
        <v>2.0</v>
      </c>
      <c r="D495" s="1" t="s">
        <v>6</v>
      </c>
      <c r="E495" s="1"/>
    </row>
    <row r="496" ht="14.25" customHeight="1">
      <c r="A496" s="1">
        <v>33.0</v>
      </c>
      <c r="B496" s="1" t="s">
        <v>157</v>
      </c>
      <c r="C496" s="1">
        <v>0.0</v>
      </c>
      <c r="D496" s="1" t="s">
        <v>6</v>
      </c>
      <c r="E496" s="1"/>
    </row>
    <row r="497" ht="14.25" customHeight="1">
      <c r="A497" s="1">
        <v>33.0</v>
      </c>
      <c r="B497" s="1" t="s">
        <v>157</v>
      </c>
      <c r="C497" s="1">
        <v>2.0</v>
      </c>
      <c r="D497" s="1" t="s">
        <v>6</v>
      </c>
      <c r="E497" s="1"/>
    </row>
    <row r="498" ht="14.25" customHeight="1">
      <c r="A498" s="1">
        <v>100.0</v>
      </c>
      <c r="B498" s="1" t="s">
        <v>157</v>
      </c>
      <c r="C498" s="1">
        <v>10.0</v>
      </c>
      <c r="D498" s="1" t="s">
        <v>6</v>
      </c>
      <c r="E498" s="1"/>
    </row>
    <row r="499" ht="14.25" customHeight="1">
      <c r="A499" s="1">
        <v>100.0</v>
      </c>
      <c r="B499" s="1" t="s">
        <v>157</v>
      </c>
      <c r="C499" s="1">
        <v>10.0</v>
      </c>
      <c r="D499" s="1" t="s">
        <v>6</v>
      </c>
      <c r="E499" s="1"/>
    </row>
    <row r="500" ht="14.25" customHeight="1">
      <c r="A500" s="1">
        <v>100.0</v>
      </c>
      <c r="B500" s="1" t="s">
        <v>157</v>
      </c>
      <c r="C500" s="1">
        <v>10.0</v>
      </c>
      <c r="D500" s="2" t="s">
        <v>231</v>
      </c>
      <c r="E500" s="1" t="str">
        <f>IFERROR(__xludf.DUMMYFUNCTION("GOOGLETRANSLATE(D500,""PT"",""EN"")"),"Service is quality of service")</f>
        <v>Service is quality of service</v>
      </c>
    </row>
    <row r="501" ht="14.25" customHeight="1">
      <c r="A501" s="1">
        <v>100.0</v>
      </c>
      <c r="B501" s="1" t="s">
        <v>157</v>
      </c>
      <c r="C501" s="1">
        <v>9.0</v>
      </c>
      <c r="D501" s="1" t="s">
        <v>6</v>
      </c>
      <c r="E501" s="1"/>
    </row>
    <row r="502" ht="14.25" customHeight="1">
      <c r="A502" s="1">
        <v>100.0</v>
      </c>
      <c r="B502" s="1" t="s">
        <v>157</v>
      </c>
      <c r="C502" s="1">
        <v>10.0</v>
      </c>
      <c r="D502" s="2" t="s">
        <v>232</v>
      </c>
      <c r="E502" s="1" t="str">
        <f>IFERROR(__xludf.DUMMYFUNCTION("GOOGLETRANSLATE(D502,""PT"",""EN"")"),"I am pleased with the service of the Corumbaiba Agency.Grato Fabio.")</f>
        <v>I am pleased with the service of the Corumbaiba Agency.Grato Fabio.</v>
      </c>
    </row>
    <row r="503" ht="14.25" customHeight="1">
      <c r="A503" s="1">
        <v>100.0</v>
      </c>
      <c r="B503" s="1" t="s">
        <v>157</v>
      </c>
      <c r="C503" s="1">
        <v>10.0</v>
      </c>
      <c r="D503" s="1" t="s">
        <v>6</v>
      </c>
      <c r="E503" s="1"/>
    </row>
    <row r="504" ht="14.25" customHeight="1">
      <c r="A504" s="1">
        <v>33.0</v>
      </c>
      <c r="B504" s="1" t="s">
        <v>157</v>
      </c>
      <c r="C504" s="1">
        <v>0.0</v>
      </c>
      <c r="D504" s="1" t="s">
        <v>6</v>
      </c>
      <c r="E504" s="1"/>
    </row>
    <row r="505" ht="14.25" customHeight="1">
      <c r="A505" s="1">
        <v>33.0</v>
      </c>
      <c r="B505" s="1" t="s">
        <v>157</v>
      </c>
      <c r="C505" s="1">
        <v>0.0</v>
      </c>
      <c r="D505" s="2" t="s">
        <v>233</v>
      </c>
      <c r="E505" s="1" t="str">
        <f>IFERROR(__xludf.DUMMYFUNCTION("GOOGLETRANSLATE(D505,""PT"",""EN"")"),"I was extremely poorly attended to the agency is an employee called me with a lack of education.")</f>
        <v>I was extremely poorly attended to the agency is an employee called me with a lack of education.</v>
      </c>
    </row>
    <row r="506" ht="14.25" customHeight="1">
      <c r="A506" s="1">
        <v>100.0</v>
      </c>
      <c r="B506" s="1" t="s">
        <v>157</v>
      </c>
      <c r="C506" s="1">
        <v>10.0</v>
      </c>
      <c r="D506" s="1" t="s">
        <v>234</v>
      </c>
      <c r="E506" s="1" t="str">
        <f>IFERROR(__xludf.DUMMYFUNCTION("GOOGLETRANSLATE(D506,""PT"",""EN"")"),"A bank, which is entirely linked to its members")</f>
        <v>A bank, which is entirely linked to its members</v>
      </c>
    </row>
    <row r="507" ht="14.25" customHeight="1">
      <c r="A507" s="1">
        <v>66.0</v>
      </c>
      <c r="B507" s="1" t="s">
        <v>157</v>
      </c>
      <c r="C507" s="1">
        <v>8.0</v>
      </c>
      <c r="D507" s="2" t="s">
        <v>235</v>
      </c>
      <c r="E507" s="1" t="str">
        <f>IFERROR(__xludf.DUMMYFUNCTION("GOOGLETRANSLATE(D507,""PT"",""EN"")"),"It has a good service.")</f>
        <v>It has a good service.</v>
      </c>
    </row>
    <row r="508" ht="14.25" customHeight="1">
      <c r="A508" s="1">
        <v>33.0</v>
      </c>
      <c r="B508" s="1" t="s">
        <v>157</v>
      </c>
      <c r="C508" s="1">
        <v>0.0</v>
      </c>
      <c r="D508" s="1" t="s">
        <v>6</v>
      </c>
      <c r="E508" s="1"/>
    </row>
    <row r="509" ht="14.25" customHeight="1">
      <c r="A509" s="1">
        <v>100.0</v>
      </c>
      <c r="B509" s="1" t="s">
        <v>157</v>
      </c>
      <c r="C509" s="1">
        <v>10.0</v>
      </c>
      <c r="D509" s="1" t="s">
        <v>6</v>
      </c>
      <c r="E509" s="1"/>
    </row>
    <row r="510" ht="14.25" customHeight="1">
      <c r="A510" s="1">
        <v>33.0</v>
      </c>
      <c r="B510" s="1" t="s">
        <v>157</v>
      </c>
      <c r="C510" s="1">
        <v>0.0</v>
      </c>
      <c r="D510" s="1" t="s">
        <v>6</v>
      </c>
      <c r="E510" s="1"/>
    </row>
    <row r="511" ht="14.25" customHeight="1">
      <c r="A511" s="1">
        <v>100.0</v>
      </c>
      <c r="B511" s="1" t="s">
        <v>157</v>
      </c>
      <c r="C511" s="1">
        <v>9.0</v>
      </c>
      <c r="D511" s="1" t="s">
        <v>6</v>
      </c>
      <c r="E511" s="1"/>
    </row>
    <row r="512" ht="14.25" customHeight="1">
      <c r="A512" s="1">
        <v>33.0</v>
      </c>
      <c r="B512" s="1" t="s">
        <v>157</v>
      </c>
      <c r="C512" s="1">
        <v>4.0</v>
      </c>
      <c r="D512" s="2" t="s">
        <v>236</v>
      </c>
      <c r="E512" s="1" t="str">
        <f>IFERROR(__xludf.DUMMYFUNCTION("GOOGLETRANSLATE(D512,""PT"",""EN"")"),"Don't warn you when you have any event.")</f>
        <v>Don't warn you when you have any event.</v>
      </c>
    </row>
    <row r="513" ht="14.25" customHeight="1">
      <c r="A513" s="1">
        <v>100.0</v>
      </c>
      <c r="B513" s="1" t="s">
        <v>157</v>
      </c>
      <c r="C513" s="1">
        <v>10.0</v>
      </c>
      <c r="D513" s="1" t="s">
        <v>62</v>
      </c>
      <c r="E513" s="1" t="str">
        <f>IFERROR(__xludf.DUMMYFUNCTION("GOOGLETRANSLATE(D513,""PT"",""EN"")"),"Good service")</f>
        <v>Good service</v>
      </c>
    </row>
    <row r="514" ht="14.25" customHeight="1">
      <c r="A514" s="1">
        <v>100.0</v>
      </c>
      <c r="B514" s="1" t="s">
        <v>157</v>
      </c>
      <c r="C514" s="1">
        <v>10.0</v>
      </c>
      <c r="D514" s="1" t="s">
        <v>6</v>
      </c>
      <c r="E514" s="1"/>
    </row>
    <row r="515" ht="14.25" customHeight="1">
      <c r="A515" s="1">
        <v>100.0</v>
      </c>
      <c r="B515" s="1" t="s">
        <v>157</v>
      </c>
      <c r="C515" s="1">
        <v>10.0</v>
      </c>
      <c r="D515" s="2" t="s">
        <v>237</v>
      </c>
      <c r="E515" s="1" t="str">
        <f>IFERROR(__xludf.DUMMYFUNCTION("GOOGLETRANSLATE(D515,""PT"",""EN"")"),"I like service is the opportunities of Sicoob")</f>
        <v>I like service is the opportunities of Sicoob</v>
      </c>
    </row>
    <row r="516" ht="14.25" customHeight="1">
      <c r="A516" s="1">
        <v>100.0</v>
      </c>
      <c r="B516" s="1" t="s">
        <v>157</v>
      </c>
      <c r="C516" s="1">
        <v>10.0</v>
      </c>
      <c r="D516" s="1" t="s">
        <v>6</v>
      </c>
      <c r="E516" s="1"/>
    </row>
    <row r="517" ht="14.25" customHeight="1">
      <c r="A517" s="1">
        <v>100.0</v>
      </c>
      <c r="B517" s="1" t="s">
        <v>157</v>
      </c>
      <c r="C517" s="1">
        <v>10.0</v>
      </c>
      <c r="D517" s="1" t="s">
        <v>238</v>
      </c>
      <c r="E517" s="1" t="str">
        <f>IFERROR(__xludf.DUMMYFUNCTION("GOOGLETRANSLATE(D517,""PT"",""EN"")"),"Best Bank in the World 🌎")</f>
        <v>Best Bank in the World 🌎</v>
      </c>
    </row>
    <row r="518" ht="14.25" customHeight="1">
      <c r="A518" s="1">
        <v>100.0</v>
      </c>
      <c r="B518" s="1" t="s">
        <v>157</v>
      </c>
      <c r="C518" s="1">
        <v>9.0</v>
      </c>
      <c r="D518" s="2" t="s">
        <v>239</v>
      </c>
      <c r="E518" s="1" t="str">
        <f>IFERROR(__xludf.DUMMYFUNCTION("GOOGLETRANSLATE(D518,""PT"",""EN"")"),"It has good rates, humanized treatment !!")</f>
        <v>It has good rates, humanized treatment !!</v>
      </c>
    </row>
    <row r="519" ht="14.25" customHeight="1">
      <c r="A519" s="1">
        <v>33.0</v>
      </c>
      <c r="B519" s="1" t="s">
        <v>157</v>
      </c>
      <c r="C519" s="1">
        <v>4.0</v>
      </c>
      <c r="D519" s="1" t="s">
        <v>6</v>
      </c>
      <c r="E519" s="1"/>
    </row>
    <row r="520" ht="14.25" customHeight="1">
      <c r="A520" s="1">
        <v>33.0</v>
      </c>
      <c r="B520" s="1" t="s">
        <v>157</v>
      </c>
      <c r="C520" s="1">
        <v>4.0</v>
      </c>
      <c r="D520" s="2" t="s">
        <v>240</v>
      </c>
      <c r="E520" s="1" t="str">
        <f>IFERROR(__xludf.DUMMYFUNCTION("GOOGLETRANSLATE(D520,""PT"",""EN"")"),"It does not give customer credibility.")</f>
        <v>It does not give customer credibility.</v>
      </c>
    </row>
    <row r="521" ht="14.25" customHeight="1">
      <c r="A521" s="1">
        <v>100.0</v>
      </c>
      <c r="B521" s="1" t="s">
        <v>157</v>
      </c>
      <c r="C521" s="1">
        <v>10.0</v>
      </c>
      <c r="D521" s="1" t="s">
        <v>241</v>
      </c>
      <c r="E521" s="1" t="str">
        <f>IFERROR(__xludf.DUMMYFUNCTION("GOOGLETRANSLATE(D521,""PT"",""EN"")"),"Very good bank")</f>
        <v>Very good bank</v>
      </c>
    </row>
    <row r="522" ht="14.25" customHeight="1">
      <c r="A522" s="1">
        <v>100.0</v>
      </c>
      <c r="B522" s="1" t="s">
        <v>157</v>
      </c>
      <c r="C522" s="1">
        <v>10.0</v>
      </c>
      <c r="D522" s="1" t="s">
        <v>85</v>
      </c>
      <c r="E522" s="1" t="str">
        <f>IFERROR(__xludf.DUMMYFUNCTION("GOOGLETRANSLATE(D522,""PT"",""EN"")"),"Service")</f>
        <v>Service</v>
      </c>
    </row>
    <row r="523" ht="14.25" customHeight="1">
      <c r="A523" s="1">
        <v>100.0</v>
      </c>
      <c r="B523" s="1" t="s">
        <v>157</v>
      </c>
      <c r="C523" s="1">
        <v>10.0</v>
      </c>
      <c r="D523" s="2" t="s">
        <v>242</v>
      </c>
      <c r="E523" s="1" t="str">
        <f>IFERROR(__xludf.DUMMYFUNCTION("GOOGLETRANSLATE(D523,""PT"",""EN"")"),"Easy to move app is good calls in the establishments is from the agency")</f>
        <v>Easy to move app is good calls in the establishments is from the agency</v>
      </c>
    </row>
    <row r="524" ht="14.25" customHeight="1">
      <c r="A524" s="1">
        <v>33.0</v>
      </c>
      <c r="B524" s="1" t="s">
        <v>157</v>
      </c>
      <c r="C524" s="1">
        <v>4.0</v>
      </c>
      <c r="D524" s="2" t="s">
        <v>243</v>
      </c>
      <c r="E524" s="1" t="str">
        <f>IFERROR(__xludf.DUMMYFUNCTION("GOOGLETRANSLATE(D524,""PT"",""EN"")"),"But of a year of current account is nothing limit or credit card")</f>
        <v>But of a year of current account is nothing limit or credit card</v>
      </c>
    </row>
    <row r="525" ht="14.25" customHeight="1">
      <c r="A525" s="1">
        <v>33.0</v>
      </c>
      <c r="B525" s="1" t="s">
        <v>157</v>
      </c>
      <c r="C525" s="1">
        <v>6.0</v>
      </c>
      <c r="D525" s="2" t="s">
        <v>244</v>
      </c>
      <c r="E525" s="1" t="str">
        <f>IFERROR(__xludf.DUMMYFUNCTION("GOOGLETRANSLATE(D525,""PT"",""EN"")"),"Pix does not work well")</f>
        <v>Pix does not work well</v>
      </c>
    </row>
    <row r="526" ht="14.25" customHeight="1">
      <c r="A526" s="1">
        <v>100.0</v>
      </c>
      <c r="B526" s="1" t="s">
        <v>245</v>
      </c>
      <c r="C526" s="1">
        <v>10.0</v>
      </c>
      <c r="D526" s="2" t="s">
        <v>246</v>
      </c>
      <c r="E526" s="1" t="str">
        <f>IFERROR(__xludf.DUMMYFUNCTION("GOOGLETRANSLATE(D526,""PT"",""EN"")"),"Agility is practicality.")</f>
        <v>Agility is practicality.</v>
      </c>
    </row>
    <row r="527" ht="14.25" customHeight="1">
      <c r="A527" s="1">
        <v>100.0</v>
      </c>
      <c r="B527" s="1" t="s">
        <v>245</v>
      </c>
      <c r="C527" s="1">
        <v>10.0</v>
      </c>
      <c r="D527" s="1" t="s">
        <v>247</v>
      </c>
      <c r="E527" s="1" t="str">
        <f>IFERROR(__xludf.DUMMYFUNCTION("GOOGLETRANSLATE(D527,""PT"",""EN"")"),"Reciprocity")</f>
        <v>Reciprocity</v>
      </c>
    </row>
    <row r="528" ht="14.25" customHeight="1">
      <c r="A528" s="1">
        <v>100.0</v>
      </c>
      <c r="B528" s="1" t="s">
        <v>245</v>
      </c>
      <c r="C528" s="1">
        <v>9.0</v>
      </c>
      <c r="D528" s="1" t="s">
        <v>6</v>
      </c>
      <c r="E528" s="1"/>
    </row>
    <row r="529" ht="14.25" customHeight="1">
      <c r="A529" s="1">
        <v>33.0</v>
      </c>
      <c r="B529" s="1" t="s">
        <v>245</v>
      </c>
      <c r="C529" s="1">
        <v>0.0</v>
      </c>
      <c r="D529" s="2" t="s">
        <v>248</v>
      </c>
      <c r="E529" s="1" t="str">
        <f>IFERROR(__xludf.DUMMYFUNCTION("GOOGLETRANSLATE(D529,""PT"",""EN"")"),"I'm a month trying to access my account is talking to my agency is I can't")</f>
        <v>I'm a month trying to access my account is talking to my agency is I can't</v>
      </c>
    </row>
    <row r="530" ht="14.25" customHeight="1">
      <c r="A530" s="1">
        <v>100.0</v>
      </c>
      <c r="B530" s="1" t="s">
        <v>245</v>
      </c>
      <c r="C530" s="1">
        <v>10.0</v>
      </c>
      <c r="D530" s="2" t="s">
        <v>249</v>
      </c>
      <c r="E530" s="1" t="str">
        <f>IFERROR(__xludf.DUMMYFUNCTION("GOOGLETRANSLATE(D530,""PT"",""EN"")"),"A great bank for. All . I canceled my other bank everything after. Open my account in it")</f>
        <v>A great bank for. All . I canceled my other bank everything after. Open my account in it</v>
      </c>
    </row>
    <row r="531" ht="14.25" customHeight="1">
      <c r="A531" s="1">
        <v>33.0</v>
      </c>
      <c r="B531" s="1" t="s">
        <v>245</v>
      </c>
      <c r="C531" s="1">
        <v>1.0</v>
      </c>
      <c r="D531" s="1" t="s">
        <v>6</v>
      </c>
      <c r="E531" s="1"/>
    </row>
    <row r="532" ht="14.25" customHeight="1">
      <c r="A532" s="1">
        <v>100.0</v>
      </c>
      <c r="B532" s="1" t="s">
        <v>245</v>
      </c>
      <c r="C532" s="1">
        <v>9.0</v>
      </c>
      <c r="D532" s="1" t="s">
        <v>250</v>
      </c>
      <c r="E532" s="1" t="str">
        <f>IFERROR(__xludf.DUMMYFUNCTION("GOOGLETRANSLATE(D532,""PT"",""EN"")"),"Very good service. Only the app that leaves something to be desired in relation to those of digital banks like Cora, which is excellent")</f>
        <v>Very good service. Only the app that leaves something to be desired in relation to those of digital banks like Cora, which is excellent</v>
      </c>
    </row>
    <row r="533" ht="14.25" customHeight="1">
      <c r="A533" s="1">
        <v>66.0</v>
      </c>
      <c r="B533" s="1" t="s">
        <v>245</v>
      </c>
      <c r="C533" s="1">
        <v>8.0</v>
      </c>
      <c r="D533" s="1" t="s">
        <v>6</v>
      </c>
      <c r="E533" s="1"/>
    </row>
    <row r="534" ht="14.25" customHeight="1">
      <c r="A534" s="1">
        <v>33.0</v>
      </c>
      <c r="B534" s="1" t="s">
        <v>245</v>
      </c>
      <c r="C534" s="1">
        <v>0.0</v>
      </c>
      <c r="D534" s="2" t="s">
        <v>251</v>
      </c>
      <c r="E534" s="1" t="str">
        <f>IFERROR(__xludf.DUMMYFUNCTION("GOOGLETRANSLATE(D534,""PT"",""EN"")"),"Not satisfied")</f>
        <v>Not satisfied</v>
      </c>
    </row>
    <row r="535" ht="14.25" customHeight="1">
      <c r="A535" s="1">
        <v>100.0</v>
      </c>
      <c r="B535" s="1" t="s">
        <v>245</v>
      </c>
      <c r="C535" s="1">
        <v>10.0</v>
      </c>
      <c r="D535" s="1" t="s">
        <v>192</v>
      </c>
      <c r="E535" s="1" t="str">
        <f>IFERROR(__xludf.DUMMYFUNCTION("GOOGLETRANSLATE(D535,""PT"",""EN"")"),"Great")</f>
        <v>Great</v>
      </c>
    </row>
    <row r="536" ht="14.25" customHeight="1">
      <c r="A536" s="1">
        <v>100.0</v>
      </c>
      <c r="B536" s="1" t="s">
        <v>245</v>
      </c>
      <c r="C536" s="1">
        <v>10.0</v>
      </c>
      <c r="D536" s="1" t="s">
        <v>6</v>
      </c>
      <c r="E536" s="1"/>
    </row>
    <row r="537" ht="14.25" customHeight="1">
      <c r="A537" s="1">
        <v>100.0</v>
      </c>
      <c r="B537" s="1" t="s">
        <v>245</v>
      </c>
      <c r="C537" s="1">
        <v>10.0</v>
      </c>
      <c r="D537" s="1" t="s">
        <v>6</v>
      </c>
      <c r="E537" s="1"/>
    </row>
    <row r="538" ht="14.25" customHeight="1">
      <c r="A538" s="1">
        <v>33.0</v>
      </c>
      <c r="B538" s="1" t="s">
        <v>245</v>
      </c>
      <c r="C538" s="1">
        <v>5.0</v>
      </c>
      <c r="D538" s="1" t="s">
        <v>6</v>
      </c>
      <c r="E538" s="1"/>
    </row>
    <row r="539" ht="14.25" customHeight="1">
      <c r="A539" s="1">
        <v>33.0</v>
      </c>
      <c r="B539" s="1" t="s">
        <v>245</v>
      </c>
      <c r="C539" s="1">
        <v>6.0</v>
      </c>
      <c r="D539" s="1" t="s">
        <v>252</v>
      </c>
      <c r="E539" s="1" t="str">
        <f>IFERROR(__xludf.DUMMYFUNCTION("GOOGLETRANSLATE(D539,""PT"",""EN"")"),"Losing ssssssss")</f>
        <v>Losing ssssssss</v>
      </c>
    </row>
    <row r="540" ht="14.25" customHeight="1">
      <c r="A540" s="1">
        <v>100.0</v>
      </c>
      <c r="B540" s="1" t="s">
        <v>245</v>
      </c>
      <c r="C540" s="1">
        <v>10.0</v>
      </c>
      <c r="D540" s="2" t="s">
        <v>253</v>
      </c>
      <c r="E540" s="1" t="str">
        <f>IFERROR(__xludf.DUMMYFUNCTION("GOOGLETRANSLATE(D540,""PT"",""EN"")"),"Fast service is humanized")</f>
        <v>Fast service is humanized</v>
      </c>
    </row>
    <row r="541" ht="14.25" customHeight="1">
      <c r="A541" s="1">
        <v>66.0</v>
      </c>
      <c r="B541" s="1" t="s">
        <v>245</v>
      </c>
      <c r="C541" s="1">
        <v>8.0</v>
      </c>
      <c r="D541" s="1" t="s">
        <v>254</v>
      </c>
      <c r="E541" s="1" t="str">
        <f>IFERROR(__xludf.DUMMYFUNCTION("GOOGLETRANSLATE(D541,""PT"",""EN"")"),"It is a cooperative, the more you move, the more return you will.")</f>
        <v>It is a cooperative, the more you move, the more return you will.</v>
      </c>
    </row>
    <row r="542" ht="14.25" customHeight="1">
      <c r="A542" s="1">
        <v>100.0</v>
      </c>
      <c r="B542" s="1" t="s">
        <v>245</v>
      </c>
      <c r="C542" s="1">
        <v>9.0</v>
      </c>
      <c r="D542" s="1" t="s">
        <v>6</v>
      </c>
      <c r="E542" s="1"/>
    </row>
    <row r="543" ht="14.25" customHeight="1">
      <c r="A543" s="1">
        <v>100.0</v>
      </c>
      <c r="B543" s="1" t="s">
        <v>245</v>
      </c>
      <c r="C543" s="1">
        <v>10.0</v>
      </c>
      <c r="D543" s="2" t="s">
        <v>255</v>
      </c>
      <c r="E543" s="1" t="str">
        <f>IFERROR(__xludf.DUMMYFUNCTION("GOOGLETRANSLATE(D543,""PT"",""EN"")"),"Transparency is agility")</f>
        <v>Transparency is agility</v>
      </c>
    </row>
    <row r="544" ht="14.25" customHeight="1">
      <c r="A544" s="1">
        <v>100.0</v>
      </c>
      <c r="B544" s="1" t="s">
        <v>245</v>
      </c>
      <c r="C544" s="1">
        <v>10.0</v>
      </c>
      <c r="D544" s="1" t="s">
        <v>6</v>
      </c>
      <c r="E544" s="1"/>
    </row>
    <row r="545" ht="14.25" customHeight="1">
      <c r="A545" s="1">
        <v>33.0</v>
      </c>
      <c r="B545" s="1" t="s">
        <v>245</v>
      </c>
      <c r="C545" s="1">
        <v>0.0</v>
      </c>
      <c r="D545" s="2" t="s">
        <v>256</v>
      </c>
      <c r="E545" s="1" t="str">
        <f>IFERROR(__xludf.DUMMYFUNCTION("GOOGLETRANSLATE(D545,""PT"",""EN"")"),"When I needed the bank more not to make sure my contracts are commitments, in all ways I tried at the agency I was not answered, I tried to finance until the truck but the difficulty is bureaucracy was such that I could not. Now I'm negative is no chance "&amp;"of regularization.")</f>
        <v>When I needed the bank more not to make sure my contracts are commitments, in all ways I tried at the agency I was not answered, I tried to finance until the truck but the difficulty is bureaucracy was such that I could not. Now I'm negative is no chance of regularization.</v>
      </c>
    </row>
    <row r="546" ht="14.25" customHeight="1">
      <c r="A546" s="1">
        <v>100.0</v>
      </c>
      <c r="B546" s="1" t="s">
        <v>245</v>
      </c>
      <c r="C546" s="1">
        <v>10.0</v>
      </c>
      <c r="D546" s="2" t="s">
        <v>257</v>
      </c>
      <c r="E546" s="1" t="str">
        <f>IFERROR(__xludf.DUMMYFUNCTION("GOOGLETRANSLATE(D546,""PT"",""EN"")"),"Service, practicality is products")</f>
        <v>Service, practicality is products</v>
      </c>
    </row>
    <row r="547" ht="14.25" customHeight="1">
      <c r="A547" s="1">
        <v>33.0</v>
      </c>
      <c r="B547" s="1" t="s">
        <v>245</v>
      </c>
      <c r="C547" s="1">
        <v>5.0</v>
      </c>
      <c r="D547" s="1" t="s">
        <v>6</v>
      </c>
      <c r="E547" s="1"/>
    </row>
    <row r="548" ht="14.25" customHeight="1">
      <c r="A548" s="1">
        <v>100.0</v>
      </c>
      <c r="B548" s="1" t="s">
        <v>245</v>
      </c>
      <c r="C548" s="1">
        <v>10.0</v>
      </c>
      <c r="D548" s="2" t="s">
        <v>258</v>
      </c>
      <c r="E548" s="1" t="str">
        <f>IFERROR(__xludf.DUMMYFUNCTION("GOOGLETRANSLATE(D548,""PT"",""EN"")"),"Service is agility in processes")</f>
        <v>Service is agility in processes</v>
      </c>
    </row>
    <row r="549" ht="14.25" customHeight="1">
      <c r="A549" s="1">
        <v>33.0</v>
      </c>
      <c r="B549" s="1" t="s">
        <v>245</v>
      </c>
      <c r="C549" s="1">
        <v>5.0</v>
      </c>
      <c r="D549" s="1" t="s">
        <v>259</v>
      </c>
      <c r="E549" s="1" t="str">
        <f>IFERROR(__xludf.DUMMYFUNCTION("GOOGLETRANSLATE(D549,""PT"",""EN"")"),"A lot of bureaucracy")</f>
        <v>A lot of bureaucracy</v>
      </c>
    </row>
    <row r="550" ht="14.25" customHeight="1">
      <c r="A550" s="1">
        <v>100.0</v>
      </c>
      <c r="B550" s="1" t="s">
        <v>245</v>
      </c>
      <c r="C550" s="1">
        <v>10.0</v>
      </c>
      <c r="D550" s="1" t="s">
        <v>260</v>
      </c>
      <c r="E550" s="1" t="str">
        <f>IFERROR(__xludf.DUMMYFUNCTION("GOOGLETRANSLATE(D550,""PT"",""EN"")"),"Service/Humanized")</f>
        <v>Service/Humanized</v>
      </c>
    </row>
    <row r="551" ht="14.25" customHeight="1">
      <c r="A551" s="1">
        <v>100.0</v>
      </c>
      <c r="B551" s="1" t="s">
        <v>245</v>
      </c>
      <c r="C551" s="1">
        <v>9.0</v>
      </c>
      <c r="D551" s="1" t="s">
        <v>6</v>
      </c>
      <c r="E551" s="1"/>
    </row>
    <row r="552" ht="14.25" customHeight="1">
      <c r="A552" s="1">
        <v>100.0</v>
      </c>
      <c r="B552" s="1" t="s">
        <v>245</v>
      </c>
      <c r="C552" s="1">
        <v>10.0</v>
      </c>
      <c r="D552" s="1" t="s">
        <v>85</v>
      </c>
      <c r="E552" s="1" t="str">
        <f>IFERROR(__xludf.DUMMYFUNCTION("GOOGLETRANSLATE(D552,""PT"",""EN"")"),"Service")</f>
        <v>Service</v>
      </c>
    </row>
    <row r="553" ht="14.25" customHeight="1">
      <c r="A553" s="1">
        <v>100.0</v>
      </c>
      <c r="B553" s="1" t="s">
        <v>245</v>
      </c>
      <c r="C553" s="1">
        <v>9.0</v>
      </c>
      <c r="D553" s="1" t="s">
        <v>261</v>
      </c>
      <c r="E553" s="1" t="str">
        <f>IFERROR(__xludf.DUMMYFUNCTION("GOOGLETRANSLATE(D553,""PT"",""EN"")"),"Great bank! Great service!")</f>
        <v>Great bank! Great service!</v>
      </c>
    </row>
    <row r="554" ht="14.25" customHeight="1">
      <c r="A554" s="1">
        <v>100.0</v>
      </c>
      <c r="B554" s="1" t="s">
        <v>245</v>
      </c>
      <c r="C554" s="1">
        <v>10.0</v>
      </c>
      <c r="D554" s="2" t="s">
        <v>262</v>
      </c>
      <c r="E554" s="1" t="str">
        <f>IFERROR(__xludf.DUMMYFUNCTION("GOOGLETRANSLATE(D554,""PT"",""EN"")"),"Very agile")</f>
        <v>Very agile</v>
      </c>
    </row>
    <row r="555" ht="14.25" customHeight="1">
      <c r="A555" s="1">
        <v>100.0</v>
      </c>
      <c r="B555" s="1" t="s">
        <v>245</v>
      </c>
      <c r="C555" s="1">
        <v>10.0</v>
      </c>
      <c r="D555" s="1" t="s">
        <v>6</v>
      </c>
      <c r="E555" s="1"/>
    </row>
    <row r="556" ht="14.25" customHeight="1">
      <c r="A556" s="1">
        <v>33.0</v>
      </c>
      <c r="B556" s="1" t="s">
        <v>245</v>
      </c>
      <c r="C556" s="1">
        <v>0.0</v>
      </c>
      <c r="D556" s="2" t="s">
        <v>263</v>
      </c>
      <c r="E556" s="1" t="str">
        <f>IFERROR(__xludf.DUMMYFUNCTION("GOOGLETRANSLATE(D556,""PT"",""EN"")"),"Total dissatisfaction I do not recommend")</f>
        <v>Total dissatisfaction I do not recommend</v>
      </c>
    </row>
    <row r="557" ht="14.25" customHeight="1">
      <c r="A557" s="1">
        <v>100.0</v>
      </c>
      <c r="B557" s="1" t="s">
        <v>245</v>
      </c>
      <c r="C557" s="1">
        <v>10.0</v>
      </c>
      <c r="D557" s="1" t="s">
        <v>37</v>
      </c>
      <c r="E557" s="1" t="str">
        <f>IFERROR(__xludf.DUMMYFUNCTION("GOOGLETRANSLATE(D557,""PT"",""EN"")"),"Great service")</f>
        <v>Great service</v>
      </c>
    </row>
    <row r="558" ht="14.25" customHeight="1">
      <c r="A558" s="1">
        <v>100.0</v>
      </c>
      <c r="B558" s="1" t="s">
        <v>245</v>
      </c>
      <c r="C558" s="1">
        <v>10.0</v>
      </c>
      <c r="D558" s="1" t="s">
        <v>6</v>
      </c>
      <c r="E558" s="1"/>
    </row>
    <row r="559" ht="14.25" customHeight="1">
      <c r="A559" s="1">
        <v>100.0</v>
      </c>
      <c r="B559" s="1" t="s">
        <v>245</v>
      </c>
      <c r="C559" s="1">
        <v>10.0</v>
      </c>
      <c r="D559" s="1" t="s">
        <v>6</v>
      </c>
      <c r="E559" s="1"/>
    </row>
    <row r="560" ht="14.25" customHeight="1">
      <c r="A560" s="1">
        <v>100.0</v>
      </c>
      <c r="B560" s="1" t="s">
        <v>245</v>
      </c>
      <c r="C560" s="1">
        <v>9.0</v>
      </c>
      <c r="D560" s="1" t="s">
        <v>6</v>
      </c>
      <c r="E560" s="1"/>
    </row>
    <row r="561" ht="14.25" customHeight="1">
      <c r="A561" s="1">
        <v>100.0</v>
      </c>
      <c r="B561" s="1" t="s">
        <v>245</v>
      </c>
      <c r="C561" s="1">
        <v>10.0</v>
      </c>
      <c r="D561" s="1" t="s">
        <v>6</v>
      </c>
      <c r="E561" s="1"/>
    </row>
    <row r="562" ht="14.25" customHeight="1">
      <c r="A562" s="1">
        <v>66.0</v>
      </c>
      <c r="B562" s="1" t="s">
        <v>245</v>
      </c>
      <c r="C562" s="1">
        <v>8.0</v>
      </c>
      <c r="D562" s="1" t="s">
        <v>264</v>
      </c>
      <c r="E562" s="1" t="str">
        <f>IFERROR(__xludf.DUMMYFUNCTION("GOOGLETRANSLATE(D562,""PT"",""EN"")"),"The good service provided")</f>
        <v>The good service provided</v>
      </c>
    </row>
    <row r="563" ht="14.25" customHeight="1">
      <c r="A563" s="1">
        <v>100.0</v>
      </c>
      <c r="B563" s="1" t="s">
        <v>245</v>
      </c>
      <c r="C563" s="1">
        <v>10.0</v>
      </c>
      <c r="D563" s="1" t="s">
        <v>6</v>
      </c>
      <c r="E563" s="1"/>
    </row>
    <row r="564" ht="14.25" customHeight="1">
      <c r="A564" s="1">
        <v>100.0</v>
      </c>
      <c r="B564" s="1" t="s">
        <v>245</v>
      </c>
      <c r="C564" s="1">
        <v>10.0</v>
      </c>
      <c r="D564" s="1" t="s">
        <v>6</v>
      </c>
      <c r="E564" s="1"/>
    </row>
    <row r="565" ht="14.25" customHeight="1">
      <c r="A565" s="1">
        <v>100.0</v>
      </c>
      <c r="B565" s="1" t="s">
        <v>245</v>
      </c>
      <c r="C565" s="1">
        <v>10.0</v>
      </c>
      <c r="D565" s="2" t="s">
        <v>265</v>
      </c>
      <c r="E565" s="1" t="str">
        <f>IFERROR(__xludf.DUMMYFUNCTION("GOOGLETRANSLATE(D565,""PT"",""EN"")"),"General satisfaction, always very well attended !! congratulations to all of you !! I have nothing/nothing to complain about !! I just have to thank for everything !! I am very grateful to Sicoob, a lot !!")</f>
        <v>General satisfaction, always very well attended !! congratulations to all of you !! I have nothing/nothing to complain about !! I just have to thank for everything !! I am very grateful to Sicoob, a lot !!</v>
      </c>
    </row>
    <row r="566" ht="14.25" customHeight="1">
      <c r="A566" s="1">
        <v>100.0</v>
      </c>
      <c r="B566" s="1" t="s">
        <v>245</v>
      </c>
      <c r="C566" s="1">
        <v>10.0</v>
      </c>
      <c r="D566" s="2" t="s">
        <v>266</v>
      </c>
      <c r="E566" s="1" t="str">
        <f>IFERROR(__xludf.DUMMYFUNCTION("GOOGLETRANSLATE(D566,""PT"",""EN"")"),"Everyone is equal has no one better than the other")</f>
        <v>Everyone is equal has no one better than the other</v>
      </c>
    </row>
    <row r="567" ht="14.25" customHeight="1">
      <c r="A567" s="1">
        <v>66.0</v>
      </c>
      <c r="B567" s="1" t="s">
        <v>245</v>
      </c>
      <c r="C567" s="1">
        <v>8.0</v>
      </c>
      <c r="D567" s="2" t="s">
        <v>267</v>
      </c>
      <c r="E567" s="1" t="str">
        <f>IFERROR(__xludf.DUMMYFUNCTION("GOOGLETRANSLATE(D567,""PT"",""EN"")"),"It is a cooperative that pleases me a lot, easy access, app that helps a lot in accompanying is to move the account")</f>
        <v>It is a cooperative that pleases me a lot, easy access, app that helps a lot in accompanying is to move the account</v>
      </c>
    </row>
    <row r="568" ht="14.25" customHeight="1">
      <c r="A568" s="1">
        <v>100.0</v>
      </c>
      <c r="B568" s="1" t="s">
        <v>245</v>
      </c>
      <c r="C568" s="1">
        <v>10.0</v>
      </c>
      <c r="D568" s="2" t="s">
        <v>268</v>
      </c>
      <c r="E568" s="1" t="str">
        <f>IFERROR(__xludf.DUMMYFUNCTION("GOOGLETRANSLATE(D568,""PT"",""EN"")"),"It's just that I am cooperated for years, the cooperative for me, cooperative in every way, at the 3054 Jataí-GO agency, I feel like my house, I am always well welcomed, attended, I am super happy with people, the system, the application")</f>
        <v>It's just that I am cooperated for years, the cooperative for me, cooperative in every way, at the 3054 Jataí-GO agency, I feel like my house, I am always well welcomed, attended, I am super happy with people, the system, the application</v>
      </c>
    </row>
    <row r="569" ht="14.25" customHeight="1">
      <c r="A569" s="1">
        <v>100.0</v>
      </c>
      <c r="B569" s="1" t="s">
        <v>245</v>
      </c>
      <c r="C569" s="1">
        <v>10.0</v>
      </c>
      <c r="D569" s="1" t="s">
        <v>6</v>
      </c>
      <c r="E569" s="1"/>
    </row>
    <row r="570" ht="14.25" customHeight="1">
      <c r="A570" s="1">
        <v>100.0</v>
      </c>
      <c r="B570" s="1" t="s">
        <v>245</v>
      </c>
      <c r="C570" s="1">
        <v>10.0</v>
      </c>
      <c r="D570" s="1" t="s">
        <v>6</v>
      </c>
      <c r="E570" s="1"/>
    </row>
    <row r="571" ht="14.25" customHeight="1">
      <c r="A571" s="1">
        <v>100.0</v>
      </c>
      <c r="B571" s="1" t="s">
        <v>245</v>
      </c>
      <c r="C571" s="1">
        <v>9.0</v>
      </c>
      <c r="D571" s="2" t="s">
        <v>269</v>
      </c>
      <c r="E571" s="1" t="str">
        <f>IFERROR(__xludf.DUMMYFUNCTION("GOOGLETRANSLATE(D571,""PT"",""EN"")"),"Whenever I borrowed money, it was the bank with the best interest rate, less bureaucracy is a quick transaction.")</f>
        <v>Whenever I borrowed money, it was the bank with the best interest rate, less bureaucracy is a quick transaction.</v>
      </c>
    </row>
    <row r="572" ht="14.25" customHeight="1">
      <c r="A572" s="1">
        <v>100.0</v>
      </c>
      <c r="B572" s="1" t="s">
        <v>245</v>
      </c>
      <c r="C572" s="1">
        <v>10.0</v>
      </c>
      <c r="D572" s="1" t="s">
        <v>270</v>
      </c>
      <c r="E572" s="1" t="str">
        <f>IFERROR(__xludf.DUMMYFUNCTION("GOOGLETRANSLATE(D572,""PT"",""EN"")"),"Benefits offered in the account")</f>
        <v>Benefits offered in the account</v>
      </c>
    </row>
    <row r="573" ht="14.25" customHeight="1">
      <c r="A573" s="1">
        <v>100.0</v>
      </c>
      <c r="B573" s="1" t="s">
        <v>245</v>
      </c>
      <c r="C573" s="1">
        <v>10.0</v>
      </c>
      <c r="D573" s="1" t="s">
        <v>6</v>
      </c>
      <c r="E573" s="1"/>
    </row>
    <row r="574" ht="14.25" customHeight="1">
      <c r="A574" s="1">
        <v>100.0</v>
      </c>
      <c r="B574" s="1" t="s">
        <v>245</v>
      </c>
      <c r="C574" s="1">
        <v>10.0</v>
      </c>
      <c r="D574" s="1" t="s">
        <v>198</v>
      </c>
      <c r="E574" s="1" t="str">
        <f>IFERROR(__xludf.DUMMYFUNCTION("GOOGLETRANSLATE(D574,""PT"",""EN"")"),"Good bank")</f>
        <v>Good bank</v>
      </c>
    </row>
    <row r="575" ht="14.25" customHeight="1">
      <c r="A575" s="1">
        <v>100.0</v>
      </c>
      <c r="B575" s="1" t="s">
        <v>245</v>
      </c>
      <c r="C575" s="1">
        <v>10.0</v>
      </c>
      <c r="D575" s="2" t="s">
        <v>271</v>
      </c>
      <c r="E575" s="1" t="str">
        <f>IFERROR(__xludf.DUMMYFUNCTION("GOOGLETRANSLATE(D575,""PT"",""EN"")"),"Partnership is transparency in all its products")</f>
        <v>Partnership is transparency in all its products</v>
      </c>
    </row>
    <row r="576" ht="14.25" customHeight="1">
      <c r="A576" s="1">
        <v>66.0</v>
      </c>
      <c r="B576" s="1" t="s">
        <v>245</v>
      </c>
      <c r="C576" s="1">
        <v>8.0</v>
      </c>
      <c r="D576" s="1" t="s">
        <v>6</v>
      </c>
      <c r="E576" s="1"/>
    </row>
    <row r="577" ht="14.25" customHeight="1">
      <c r="A577" s="1">
        <v>100.0</v>
      </c>
      <c r="B577" s="1" t="s">
        <v>245</v>
      </c>
      <c r="C577" s="1">
        <v>10.0</v>
      </c>
      <c r="D577" s="1" t="s">
        <v>6</v>
      </c>
      <c r="E577" s="1"/>
    </row>
    <row r="578" ht="14.25" customHeight="1">
      <c r="A578" s="1">
        <v>100.0</v>
      </c>
      <c r="B578" s="1" t="s">
        <v>245</v>
      </c>
      <c r="C578" s="1">
        <v>10.0</v>
      </c>
      <c r="D578" s="2" t="s">
        <v>272</v>
      </c>
      <c r="E578" s="1" t="str">
        <f>IFERROR(__xludf.DUMMYFUNCTION("GOOGLETRANSLATE(D578,""PT"",""EN"")"),"The knowledge I have about, commitment is Sicoob's responsibility to its associates.")</f>
        <v>The knowledge I have about, commitment is Sicoob's responsibility to its associates.</v>
      </c>
    </row>
    <row r="579" ht="14.25" customHeight="1">
      <c r="A579" s="1">
        <v>100.0</v>
      </c>
      <c r="B579" s="1" t="s">
        <v>245</v>
      </c>
      <c r="C579" s="1">
        <v>9.0</v>
      </c>
      <c r="D579" s="1" t="s">
        <v>6</v>
      </c>
      <c r="E579" s="1"/>
    </row>
    <row r="580" ht="14.25" customHeight="1">
      <c r="A580" s="1">
        <v>100.0</v>
      </c>
      <c r="B580" s="1" t="s">
        <v>245</v>
      </c>
      <c r="C580" s="1">
        <v>10.0</v>
      </c>
      <c r="D580" s="2" t="s">
        <v>273</v>
      </c>
      <c r="E580" s="1" t="str">
        <f>IFERROR(__xludf.DUMMYFUNCTION("GOOGLETRANSLATE(D580,""PT"",""EN"")"),"Good service, speed in approval is credit lines")</f>
        <v>Good service, speed in approval is credit lines</v>
      </c>
    </row>
    <row r="581" ht="14.25" customHeight="1">
      <c r="A581" s="1">
        <v>33.0</v>
      </c>
      <c r="B581" s="1" t="s">
        <v>245</v>
      </c>
      <c r="C581" s="1">
        <v>0.0</v>
      </c>
      <c r="D581" s="2" t="s">
        <v>219</v>
      </c>
      <c r="E581" s="1" t="str">
        <f>IFERROR(__xludf.DUMMYFUNCTION("GOOGLETRANSLATE(D581,""PT"",""EN"")"),"terrible attendance")</f>
        <v>terrible attendance</v>
      </c>
    </row>
    <row r="582" ht="14.25" customHeight="1">
      <c r="A582" s="1">
        <v>33.0</v>
      </c>
      <c r="B582" s="1" t="s">
        <v>245</v>
      </c>
      <c r="C582" s="1">
        <v>5.0</v>
      </c>
      <c r="D582" s="1" t="s">
        <v>274</v>
      </c>
      <c r="E582" s="1" t="str">
        <f>IFERROR(__xludf.DUMMYFUNCTION("GOOGLETRANSLATE(D582,""PT"",""EN"")"),"Need more interactivity with customers, improve the system!")</f>
        <v>Need more interactivity with customers, improve the system!</v>
      </c>
    </row>
    <row r="583" ht="14.25" customHeight="1">
      <c r="A583" s="1">
        <v>100.0</v>
      </c>
      <c r="B583" s="1" t="s">
        <v>245</v>
      </c>
      <c r="C583" s="1">
        <v>10.0</v>
      </c>
      <c r="D583" s="1" t="s">
        <v>275</v>
      </c>
      <c r="E583" s="1" t="str">
        <f>IFERROR(__xludf.DUMMYFUNCTION("GOOGLETRANSLATE(D583,""PT"",""EN"")"),"Helpful")</f>
        <v>Helpful</v>
      </c>
    </row>
    <row r="584" ht="14.25" customHeight="1">
      <c r="A584" s="1">
        <v>100.0</v>
      </c>
      <c r="B584" s="1" t="s">
        <v>245</v>
      </c>
      <c r="C584" s="1">
        <v>10.0</v>
      </c>
      <c r="D584" s="1" t="s">
        <v>6</v>
      </c>
      <c r="E584" s="1"/>
    </row>
    <row r="585" ht="14.25" customHeight="1">
      <c r="A585" s="1">
        <v>100.0</v>
      </c>
      <c r="B585" s="1" t="s">
        <v>245</v>
      </c>
      <c r="C585" s="1">
        <v>10.0</v>
      </c>
      <c r="D585" s="1" t="s">
        <v>6</v>
      </c>
      <c r="E585" s="1"/>
    </row>
    <row r="586" ht="14.25" customHeight="1">
      <c r="A586" s="1">
        <v>100.0</v>
      </c>
      <c r="B586" s="1" t="s">
        <v>245</v>
      </c>
      <c r="C586" s="1">
        <v>10.0</v>
      </c>
      <c r="D586" s="1" t="s">
        <v>276</v>
      </c>
      <c r="E586" s="1" t="str">
        <f>IFERROR(__xludf.DUMMYFUNCTION("GOOGLETRANSLATE(D586,""PT"",""EN"")"),"Very good service")</f>
        <v>Very good service</v>
      </c>
    </row>
    <row r="587" ht="14.25" customHeight="1">
      <c r="A587" s="1">
        <v>100.0</v>
      </c>
      <c r="B587" s="1" t="s">
        <v>245</v>
      </c>
      <c r="C587" s="1">
        <v>10.0</v>
      </c>
      <c r="D587" s="2" t="s">
        <v>277</v>
      </c>
      <c r="E587" s="1" t="str">
        <f>IFERROR(__xludf.DUMMYFUNCTION("GOOGLETRANSLATE(D587,""PT"",""EN"")"),"Trust cooperative is quality in services is humanized service, with respect to the associate")</f>
        <v>Trust cooperative is quality in services is humanized service, with respect to the associate</v>
      </c>
    </row>
    <row r="588" ht="14.25" customHeight="1">
      <c r="A588" s="1">
        <v>100.0</v>
      </c>
      <c r="B588" s="1" t="s">
        <v>245</v>
      </c>
      <c r="C588" s="1">
        <v>10.0</v>
      </c>
      <c r="D588" s="1" t="s">
        <v>278</v>
      </c>
      <c r="E588" s="1" t="str">
        <f>IFERROR(__xludf.DUMMYFUNCTION("GOOGLETRANSLATE(D588,""PT"",""EN"")"),"I really like service")</f>
        <v>I really like service</v>
      </c>
    </row>
    <row r="589" ht="14.25" customHeight="1">
      <c r="A589" s="1">
        <v>66.0</v>
      </c>
      <c r="B589" s="1" t="s">
        <v>245</v>
      </c>
      <c r="C589" s="1">
        <v>8.0</v>
      </c>
      <c r="D589" s="1" t="s">
        <v>279</v>
      </c>
      <c r="E589" s="1" t="str">
        <f>IFERROR(__xludf.DUMMYFUNCTION("GOOGLETRANSLATE(D589,""PT"",""EN"")"),"Poor service at the Paraúna GO unit")</f>
        <v>Poor service at the Paraúna GO unit</v>
      </c>
    </row>
    <row r="590" ht="14.25" customHeight="1">
      <c r="A590" s="1">
        <v>33.0</v>
      </c>
      <c r="B590" s="1" t="s">
        <v>245</v>
      </c>
      <c r="C590" s="1">
        <v>3.0</v>
      </c>
      <c r="D590" s="1" t="s">
        <v>6</v>
      </c>
      <c r="E590" s="1"/>
    </row>
    <row r="591" ht="14.25" customHeight="1">
      <c r="A591" s="1">
        <v>100.0</v>
      </c>
      <c r="B591" s="1" t="s">
        <v>245</v>
      </c>
      <c r="C591" s="1">
        <v>10.0</v>
      </c>
      <c r="D591" s="2" t="s">
        <v>280</v>
      </c>
      <c r="E591" s="1" t="str">
        <f>IFERROR(__xludf.DUMMYFUNCTION("GOOGLETRANSLATE(D591,""PT"",""EN"")"),"This cooperative is sensational in all requirements")</f>
        <v>This cooperative is sensational in all requirements</v>
      </c>
    </row>
    <row r="592" ht="14.25" customHeight="1">
      <c r="A592" s="1">
        <v>100.0</v>
      </c>
      <c r="B592" s="1" t="s">
        <v>245</v>
      </c>
      <c r="C592" s="1">
        <v>9.0</v>
      </c>
      <c r="D592" s="1" t="s">
        <v>6</v>
      </c>
      <c r="E592" s="1"/>
    </row>
    <row r="593" ht="14.25" customHeight="1">
      <c r="A593" s="1">
        <v>100.0</v>
      </c>
      <c r="B593" s="1" t="s">
        <v>245</v>
      </c>
      <c r="C593" s="1">
        <v>10.0</v>
      </c>
      <c r="D593" s="2" t="s">
        <v>281</v>
      </c>
      <c r="E593" s="1" t="str">
        <f>IFERROR(__xludf.DUMMYFUNCTION("GOOGLETRANSLATE(D593,""PT"",""EN"")"),"Service is the zeal for your customers")</f>
        <v>Service is the zeal for your customers</v>
      </c>
    </row>
    <row r="594" ht="14.25" customHeight="1">
      <c r="A594" s="1">
        <v>33.0</v>
      </c>
      <c r="B594" s="1" t="s">
        <v>245</v>
      </c>
      <c r="C594" s="1">
        <v>1.0</v>
      </c>
      <c r="D594" s="1" t="s">
        <v>282</v>
      </c>
      <c r="E594" s="1" t="str">
        <f>IFERROR(__xludf.DUMMYFUNCTION("GOOGLETRANSLATE(D594,""PT"",""EN"")"),"interaction.")</f>
        <v>interaction.</v>
      </c>
    </row>
    <row r="595" ht="14.25" customHeight="1">
      <c r="A595" s="1">
        <v>100.0</v>
      </c>
      <c r="B595" s="1" t="s">
        <v>245</v>
      </c>
      <c r="C595" s="1">
        <v>10.0</v>
      </c>
      <c r="D595" s="1" t="s">
        <v>6</v>
      </c>
      <c r="E595" s="1"/>
    </row>
    <row r="596" ht="14.25" customHeight="1">
      <c r="A596" s="1">
        <v>100.0</v>
      </c>
      <c r="B596" s="1" t="s">
        <v>245</v>
      </c>
      <c r="C596" s="1">
        <v>10.0</v>
      </c>
      <c r="D596" s="1" t="s">
        <v>6</v>
      </c>
      <c r="E596" s="1"/>
    </row>
    <row r="597" ht="14.25" customHeight="1">
      <c r="A597" s="1">
        <v>66.0</v>
      </c>
      <c r="B597" s="1" t="s">
        <v>245</v>
      </c>
      <c r="C597" s="1">
        <v>8.0</v>
      </c>
      <c r="D597" s="2" t="s">
        <v>283</v>
      </c>
      <c r="E597" s="1" t="str">
        <f>IFERROR(__xludf.DUMMYFUNCTION("GOOGLETRANSLATE(D597,""PT"",""EN"")"),"It's not very good is not bad either. We can't always make the necessary transactions.")</f>
        <v>It's not very good is not bad either. We can't always make the necessary transactions.</v>
      </c>
    </row>
    <row r="598" ht="14.25" customHeight="1">
      <c r="A598" s="1">
        <v>100.0</v>
      </c>
      <c r="B598" s="1" t="s">
        <v>245</v>
      </c>
      <c r="C598" s="1">
        <v>9.0</v>
      </c>
      <c r="D598" s="1" t="s">
        <v>6</v>
      </c>
      <c r="E598" s="1"/>
    </row>
    <row r="599" ht="14.25" customHeight="1">
      <c r="A599" s="1">
        <v>100.0</v>
      </c>
      <c r="B599" s="1" t="s">
        <v>245</v>
      </c>
      <c r="C599" s="1">
        <v>10.0</v>
      </c>
      <c r="D599" s="1" t="s">
        <v>6</v>
      </c>
      <c r="E599" s="1"/>
    </row>
    <row r="600" ht="14.25" customHeight="1">
      <c r="A600" s="1">
        <v>33.0</v>
      </c>
      <c r="B600" s="1" t="s">
        <v>245</v>
      </c>
      <c r="C600" s="1">
        <v>2.0</v>
      </c>
      <c r="D600" s="2" t="s">
        <v>284</v>
      </c>
      <c r="E600" s="1" t="str">
        <f>IFERROR(__xludf.DUMMYFUNCTION("GOOGLETRANSLATE(D600,""PT"",""EN"")"),"I had problems after the closing of the account. I ended my account last year is I have money to receive return that they said it would be after the March Assembly, 30 days after that. It turns out that since there they tell me that thirty days after I wo"&amp;"uld solve. It is already in June, some 80 days later it is not yet forecast I have to receive because if I do not contact anything is done. They charged me card account this year is put my name in Serasa and my account has been closed since November 2022 "&amp;"is the card was canceled in that same period. A neglect. Today, once again I contacted to hear that someone will contact us to give forecast. That's all I hear. IT DOES NOT GIVE! My experience was very, very bad.")</f>
        <v>I had problems after the closing of the account. I ended my account last year is I have money to receive return that they said it would be after the March Assembly, 30 days after that. It turns out that since there they tell me that thirty days after I would solve. It is already in June, some 80 days later it is not yet forecast I have to receive because if I do not contact anything is done. They charged me card account this year is put my name in Serasa and my account has been closed since November 2022 is the card was canceled in that same period. A neglect. Today, once again I contacted to hear that someone will contact us to give forecast. That's all I hear. IT DOES NOT GIVE! My experience was very, very bad.</v>
      </c>
    </row>
    <row r="601" ht="14.25" customHeight="1">
      <c r="A601" s="1">
        <v>100.0</v>
      </c>
      <c r="B601" s="1" t="s">
        <v>245</v>
      </c>
      <c r="C601" s="1">
        <v>10.0</v>
      </c>
      <c r="D601" s="2" t="s">
        <v>285</v>
      </c>
      <c r="E601" s="1" t="str">
        <f>IFERROR(__xludf.DUMMYFUNCTION("GOOGLETRANSLATE(D601,""PT"",""EN"")"),"Service is practicality!")</f>
        <v>Service is practicality!</v>
      </c>
    </row>
    <row r="602" ht="14.25" customHeight="1">
      <c r="A602" s="1">
        <v>100.0</v>
      </c>
      <c r="B602" s="1" t="s">
        <v>245</v>
      </c>
      <c r="C602" s="1">
        <v>10.0</v>
      </c>
      <c r="D602" s="1" t="s">
        <v>85</v>
      </c>
      <c r="E602" s="1" t="str">
        <f>IFERROR(__xludf.DUMMYFUNCTION("GOOGLETRANSLATE(D602,""PT"",""EN"")"),"Service")</f>
        <v>Service</v>
      </c>
    </row>
    <row r="603" ht="14.25" customHeight="1">
      <c r="A603" s="1">
        <v>100.0</v>
      </c>
      <c r="B603" s="1" t="s">
        <v>245</v>
      </c>
      <c r="C603" s="1">
        <v>10.0</v>
      </c>
      <c r="D603" s="1" t="s">
        <v>6</v>
      </c>
      <c r="E603" s="1"/>
    </row>
    <row r="604" ht="14.25" customHeight="1">
      <c r="A604" s="1">
        <v>100.0</v>
      </c>
      <c r="B604" s="1" t="s">
        <v>245</v>
      </c>
      <c r="C604" s="1">
        <v>10.0</v>
      </c>
      <c r="D604" s="1" t="s">
        <v>6</v>
      </c>
      <c r="E604" s="1"/>
    </row>
    <row r="605" ht="14.25" customHeight="1">
      <c r="A605" s="1">
        <v>100.0</v>
      </c>
      <c r="B605" s="1" t="s">
        <v>245</v>
      </c>
      <c r="C605" s="1">
        <v>10.0</v>
      </c>
      <c r="D605" s="1" t="s">
        <v>6</v>
      </c>
      <c r="E605" s="1"/>
    </row>
    <row r="606" ht="14.25" customHeight="1">
      <c r="A606" s="1">
        <v>100.0</v>
      </c>
      <c r="B606" s="1" t="s">
        <v>245</v>
      </c>
      <c r="C606" s="1">
        <v>10.0</v>
      </c>
      <c r="D606" s="1" t="s">
        <v>6</v>
      </c>
      <c r="E606" s="1"/>
    </row>
    <row r="607" ht="14.25" customHeight="1">
      <c r="A607" s="1">
        <v>100.0</v>
      </c>
      <c r="B607" s="1" t="s">
        <v>245</v>
      </c>
      <c r="C607" s="1">
        <v>10.0</v>
      </c>
      <c r="D607" s="1" t="s">
        <v>6</v>
      </c>
      <c r="E607" s="1"/>
    </row>
    <row r="608" ht="14.25" customHeight="1">
      <c r="A608" s="1">
        <v>100.0</v>
      </c>
      <c r="B608" s="1" t="s">
        <v>245</v>
      </c>
      <c r="C608" s="1">
        <v>10.0</v>
      </c>
      <c r="D608" s="1" t="s">
        <v>6</v>
      </c>
      <c r="E608" s="1"/>
    </row>
    <row r="609" ht="14.25" customHeight="1">
      <c r="A609" s="1">
        <v>66.0</v>
      </c>
      <c r="B609" s="1" t="s">
        <v>245</v>
      </c>
      <c r="C609" s="1">
        <v>8.0</v>
      </c>
      <c r="D609" s="1" t="s">
        <v>6</v>
      </c>
      <c r="E609" s="1"/>
    </row>
    <row r="610" ht="14.25" customHeight="1">
      <c r="A610" s="1">
        <v>100.0</v>
      </c>
      <c r="B610" s="1" t="s">
        <v>245</v>
      </c>
      <c r="C610" s="1">
        <v>10.0</v>
      </c>
      <c r="D610" s="1" t="s">
        <v>6</v>
      </c>
      <c r="E610" s="1"/>
    </row>
    <row r="611" ht="14.25" customHeight="1">
      <c r="A611" s="1">
        <v>100.0</v>
      </c>
      <c r="B611" s="1" t="s">
        <v>245</v>
      </c>
      <c r="C611" s="1">
        <v>10.0</v>
      </c>
      <c r="D611" s="1" t="s">
        <v>286</v>
      </c>
      <c r="E611" s="1" t="str">
        <f>IFERROR(__xludf.DUMMYFUNCTION("GOOGLETRANSLATE(D611,""PT"",""EN"")"),"I am totally satisfied to be a client (cooperated) of this financial entity")</f>
        <v>I am totally satisfied to be a client (cooperated) of this financial entity</v>
      </c>
    </row>
    <row r="612" ht="14.25" customHeight="1">
      <c r="A612" s="1">
        <v>100.0</v>
      </c>
      <c r="B612" s="1" t="s">
        <v>245</v>
      </c>
      <c r="C612" s="1">
        <v>10.0</v>
      </c>
      <c r="D612" s="1" t="s">
        <v>22</v>
      </c>
      <c r="E612" s="1" t="str">
        <f>IFERROR(__xludf.DUMMYFUNCTION("GOOGLETRANSLATE(D612,""PT"",""EN"")"),"Excellent service")</f>
        <v>Excellent service</v>
      </c>
    </row>
    <row r="613" ht="14.25" customHeight="1">
      <c r="A613" s="1">
        <v>100.0</v>
      </c>
      <c r="B613" s="1" t="s">
        <v>245</v>
      </c>
      <c r="C613" s="1">
        <v>10.0</v>
      </c>
      <c r="D613" s="1" t="s">
        <v>6</v>
      </c>
      <c r="E613" s="1"/>
    </row>
    <row r="614" ht="14.25" customHeight="1">
      <c r="A614" s="1">
        <v>100.0</v>
      </c>
      <c r="B614" s="1" t="s">
        <v>245</v>
      </c>
      <c r="C614" s="1">
        <v>10.0</v>
      </c>
      <c r="D614" s="1" t="s">
        <v>6</v>
      </c>
      <c r="E614" s="1"/>
    </row>
    <row r="615" ht="14.25" customHeight="1">
      <c r="A615" s="1">
        <v>100.0</v>
      </c>
      <c r="B615" s="1" t="s">
        <v>245</v>
      </c>
      <c r="C615" s="1">
        <v>9.0</v>
      </c>
      <c r="D615" s="2" t="s">
        <v>287</v>
      </c>
      <c r="E615" s="1" t="str">
        <f>IFERROR(__xludf.DUMMYFUNCTION("GOOGLETRANSLATE(D615,""PT"",""EN"")"),"Fast service is personalized.")</f>
        <v>Fast service is personalized.</v>
      </c>
    </row>
    <row r="616" ht="14.25" customHeight="1">
      <c r="A616" s="1">
        <v>33.0</v>
      </c>
      <c r="B616" s="1" t="s">
        <v>245</v>
      </c>
      <c r="C616" s="1">
        <v>6.0</v>
      </c>
      <c r="D616" s="1" t="s">
        <v>6</v>
      </c>
      <c r="E616" s="1"/>
    </row>
    <row r="617" ht="14.25" customHeight="1">
      <c r="A617" s="1">
        <v>100.0</v>
      </c>
      <c r="B617" s="1" t="s">
        <v>245</v>
      </c>
      <c r="C617" s="1">
        <v>10.0</v>
      </c>
      <c r="D617" s="1" t="s">
        <v>288</v>
      </c>
      <c r="E617" s="1" t="str">
        <f>IFERROR(__xludf.DUMMYFUNCTION("GOOGLETRANSLATE(D617,""PT"",""EN"")"),"Met all my expectations as to a cooperative bank !!")</f>
        <v>Met all my expectations as to a cooperative bank !!</v>
      </c>
    </row>
    <row r="618" ht="14.25" customHeight="1">
      <c r="A618" s="1">
        <v>100.0</v>
      </c>
      <c r="B618" s="1" t="s">
        <v>245</v>
      </c>
      <c r="C618" s="1">
        <v>10.0</v>
      </c>
      <c r="D618" s="1" t="s">
        <v>9</v>
      </c>
      <c r="E618" s="1" t="str">
        <f>IFERROR(__xludf.DUMMYFUNCTION("GOOGLETRANSLATE(D618,""PT"",""EN"")"),"10")</f>
        <v>10</v>
      </c>
    </row>
    <row r="619" ht="14.25" customHeight="1">
      <c r="A619" s="1">
        <v>100.0</v>
      </c>
      <c r="B619" s="1" t="s">
        <v>245</v>
      </c>
      <c r="C619" s="1">
        <v>10.0</v>
      </c>
      <c r="D619" s="1" t="s">
        <v>289</v>
      </c>
      <c r="E619" s="1" t="str">
        <f>IFERROR(__xludf.DUMMYFUNCTION("GOOGLETRANSLATE(D619,""PT"",""EN"")"),"well -attended")</f>
        <v>well -attended</v>
      </c>
    </row>
    <row r="620" ht="14.25" customHeight="1">
      <c r="A620" s="1">
        <v>100.0</v>
      </c>
      <c r="B620" s="1" t="s">
        <v>245</v>
      </c>
      <c r="C620" s="1">
        <v>10.0</v>
      </c>
      <c r="D620" s="1" t="s">
        <v>6</v>
      </c>
      <c r="E620" s="1"/>
    </row>
    <row r="621" ht="14.25" customHeight="1">
      <c r="A621" s="1">
        <v>66.0</v>
      </c>
      <c r="B621" s="1" t="s">
        <v>245</v>
      </c>
      <c r="C621" s="1">
        <v>7.0</v>
      </c>
      <c r="D621" s="1" t="s">
        <v>6</v>
      </c>
      <c r="E621" s="1"/>
    </row>
    <row r="622" ht="14.25" customHeight="1">
      <c r="A622" s="1">
        <v>100.0</v>
      </c>
      <c r="B622" s="1" t="s">
        <v>245</v>
      </c>
      <c r="C622" s="1">
        <v>10.0</v>
      </c>
      <c r="D622" s="1" t="s">
        <v>9</v>
      </c>
      <c r="E622" s="1" t="str">
        <f>IFERROR(__xludf.DUMMYFUNCTION("GOOGLETRANSLATE(D622,""PT"",""EN"")"),"10")</f>
        <v>10</v>
      </c>
    </row>
    <row r="623" ht="14.25" customHeight="1">
      <c r="A623" s="1">
        <v>100.0</v>
      </c>
      <c r="B623" s="1" t="s">
        <v>245</v>
      </c>
      <c r="C623" s="1">
        <v>10.0</v>
      </c>
      <c r="D623" s="1" t="s">
        <v>6</v>
      </c>
      <c r="E623" s="1"/>
    </row>
    <row r="624" ht="14.25" customHeight="1">
      <c r="A624" s="1">
        <v>100.0</v>
      </c>
      <c r="B624" s="1" t="s">
        <v>245</v>
      </c>
      <c r="C624" s="1">
        <v>10.0</v>
      </c>
      <c r="D624" s="1" t="s">
        <v>6</v>
      </c>
      <c r="E624" s="1"/>
    </row>
    <row r="625" ht="14.25" customHeight="1">
      <c r="A625" s="1">
        <v>100.0</v>
      </c>
      <c r="B625" s="1" t="s">
        <v>245</v>
      </c>
      <c r="C625" s="1">
        <v>10.0</v>
      </c>
      <c r="D625" s="1" t="s">
        <v>6</v>
      </c>
      <c r="E625" s="1"/>
    </row>
    <row r="626" ht="14.25" customHeight="1">
      <c r="A626" s="1">
        <v>100.0</v>
      </c>
      <c r="B626" s="1" t="s">
        <v>245</v>
      </c>
      <c r="C626" s="1">
        <v>10.0</v>
      </c>
      <c r="D626" s="1" t="s">
        <v>6</v>
      </c>
      <c r="E626" s="1"/>
    </row>
    <row r="627" ht="14.25" customHeight="1">
      <c r="A627" s="1">
        <v>100.0</v>
      </c>
      <c r="B627" s="1" t="s">
        <v>245</v>
      </c>
      <c r="C627" s="1">
        <v>10.0</v>
      </c>
      <c r="D627" s="2" t="s">
        <v>290</v>
      </c>
      <c r="E627" s="1" t="str">
        <f>IFERROR(__xludf.DUMMYFUNCTION("GOOGLETRANSLATE(D627,""PT"",""EN"")"),"Perfect service! Very attentive employees Highlight for Higor of the Palmeiras de was Gosá!")</f>
        <v>Perfect service! Very attentive employees Highlight for Higor of the Palmeiras de was Gosá!</v>
      </c>
    </row>
    <row r="628" ht="14.25" customHeight="1">
      <c r="A628" s="1">
        <v>66.0</v>
      </c>
      <c r="B628" s="1" t="s">
        <v>245</v>
      </c>
      <c r="C628" s="1">
        <v>8.0</v>
      </c>
      <c r="D628" s="2" t="s">
        <v>291</v>
      </c>
      <c r="E628" s="1" t="str">
        <f>IFERROR(__xludf.DUMMYFUNCTION("GOOGLETRANSLATE(D628,""PT"",""EN"")"),"I am a client for many years, Sicoob União with other Sicoob is not paid to this day the equal profits every year they deposit in capital, took our gift every year.")</f>
        <v>I am a client for many years, Sicoob União with other Sicoob is not paid to this day the equal profits every year they deposit in capital, took our gift every year.</v>
      </c>
    </row>
    <row r="629" ht="14.25" customHeight="1">
      <c r="A629" s="1">
        <v>100.0</v>
      </c>
      <c r="B629" s="1" t="s">
        <v>245</v>
      </c>
      <c r="C629" s="1">
        <v>9.0</v>
      </c>
      <c r="D629" s="1" t="s">
        <v>292</v>
      </c>
      <c r="E629" s="1" t="str">
        <f>IFERROR(__xludf.DUMMYFUNCTION("GOOGLETRANSLATE(D629,""PT"",""EN"")"),"Cooperative")</f>
        <v>Cooperative</v>
      </c>
    </row>
    <row r="630" ht="14.25" customHeight="1">
      <c r="A630" s="1">
        <v>100.0</v>
      </c>
      <c r="B630" s="1" t="s">
        <v>245</v>
      </c>
      <c r="C630" s="1">
        <v>10.0</v>
      </c>
      <c r="D630" s="2" t="s">
        <v>293</v>
      </c>
      <c r="E630" s="1" t="str">
        <f>IFERROR(__xludf.DUMMYFUNCTION("GOOGLETRANSLATE(D630,""PT"",""EN"")"),"Service, reliability is ease in banking operations")</f>
        <v>Service, reliability is ease in banking operations</v>
      </c>
    </row>
    <row r="631" ht="14.25" customHeight="1">
      <c r="A631" s="1">
        <v>100.0</v>
      </c>
      <c r="B631" s="1" t="s">
        <v>245</v>
      </c>
      <c r="C631" s="1">
        <v>10.0</v>
      </c>
      <c r="D631" s="1" t="s">
        <v>294</v>
      </c>
      <c r="E631" s="1" t="str">
        <f>IFERROR(__xludf.DUMMYFUNCTION("GOOGLETRANSLATE(D631,""PT"",""EN"")"),"Differentiated hours")</f>
        <v>Differentiated hours</v>
      </c>
    </row>
    <row r="632" ht="14.25" customHeight="1">
      <c r="A632" s="1">
        <v>66.0</v>
      </c>
      <c r="B632" s="1" t="s">
        <v>245</v>
      </c>
      <c r="C632" s="1">
        <v>8.0</v>
      </c>
      <c r="D632" s="2" t="s">
        <v>295</v>
      </c>
      <c r="E632" s="1" t="str">
        <f>IFERROR(__xludf.DUMMYFUNCTION("GOOGLETRANSLATE(D632,""PT"",""EN"")"),"Could work with Apple Pay. In addition to this would be good to put the possibility of seeing the balance when making the application, sometimes I want to apply all my balance there I need to return to see how much I have is to do the process of the begin"&amp;"ning.")</f>
        <v>Could work with Apple Pay. In addition to this would be good to put the possibility of seeing the balance when making the application, sometimes I want to apply all my balance there I need to return to see how much I have is to do the process of the beginning.</v>
      </c>
    </row>
    <row r="633" ht="14.25" customHeight="1">
      <c r="A633" s="1">
        <v>100.0</v>
      </c>
      <c r="B633" s="1" t="s">
        <v>245</v>
      </c>
      <c r="C633" s="1">
        <v>10.0</v>
      </c>
      <c r="D633" s="1" t="s">
        <v>6</v>
      </c>
      <c r="E633" s="1"/>
    </row>
    <row r="634" ht="14.25" customHeight="1">
      <c r="A634" s="1">
        <v>100.0</v>
      </c>
      <c r="B634" s="1" t="s">
        <v>245</v>
      </c>
      <c r="C634" s="1">
        <v>10.0</v>
      </c>
      <c r="D634" s="1" t="s">
        <v>67</v>
      </c>
      <c r="E634" s="1"/>
    </row>
    <row r="635" ht="14.25" customHeight="1">
      <c r="A635" s="1">
        <v>100.0</v>
      </c>
      <c r="B635" s="1" t="s">
        <v>245</v>
      </c>
      <c r="C635" s="1">
        <v>10.0</v>
      </c>
      <c r="D635" s="1" t="s">
        <v>6</v>
      </c>
      <c r="E635" s="1"/>
    </row>
    <row r="636" ht="14.25" customHeight="1">
      <c r="A636" s="1">
        <v>100.0</v>
      </c>
      <c r="B636" s="1" t="s">
        <v>245</v>
      </c>
      <c r="C636" s="1">
        <v>10.0</v>
      </c>
      <c r="D636" s="1" t="s">
        <v>296</v>
      </c>
      <c r="E636" s="1" t="str">
        <f>IFERROR(__xludf.DUMMYFUNCTION("GOOGLETRANSLATE(D636,""PT"",""EN"")"),"More personalized service, lower rates")</f>
        <v>More personalized service, lower rates</v>
      </c>
    </row>
    <row r="637" ht="14.25" customHeight="1">
      <c r="A637" s="1">
        <v>100.0</v>
      </c>
      <c r="B637" s="1" t="s">
        <v>245</v>
      </c>
      <c r="C637" s="1">
        <v>10.0</v>
      </c>
      <c r="D637" s="2" t="s">
        <v>297</v>
      </c>
      <c r="E637" s="1" t="str">
        <f>IFERROR(__xludf.DUMMYFUNCTION("GOOGLETRANSLATE(D637,""PT"",""EN"")"),"Several advantages, great service, opens at 8, quiet bank almost has no line. I super indicate Sicoob, especially Pauúna Agency")</f>
        <v>Several advantages, great service, opens at 8, quiet bank almost has no line. I super indicate Sicoob, especially Pauúna Agency</v>
      </c>
    </row>
    <row r="638" ht="14.25" customHeight="1">
      <c r="A638" s="1">
        <v>33.0</v>
      </c>
      <c r="B638" s="1" t="s">
        <v>245</v>
      </c>
      <c r="C638" s="1">
        <v>1.0</v>
      </c>
      <c r="D638" s="1" t="s">
        <v>6</v>
      </c>
      <c r="E638" s="1"/>
    </row>
    <row r="639" ht="14.25" customHeight="1">
      <c r="A639" s="1">
        <v>100.0</v>
      </c>
      <c r="B639" s="1" t="s">
        <v>245</v>
      </c>
      <c r="C639" s="1">
        <v>10.0</v>
      </c>
      <c r="D639" s="1" t="s">
        <v>298</v>
      </c>
      <c r="E639" s="1" t="str">
        <f>IFERROR(__xludf.DUMMYFUNCTION("GOOGLETRANSLATE(D639,""PT"",""EN"")"),"Personal assistance")</f>
        <v>Personal assistance</v>
      </c>
    </row>
    <row r="640" ht="14.25" customHeight="1">
      <c r="A640" s="1">
        <v>100.0</v>
      </c>
      <c r="B640" s="1" t="s">
        <v>245</v>
      </c>
      <c r="C640" s="1">
        <v>10.0</v>
      </c>
      <c r="D640" s="1" t="s">
        <v>6</v>
      </c>
      <c r="E640" s="1"/>
    </row>
    <row r="641" ht="14.25" customHeight="1">
      <c r="A641" s="1">
        <v>100.0</v>
      </c>
      <c r="B641" s="1" t="s">
        <v>245</v>
      </c>
      <c r="C641" s="1">
        <v>10.0</v>
      </c>
      <c r="D641" s="1" t="s">
        <v>6</v>
      </c>
      <c r="E641" s="1"/>
    </row>
    <row r="642" ht="14.25" customHeight="1">
      <c r="A642" s="1">
        <v>100.0</v>
      </c>
      <c r="B642" s="1" t="s">
        <v>245</v>
      </c>
      <c r="C642" s="1">
        <v>9.0</v>
      </c>
      <c r="D642" s="1" t="s">
        <v>6</v>
      </c>
      <c r="E642" s="1"/>
    </row>
    <row r="643" ht="14.25" customHeight="1">
      <c r="A643" s="1">
        <v>100.0</v>
      </c>
      <c r="B643" s="1" t="s">
        <v>245</v>
      </c>
      <c r="C643" s="1">
        <v>10.0</v>
      </c>
      <c r="D643" s="2" t="s">
        <v>299</v>
      </c>
      <c r="E643" s="1" t="str">
        <f>IFERROR(__xludf.DUMMYFUNCTION("GOOGLETRANSLATE(D643,""PT"",""EN"")"),"Competent employees is friends")</f>
        <v>Competent employees is friends</v>
      </c>
    </row>
    <row r="644" ht="14.25" customHeight="1">
      <c r="A644" s="1">
        <v>100.0</v>
      </c>
      <c r="B644" s="1" t="s">
        <v>245</v>
      </c>
      <c r="C644" s="1">
        <v>10.0</v>
      </c>
      <c r="D644" s="1" t="s">
        <v>300</v>
      </c>
      <c r="E644" s="1" t="str">
        <f>IFERROR(__xludf.DUMMYFUNCTION("GOOGLETRANSLATE(D644,""PT"",""EN"")"),"Great service honesty in the information")</f>
        <v>Great service honesty in the information</v>
      </c>
    </row>
    <row r="645" ht="14.25" customHeight="1">
      <c r="A645" s="1">
        <v>100.0</v>
      </c>
      <c r="B645" s="1" t="s">
        <v>245</v>
      </c>
      <c r="C645" s="1">
        <v>10.0</v>
      </c>
      <c r="D645" s="1" t="s">
        <v>115</v>
      </c>
      <c r="E645" s="1" t="str">
        <f>IFERROR(__xludf.DUMMYFUNCTION("GOOGLETRANSLATE(D645,""PT"",""EN"")"),"Service.")</f>
        <v>Service.</v>
      </c>
    </row>
    <row r="646" ht="14.25" customHeight="1">
      <c r="A646" s="1">
        <v>100.0</v>
      </c>
      <c r="B646" s="1" t="s">
        <v>245</v>
      </c>
      <c r="C646" s="1">
        <v>9.0</v>
      </c>
      <c r="D646" s="2" t="s">
        <v>301</v>
      </c>
      <c r="E646" s="1" t="str">
        <f>IFERROR(__xludf.DUMMYFUNCTION("GOOGLETRANSLATE(D646,""PT"",""EN"")"),"Spells on tariffs, leftovers is great service")</f>
        <v>Spells on tariffs, leftovers is great service</v>
      </c>
    </row>
    <row r="647" ht="14.25" customHeight="1">
      <c r="A647" s="1">
        <v>100.0</v>
      </c>
      <c r="B647" s="1" t="s">
        <v>245</v>
      </c>
      <c r="C647" s="1">
        <v>9.0</v>
      </c>
      <c r="D647" s="1" t="s">
        <v>302</v>
      </c>
      <c r="E647" s="1" t="str">
        <f>IFERROR(__xludf.DUMMYFUNCTION("GOOGLETRANSLATE(D647,""PT"",""EN"")"),"I am satisfied")</f>
        <v>I am satisfied</v>
      </c>
    </row>
    <row r="648" ht="14.25" customHeight="1">
      <c r="A648" s="1">
        <v>100.0</v>
      </c>
      <c r="B648" s="1" t="s">
        <v>245</v>
      </c>
      <c r="C648" s="1">
        <v>10.0</v>
      </c>
      <c r="D648" s="1" t="s">
        <v>303</v>
      </c>
      <c r="E648" s="1" t="str">
        <f>IFERROR(__xludf.DUMMYFUNCTION("GOOGLETRANSLATE(D648,""PT"",""EN"")"),"The service is very good. All employees are very educated.")</f>
        <v>The service is very good. All employees are very educated.</v>
      </c>
    </row>
    <row r="649" ht="14.25" customHeight="1">
      <c r="A649" s="1">
        <v>100.0</v>
      </c>
      <c r="B649" s="1" t="s">
        <v>245</v>
      </c>
      <c r="C649" s="1">
        <v>10.0</v>
      </c>
      <c r="D649" s="1" t="s">
        <v>6</v>
      </c>
      <c r="E649" s="1"/>
    </row>
    <row r="650" ht="14.25" customHeight="1">
      <c r="A650" s="1">
        <v>100.0</v>
      </c>
      <c r="B650" s="1" t="s">
        <v>245</v>
      </c>
      <c r="C650" s="1">
        <v>10.0</v>
      </c>
      <c r="D650" s="1" t="s">
        <v>304</v>
      </c>
      <c r="E650" s="1" t="str">
        <f>IFERROR(__xludf.DUMMYFUNCTION("GOOGLETRANSLATE(D650,""PT"",""EN"")"),"grade 10")</f>
        <v>grade 10</v>
      </c>
    </row>
    <row r="651" ht="14.25" customHeight="1">
      <c r="A651" s="1">
        <v>100.0</v>
      </c>
      <c r="B651" s="1" t="s">
        <v>245</v>
      </c>
      <c r="C651" s="1">
        <v>10.0</v>
      </c>
      <c r="D651" s="2" t="s">
        <v>305</v>
      </c>
      <c r="E651" s="1" t="str">
        <f>IFERROR(__xludf.DUMMYFUNCTION("GOOGLETRANSLATE(D651,""PT"",""EN"")"),"Easy to handle app is excellent physical service.")</f>
        <v>Easy to handle app is excellent physical service.</v>
      </c>
    </row>
    <row r="652" ht="14.25" customHeight="1">
      <c r="A652" s="1">
        <v>100.0</v>
      </c>
      <c r="B652" s="1" t="s">
        <v>245</v>
      </c>
      <c r="C652" s="1">
        <v>10.0</v>
      </c>
      <c r="D652" s="2" t="s">
        <v>306</v>
      </c>
      <c r="E652" s="1" t="str">
        <f>IFERROR(__xludf.DUMMYFUNCTION("GOOGLETRANSLATE(D652,""PT"",""EN"")"),"Bank with excellent quality of service, educated, helpful employees is attentive, cleaning is hygiene grade 10.")</f>
        <v>Bank with excellent quality of service, educated, helpful employees is attentive, cleaning is hygiene grade 10.</v>
      </c>
    </row>
    <row r="653" ht="14.25" customHeight="1">
      <c r="A653" s="1">
        <v>100.0</v>
      </c>
      <c r="B653" s="1" t="s">
        <v>245</v>
      </c>
      <c r="C653" s="1">
        <v>10.0</v>
      </c>
      <c r="D653" s="1" t="s">
        <v>307</v>
      </c>
      <c r="E653" s="1" t="str">
        <f>IFERROR(__xludf.DUMMYFUNCTION("GOOGLETRANSLATE(D653,""PT"",""EN"")"),"good service")</f>
        <v>good service</v>
      </c>
    </row>
    <row r="654" ht="14.25" customHeight="1">
      <c r="A654" s="1">
        <v>33.0</v>
      </c>
      <c r="B654" s="1" t="s">
        <v>245</v>
      </c>
      <c r="C654" s="1">
        <v>6.0</v>
      </c>
      <c r="D654" s="2" t="s">
        <v>308</v>
      </c>
      <c r="E654" s="1" t="str">
        <f>IFERROR(__xludf.DUMMYFUNCTION("GOOGLETRANSLATE(D654,""PT"",""EN"")"),"The credit line offered is terrible, as is the rates of it.")</f>
        <v>The credit line offered is terrible, as is the rates of it.</v>
      </c>
    </row>
    <row r="655" ht="14.25" customHeight="1">
      <c r="A655" s="1">
        <v>66.0</v>
      </c>
      <c r="B655" s="1" t="s">
        <v>245</v>
      </c>
      <c r="C655" s="1">
        <v>8.0</v>
      </c>
      <c r="D655" s="1" t="s">
        <v>6</v>
      </c>
      <c r="E655" s="1"/>
    </row>
    <row r="656" ht="14.25" customHeight="1">
      <c r="A656" s="1">
        <v>100.0</v>
      </c>
      <c r="B656" s="1" t="s">
        <v>245</v>
      </c>
      <c r="C656" s="1">
        <v>10.0</v>
      </c>
      <c r="D656" s="1" t="s">
        <v>6</v>
      </c>
      <c r="E656" s="1"/>
    </row>
    <row r="657" ht="14.25" customHeight="1">
      <c r="A657" s="1">
        <v>33.0</v>
      </c>
      <c r="B657" s="1" t="s">
        <v>245</v>
      </c>
      <c r="C657" s="1">
        <v>6.0</v>
      </c>
      <c r="D657" s="2" t="s">
        <v>309</v>
      </c>
      <c r="E657" s="1" t="str">
        <f>IFERROR(__xludf.DUMMYFUNCTION("GOOGLETRANSLATE(D657,""PT"",""EN"")"),"My credit card limit is very low.")</f>
        <v>My credit card limit is very low.</v>
      </c>
    </row>
    <row r="658" ht="14.25" customHeight="1">
      <c r="A658" s="1">
        <v>33.0</v>
      </c>
      <c r="B658" s="1" t="s">
        <v>245</v>
      </c>
      <c r="C658" s="1">
        <v>0.0</v>
      </c>
      <c r="D658" s="2" t="s">
        <v>310</v>
      </c>
      <c r="E658" s="1" t="str">
        <f>IFERROR(__xludf.DUMMYFUNCTION("GOOGLETRANSLATE(D658,""PT"",""EN"")"),"Pessimo Bank")</f>
        <v>Pessimo Bank</v>
      </c>
    </row>
    <row r="659" ht="14.25" customHeight="1">
      <c r="A659" s="1">
        <v>100.0</v>
      </c>
      <c r="B659" s="1" t="s">
        <v>245</v>
      </c>
      <c r="C659" s="1">
        <v>10.0</v>
      </c>
      <c r="D659" s="2" t="s">
        <v>311</v>
      </c>
      <c r="E659" s="1" t="str">
        <f>IFERROR(__xludf.DUMMYFUNCTION("GOOGLETRANSLATE(D659,""PT"",""EN"")"),"Good service is ease of credit")</f>
        <v>Good service is ease of credit</v>
      </c>
    </row>
    <row r="660" ht="14.25" customHeight="1">
      <c r="A660" s="1">
        <v>66.0</v>
      </c>
      <c r="B660" s="1" t="s">
        <v>245</v>
      </c>
      <c r="C660" s="1">
        <v>8.0</v>
      </c>
      <c r="D660" s="2" t="s">
        <v>312</v>
      </c>
      <c r="E660" s="1" t="str">
        <f>IFERROR(__xludf.DUMMYFUNCTION("GOOGLETRANSLATE(D660,""PT"",""EN"")"),"It's great just need an external deposit box that contains the cedels is to deposit the money on time")</f>
        <v>It's great just need an external deposit box that contains the cedels is to deposit the money on time</v>
      </c>
    </row>
    <row r="661" ht="14.25" customHeight="1">
      <c r="A661" s="1">
        <v>100.0</v>
      </c>
      <c r="B661" s="1" t="s">
        <v>245</v>
      </c>
      <c r="C661" s="1">
        <v>10.0</v>
      </c>
      <c r="D661" s="1" t="s">
        <v>313</v>
      </c>
      <c r="E661" s="1" t="str">
        <f>IFERROR(__xludf.DUMMYFUNCTION("GOOGLETRANSLATE(D661,""PT"",""EN"")"),"Very happy to be part")</f>
        <v>Very happy to be part</v>
      </c>
    </row>
    <row r="662" ht="14.25" customHeight="1">
      <c r="A662" s="1">
        <v>100.0</v>
      </c>
      <c r="B662" s="1" t="s">
        <v>245</v>
      </c>
      <c r="C662" s="1">
        <v>9.0</v>
      </c>
      <c r="D662" s="1" t="s">
        <v>6</v>
      </c>
      <c r="E662" s="1"/>
    </row>
    <row r="663" ht="14.25" customHeight="1">
      <c r="A663" s="1">
        <v>100.0</v>
      </c>
      <c r="B663" s="1" t="s">
        <v>245</v>
      </c>
      <c r="C663" s="1">
        <v>10.0</v>
      </c>
      <c r="D663" s="1" t="s">
        <v>37</v>
      </c>
      <c r="E663" s="1" t="str">
        <f>IFERROR(__xludf.DUMMYFUNCTION("GOOGLETRANSLATE(D663,""PT"",""EN"")"),"Great service")</f>
        <v>Great service</v>
      </c>
    </row>
    <row r="664" ht="14.25" customHeight="1">
      <c r="A664" s="1">
        <v>33.0</v>
      </c>
      <c r="B664" s="1" t="s">
        <v>245</v>
      </c>
      <c r="C664" s="1">
        <v>1.0</v>
      </c>
      <c r="D664" s="2" t="s">
        <v>314</v>
      </c>
      <c r="E664" s="1" t="str">
        <f>IFERROR(__xludf.DUMMYFUNCTION("GOOGLETRANSLATE(D664,""PT"",""EN"")"),"The agency I have an account, change of manager is direct employees. Can't relate is talking to anyone. It was good when Adriano was a manager.")</f>
        <v>The agency I have an account, change of manager is direct employees. Can't relate is talking to anyone. It was good when Adriano was a manager.</v>
      </c>
    </row>
    <row r="665" ht="14.25" customHeight="1">
      <c r="A665" s="1">
        <v>33.0</v>
      </c>
      <c r="B665" s="1" t="s">
        <v>245</v>
      </c>
      <c r="C665" s="1">
        <v>0.0</v>
      </c>
      <c r="D665" s="1" t="s">
        <v>85</v>
      </c>
      <c r="E665" s="1" t="str">
        <f>IFERROR(__xludf.DUMMYFUNCTION("GOOGLETRANSLATE(D665,""PT"",""EN"")"),"Service")</f>
        <v>Service</v>
      </c>
    </row>
    <row r="666" ht="14.25" customHeight="1">
      <c r="A666" s="1">
        <v>100.0</v>
      </c>
      <c r="B666" s="1" t="s">
        <v>245</v>
      </c>
      <c r="C666" s="1">
        <v>10.0</v>
      </c>
      <c r="D666" s="1" t="s">
        <v>6</v>
      </c>
      <c r="E666" s="1"/>
    </row>
    <row r="667" ht="14.25" customHeight="1">
      <c r="A667" s="1">
        <v>33.0</v>
      </c>
      <c r="B667" s="1" t="s">
        <v>245</v>
      </c>
      <c r="C667" s="1">
        <v>2.0</v>
      </c>
      <c r="D667" s="1" t="s">
        <v>6</v>
      </c>
      <c r="E667" s="1"/>
    </row>
    <row r="668" ht="14.25" customHeight="1">
      <c r="A668" s="1">
        <v>100.0</v>
      </c>
      <c r="B668" s="1" t="s">
        <v>245</v>
      </c>
      <c r="C668" s="1">
        <v>10.0</v>
      </c>
      <c r="D668" s="1" t="s">
        <v>6</v>
      </c>
      <c r="E668" s="1"/>
    </row>
    <row r="669" ht="14.25" customHeight="1">
      <c r="A669" s="1">
        <v>33.0</v>
      </c>
      <c r="B669" s="1" t="s">
        <v>245</v>
      </c>
      <c r="C669" s="1">
        <v>4.0</v>
      </c>
      <c r="D669" s="2" t="s">
        <v>315</v>
      </c>
      <c r="E669" s="1" t="str">
        <f>IFERROR(__xludf.DUMMYFUNCTION("GOOGLETRANSLATE(D669,""PT"",""EN"")"),"Good morning!! I have been an account holder Sicoob a short time ago. ""It has not been available to me any credit cards any line of financing or offered me something like that! I think because I have no great movement not to purchase any product beyond t"&amp;"he small amount to be cooperative, but anyway, I understand once I have some restrictions on the name, but that does not mean that I am a paying evil, I just had a hire that happens to everyone, so that is the reason that would indicate yes with this note"&amp;";")</f>
        <v>Good morning!! I have been an account holder Sicoob a short time ago. "It has not been available to me any credit cards any line of financing or offered me something like that! I think because I have no great movement not to purchase any product beyond the small amount to be cooperative, but anyway, I understand once I have some restrictions on the name, but that does not mean that I am a paying evil, I just had a hire that happens to everyone, so that is the reason that would indicate yes with this note;</v>
      </c>
    </row>
    <row r="670" ht="14.25" customHeight="1">
      <c r="A670" s="1">
        <v>100.0</v>
      </c>
      <c r="B670" s="1" t="s">
        <v>245</v>
      </c>
      <c r="C670" s="1">
        <v>10.0</v>
      </c>
      <c r="D670" s="1" t="s">
        <v>6</v>
      </c>
      <c r="E670" s="1"/>
    </row>
    <row r="671" ht="14.25" customHeight="1">
      <c r="A671" s="1">
        <v>66.0</v>
      </c>
      <c r="B671" s="1" t="s">
        <v>245</v>
      </c>
      <c r="C671" s="1">
        <v>8.0</v>
      </c>
      <c r="D671" s="2" t="s">
        <v>316</v>
      </c>
      <c r="E671" s="1" t="str">
        <f>IFERROR(__xludf.DUMMYFUNCTION("GOOGLETRANSLATE(D671,""PT"",""EN"")"),"Sicoob's main obstacle is the exaggerated bureaucracy is the delay in opening the account.")</f>
        <v>Sicoob's main obstacle is the exaggerated bureaucracy is the delay in opening the account.</v>
      </c>
    </row>
    <row r="672" ht="14.25" customHeight="1">
      <c r="A672" s="1">
        <v>33.0</v>
      </c>
      <c r="B672" s="1" t="s">
        <v>245</v>
      </c>
      <c r="C672" s="1">
        <v>6.0</v>
      </c>
      <c r="D672" s="2" t="s">
        <v>317</v>
      </c>
      <c r="E672" s="1" t="str">
        <f>IFERROR(__xludf.DUMMYFUNCTION("GOOGLETRANSLATE(D672,""PT"",""EN"")"),"Slowness of all operation is bureaucracy")</f>
        <v>Slowness of all operation is bureaucracy</v>
      </c>
    </row>
    <row r="673" ht="14.25" customHeight="1">
      <c r="A673" s="1">
        <v>66.0</v>
      </c>
      <c r="B673" s="1" t="s">
        <v>245</v>
      </c>
      <c r="C673" s="1">
        <v>8.0</v>
      </c>
      <c r="D673" s="1" t="s">
        <v>6</v>
      </c>
      <c r="E673" s="1"/>
    </row>
    <row r="674" ht="14.25" customHeight="1">
      <c r="A674" s="1">
        <v>33.0</v>
      </c>
      <c r="B674" s="1" t="s">
        <v>245</v>
      </c>
      <c r="C674" s="1">
        <v>5.0</v>
      </c>
      <c r="D674" s="2" t="s">
        <v>318</v>
      </c>
      <c r="E674" s="1" t="str">
        <f>IFERROR(__xludf.DUMMYFUNCTION("GOOGLETRANSLATE(D674,""PT"",""EN"")"),"Very bad has no limit d")</f>
        <v>Very bad has no limit d</v>
      </c>
    </row>
    <row r="675" ht="14.25" customHeight="1">
      <c r="A675" s="1">
        <v>100.0</v>
      </c>
      <c r="B675" s="1" t="s">
        <v>245</v>
      </c>
      <c r="C675" s="1">
        <v>9.0</v>
      </c>
      <c r="D675" s="1" t="s">
        <v>6</v>
      </c>
      <c r="E675" s="1"/>
    </row>
    <row r="676" ht="14.25" customHeight="1">
      <c r="A676" s="1">
        <v>100.0</v>
      </c>
      <c r="B676" s="1" t="s">
        <v>245</v>
      </c>
      <c r="C676" s="1">
        <v>10.0</v>
      </c>
      <c r="D676" s="1" t="s">
        <v>6</v>
      </c>
      <c r="E676" s="1"/>
    </row>
    <row r="677" ht="14.25" customHeight="1">
      <c r="A677" s="1">
        <v>100.0</v>
      </c>
      <c r="B677" s="1" t="s">
        <v>245</v>
      </c>
      <c r="C677" s="1">
        <v>10.0</v>
      </c>
      <c r="D677" s="1" t="s">
        <v>6</v>
      </c>
      <c r="E677" s="1"/>
    </row>
    <row r="678" ht="14.25" customHeight="1">
      <c r="A678" s="1">
        <v>100.0</v>
      </c>
      <c r="B678" s="1" t="s">
        <v>245</v>
      </c>
      <c r="C678" s="1">
        <v>9.0</v>
      </c>
      <c r="D678" s="1" t="s">
        <v>6</v>
      </c>
      <c r="E678" s="1"/>
    </row>
    <row r="679" ht="14.25" customHeight="1">
      <c r="A679" s="1">
        <v>100.0</v>
      </c>
      <c r="B679" s="1" t="s">
        <v>245</v>
      </c>
      <c r="C679" s="1">
        <v>10.0</v>
      </c>
      <c r="D679" s="1" t="s">
        <v>6</v>
      </c>
      <c r="E679" s="1"/>
    </row>
    <row r="680" ht="14.25" customHeight="1">
      <c r="A680" s="1">
        <v>100.0</v>
      </c>
      <c r="B680" s="1" t="s">
        <v>245</v>
      </c>
      <c r="C680" s="1">
        <v>10.0</v>
      </c>
      <c r="D680" s="1" t="s">
        <v>6</v>
      </c>
      <c r="E680" s="1"/>
    </row>
    <row r="681" ht="14.25" customHeight="1">
      <c r="A681" s="1">
        <v>33.0</v>
      </c>
      <c r="B681" s="1" t="s">
        <v>245</v>
      </c>
      <c r="C681" s="1">
        <v>2.0</v>
      </c>
      <c r="D681" s="2" t="s">
        <v>319</v>
      </c>
      <c r="E681" s="1" t="str">
        <f>IFERROR(__xludf.DUMMYFUNCTION("GOOGLETRANSLATE(D681,""PT"",""EN"")"),"Sicoob's service today is very similar to other financial institutions regarding service. In my opinion the quality fell. Managers only look for or serve to sell products such as consortium, for example. They do not guide how much money stopped in the acc"&amp;"ount is what would be the best application. When you have a problem, the manager does not solve, when you can contact them.")</f>
        <v>Sicoob's service today is very similar to other financial institutions regarding service. In my opinion the quality fell. Managers only look for or serve to sell products such as consortium, for example. They do not guide how much money stopped in the account is what would be the best application. When you have a problem, the manager does not solve, when you can contact them.</v>
      </c>
    </row>
    <row r="682" ht="14.25" customHeight="1">
      <c r="A682" s="1">
        <v>100.0</v>
      </c>
      <c r="B682" s="1" t="s">
        <v>245</v>
      </c>
      <c r="C682" s="1">
        <v>10.0</v>
      </c>
      <c r="D682" s="2" t="s">
        <v>320</v>
      </c>
      <c r="E682" s="1" t="str">
        <f>IFERROR(__xludf.DUMMYFUNCTION("GOOGLETRANSLATE(D682,""PT"",""EN"")"),"The cooperative is ours with no rate without high interest rates, it is like special attention to each cooperative.")</f>
        <v>The cooperative is ours with no rate without high interest rates, it is like special attention to each cooperative.</v>
      </c>
    </row>
    <row r="683" ht="14.25" customHeight="1">
      <c r="A683" s="1">
        <v>100.0</v>
      </c>
      <c r="B683" s="1" t="s">
        <v>245</v>
      </c>
      <c r="C683" s="1">
        <v>10.0</v>
      </c>
      <c r="D683" s="1" t="s">
        <v>6</v>
      </c>
      <c r="E683" s="1"/>
    </row>
    <row r="684" ht="14.25" customHeight="1">
      <c r="A684" s="1">
        <v>100.0</v>
      </c>
      <c r="B684" s="1" t="s">
        <v>245</v>
      </c>
      <c r="C684" s="1">
        <v>10.0</v>
      </c>
      <c r="D684" s="1" t="s">
        <v>6</v>
      </c>
      <c r="E684" s="1"/>
    </row>
    <row r="685" ht="14.25" customHeight="1">
      <c r="A685" s="1">
        <v>100.0</v>
      </c>
      <c r="B685" s="1" t="s">
        <v>245</v>
      </c>
      <c r="C685" s="1">
        <v>10.0</v>
      </c>
      <c r="D685" s="1" t="s">
        <v>321</v>
      </c>
      <c r="E685" s="1" t="str">
        <f>IFERROR(__xludf.DUMMYFUNCTION("GOOGLETRANSLATE(D685,""PT"",""EN"")"),"Punctual service")</f>
        <v>Punctual service</v>
      </c>
    </row>
    <row r="686" ht="14.25" customHeight="1">
      <c r="A686" s="1">
        <v>100.0</v>
      </c>
      <c r="B686" s="1" t="s">
        <v>245</v>
      </c>
      <c r="C686" s="1">
        <v>10.0</v>
      </c>
      <c r="D686" s="2" t="s">
        <v>322</v>
      </c>
      <c r="E686" s="1" t="str">
        <f>IFERROR(__xludf.DUMMYFUNCTION("GOOGLETRANSLATE(D686,""PT"",""EN"")"),"Great service I'm out of the country is solving everything here")</f>
        <v>Great service I'm out of the country is solving everything here</v>
      </c>
    </row>
    <row r="687" ht="14.25" customHeight="1">
      <c r="A687" s="1">
        <v>100.0</v>
      </c>
      <c r="B687" s="1" t="s">
        <v>245</v>
      </c>
      <c r="C687" s="1">
        <v>10.0</v>
      </c>
      <c r="D687" s="1" t="s">
        <v>6</v>
      </c>
      <c r="E687" s="1"/>
    </row>
    <row r="688" ht="14.25" customHeight="1">
      <c r="A688" s="1">
        <v>66.0</v>
      </c>
      <c r="B688" s="1" t="s">
        <v>245</v>
      </c>
      <c r="C688" s="1">
        <v>7.0</v>
      </c>
      <c r="D688" s="1" t="s">
        <v>6</v>
      </c>
      <c r="E688" s="1"/>
    </row>
    <row r="689" ht="14.25" customHeight="1">
      <c r="A689" s="1">
        <v>100.0</v>
      </c>
      <c r="B689" s="1" t="s">
        <v>245</v>
      </c>
      <c r="C689" s="1">
        <v>10.0</v>
      </c>
      <c r="D689" s="1" t="s">
        <v>85</v>
      </c>
      <c r="E689" s="1" t="str">
        <f>IFERROR(__xludf.DUMMYFUNCTION("GOOGLETRANSLATE(D689,""PT"",""EN"")"),"Service")</f>
        <v>Service</v>
      </c>
    </row>
    <row r="690" ht="14.25" customHeight="1">
      <c r="A690" s="1">
        <v>100.0</v>
      </c>
      <c r="B690" s="1" t="s">
        <v>245</v>
      </c>
      <c r="C690" s="1">
        <v>10.0</v>
      </c>
      <c r="D690" s="1" t="s">
        <v>6</v>
      </c>
      <c r="E690" s="1"/>
    </row>
    <row r="691" ht="14.25" customHeight="1">
      <c r="A691" s="1">
        <v>100.0</v>
      </c>
      <c r="B691" s="1" t="s">
        <v>245</v>
      </c>
      <c r="C691" s="1">
        <v>10.0</v>
      </c>
      <c r="D691" s="2" t="s">
        <v>323</v>
      </c>
      <c r="E691" s="1" t="str">
        <f>IFERROR(__xludf.DUMMYFUNCTION("GOOGLETRANSLATE(D691,""PT"",""EN"")"),"Excellent banking institution satisfying my needs!")</f>
        <v>Excellent banking institution satisfying my needs!</v>
      </c>
    </row>
    <row r="692" ht="14.25" customHeight="1">
      <c r="A692" s="1">
        <v>100.0</v>
      </c>
      <c r="B692" s="1" t="s">
        <v>245</v>
      </c>
      <c r="C692" s="1">
        <v>9.0</v>
      </c>
      <c r="D692" s="1" t="s">
        <v>6</v>
      </c>
      <c r="E692" s="1"/>
    </row>
    <row r="693" ht="14.25" customHeight="1">
      <c r="A693" s="1">
        <v>100.0</v>
      </c>
      <c r="B693" s="1" t="s">
        <v>245</v>
      </c>
      <c r="C693" s="1">
        <v>10.0</v>
      </c>
      <c r="D693" s="1" t="s">
        <v>42</v>
      </c>
      <c r="E693" s="1" t="str">
        <f>IFERROR(__xludf.DUMMYFUNCTION("GOOGLETRANSLATE(D693,""PT"",""EN"")"),"good service")</f>
        <v>good service</v>
      </c>
    </row>
    <row r="694" ht="14.25" customHeight="1">
      <c r="A694" s="1">
        <v>100.0</v>
      </c>
      <c r="B694" s="1" t="s">
        <v>245</v>
      </c>
      <c r="C694" s="1">
        <v>10.0</v>
      </c>
      <c r="D694" s="1" t="s">
        <v>6</v>
      </c>
      <c r="E694" s="1"/>
    </row>
    <row r="695" ht="14.25" customHeight="1">
      <c r="A695" s="1">
        <v>66.0</v>
      </c>
      <c r="B695" s="1" t="s">
        <v>245</v>
      </c>
      <c r="C695" s="1">
        <v>8.0</v>
      </c>
      <c r="D695" s="1" t="s">
        <v>324</v>
      </c>
      <c r="E695" s="1" t="str">
        <f>IFERROR(__xludf.DUMMYFUNCTION("GOOGLETRANSLATE(D695,""PT"",""EN"")"),"great financial institution")</f>
        <v>great financial institution</v>
      </c>
    </row>
    <row r="696" ht="14.25" customHeight="1">
      <c r="A696" s="1">
        <v>100.0</v>
      </c>
      <c r="B696" s="1" t="s">
        <v>245</v>
      </c>
      <c r="C696" s="1">
        <v>10.0</v>
      </c>
      <c r="D696" s="1" t="s">
        <v>325</v>
      </c>
      <c r="E696" s="1" t="str">
        <f>IFERROR(__xludf.DUMMYFUNCTION("GOOGLETRANSLATE(D696,""PT"",""EN"")"),"I really like the bank")</f>
        <v>I really like the bank</v>
      </c>
    </row>
    <row r="697" ht="14.25" customHeight="1">
      <c r="A697" s="1">
        <v>100.0</v>
      </c>
      <c r="B697" s="1" t="s">
        <v>245</v>
      </c>
      <c r="C697" s="1">
        <v>10.0</v>
      </c>
      <c r="D697" s="1" t="s">
        <v>6</v>
      </c>
      <c r="E697" s="1"/>
    </row>
    <row r="698" ht="14.25" customHeight="1">
      <c r="A698" s="1">
        <v>100.0</v>
      </c>
      <c r="B698" s="1" t="s">
        <v>245</v>
      </c>
      <c r="C698" s="1">
        <v>10.0</v>
      </c>
      <c r="D698" s="2" t="s">
        <v>326</v>
      </c>
      <c r="E698" s="1" t="str">
        <f>IFERROR(__xludf.DUMMYFUNCTION("GOOGLETRANSLATE(D698,""PT"",""EN"")"),"Excellence in service is immediate solution of doubts.")</f>
        <v>Excellence in service is immediate solution of doubts.</v>
      </c>
    </row>
    <row r="699" ht="14.25" customHeight="1">
      <c r="A699" s="1">
        <v>100.0</v>
      </c>
      <c r="B699" s="1" t="s">
        <v>245</v>
      </c>
      <c r="C699" s="1">
        <v>10.0</v>
      </c>
      <c r="D699" s="1" t="s">
        <v>327</v>
      </c>
      <c r="E699" s="1" t="str">
        <f>IFERROR(__xludf.DUMMYFUNCTION("GOOGLETRANSLATE(D699,""PT"",""EN"")"),"Service, quality, products, agility")</f>
        <v>Service, quality, products, agility</v>
      </c>
    </row>
    <row r="700" ht="14.25" customHeight="1">
      <c r="A700" s="1">
        <v>66.0</v>
      </c>
      <c r="B700" s="1" t="s">
        <v>245</v>
      </c>
      <c r="C700" s="1">
        <v>8.0</v>
      </c>
      <c r="D700" s="1" t="s">
        <v>328</v>
      </c>
      <c r="E700" s="1" t="str">
        <f>IFERROR(__xludf.DUMMYFUNCTION("GOOGLETRANSLATE(D700,""PT"",""EN"")"),"GOOD")</f>
        <v>GOOD</v>
      </c>
    </row>
    <row r="701" ht="14.25" customHeight="1">
      <c r="A701" s="1">
        <v>33.0</v>
      </c>
      <c r="B701" s="1" t="s">
        <v>245</v>
      </c>
      <c r="C701" s="1">
        <v>6.0</v>
      </c>
      <c r="D701" s="2" t="s">
        <v>329</v>
      </c>
      <c r="E701" s="1" t="str">
        <f>IFERROR(__xludf.DUMMYFUNCTION("GOOGLETRANSLATE(D701,""PT"",""EN"")"),"It is diminishing the benefits of being cooperative, becoming more like a bank. Which takes the differential.")</f>
        <v>It is diminishing the benefits of being cooperative, becoming more like a bank. Which takes the differential.</v>
      </c>
    </row>
    <row r="702" ht="14.25" customHeight="1">
      <c r="A702" s="1">
        <v>66.0</v>
      </c>
      <c r="B702" s="1" t="s">
        <v>245</v>
      </c>
      <c r="C702" s="1">
        <v>7.0</v>
      </c>
      <c r="D702" s="1" t="s">
        <v>6</v>
      </c>
      <c r="E702" s="1"/>
    </row>
    <row r="703" ht="14.25" customHeight="1">
      <c r="A703" s="1">
        <v>100.0</v>
      </c>
      <c r="B703" s="1" t="s">
        <v>245</v>
      </c>
      <c r="C703" s="1">
        <v>10.0</v>
      </c>
      <c r="D703" s="1" t="s">
        <v>330</v>
      </c>
      <c r="E703" s="1" t="str">
        <f>IFERROR(__xludf.DUMMYFUNCTION("GOOGLETRANSLATE(D703,""PT"",""EN"")"),"for their conservative values")</f>
        <v>for their conservative values</v>
      </c>
    </row>
    <row r="704" ht="14.25" customHeight="1">
      <c r="A704" s="1">
        <v>100.0</v>
      </c>
      <c r="B704" s="1" t="s">
        <v>245</v>
      </c>
      <c r="C704" s="1">
        <v>10.0</v>
      </c>
      <c r="D704" s="1" t="s">
        <v>6</v>
      </c>
      <c r="E704" s="1"/>
    </row>
    <row r="705" ht="14.25" customHeight="1">
      <c r="A705" s="1">
        <v>100.0</v>
      </c>
      <c r="B705" s="1" t="s">
        <v>245</v>
      </c>
      <c r="C705" s="1">
        <v>10.0</v>
      </c>
      <c r="D705" s="1" t="s">
        <v>6</v>
      </c>
      <c r="E705" s="1"/>
    </row>
    <row r="706" ht="14.25" customHeight="1">
      <c r="A706" s="1">
        <v>33.0</v>
      </c>
      <c r="B706" s="1" t="s">
        <v>245</v>
      </c>
      <c r="C706" s="1">
        <v>0.0</v>
      </c>
      <c r="D706" s="1" t="s">
        <v>6</v>
      </c>
      <c r="E706" s="1"/>
    </row>
    <row r="707" ht="14.25" customHeight="1">
      <c r="A707" s="1">
        <v>100.0</v>
      </c>
      <c r="B707" s="1" t="s">
        <v>245</v>
      </c>
      <c r="C707" s="1">
        <v>10.0</v>
      </c>
      <c r="D707" s="2" t="s">
        <v>331</v>
      </c>
      <c r="E707" s="1" t="str">
        <f>IFERROR(__xludf.DUMMYFUNCTION("GOOGLETRANSLATE(D707,""PT"",""EN"")"),"The great service.")</f>
        <v>The great service.</v>
      </c>
    </row>
    <row r="708" ht="14.25" customHeight="1">
      <c r="A708" s="1">
        <v>66.0</v>
      </c>
      <c r="B708" s="1" t="s">
        <v>245</v>
      </c>
      <c r="C708" s="1">
        <v>7.0</v>
      </c>
      <c r="D708" s="1" t="s">
        <v>332</v>
      </c>
      <c r="E708" s="1" t="str">
        <f>IFERROR(__xludf.DUMMYFUNCTION("GOOGLETRANSLATE(D708,""PT"",""EN"")"),"I miss the cooperative service yet!")</f>
        <v>I miss the cooperative service yet!</v>
      </c>
    </row>
    <row r="709" ht="14.25" customHeight="1">
      <c r="A709" s="1">
        <v>100.0</v>
      </c>
      <c r="B709" s="1" t="s">
        <v>245</v>
      </c>
      <c r="C709" s="1">
        <v>10.0</v>
      </c>
      <c r="D709" s="2" t="s">
        <v>333</v>
      </c>
      <c r="E709" s="1" t="str">
        <f>IFERROR(__xludf.DUMMYFUNCTION("GOOGLETRANSLATE(D709,""PT"",""EN"")"),"Good service is education of all employees")</f>
        <v>Good service is education of all employees</v>
      </c>
    </row>
    <row r="710" ht="14.25" customHeight="1">
      <c r="A710" s="1">
        <v>100.0</v>
      </c>
      <c r="B710" s="1" t="s">
        <v>245</v>
      </c>
      <c r="C710" s="1">
        <v>9.0</v>
      </c>
      <c r="D710" s="1" t="s">
        <v>6</v>
      </c>
      <c r="E710" s="1"/>
    </row>
    <row r="711" ht="14.25" customHeight="1">
      <c r="A711" s="1">
        <v>100.0</v>
      </c>
      <c r="B711" s="1" t="s">
        <v>245</v>
      </c>
      <c r="C711" s="1">
        <v>9.0</v>
      </c>
      <c r="D711" s="1" t="s">
        <v>6</v>
      </c>
      <c r="E711" s="1"/>
    </row>
    <row r="712" ht="14.25" customHeight="1">
      <c r="A712" s="1">
        <v>100.0</v>
      </c>
      <c r="B712" s="1" t="s">
        <v>245</v>
      </c>
      <c r="C712" s="1">
        <v>10.0</v>
      </c>
      <c r="D712" s="1" t="s">
        <v>6</v>
      </c>
      <c r="E712" s="1"/>
    </row>
    <row r="713" ht="14.25" customHeight="1">
      <c r="A713" s="1">
        <v>100.0</v>
      </c>
      <c r="B713" s="1" t="s">
        <v>245</v>
      </c>
      <c r="C713" s="1">
        <v>9.0</v>
      </c>
      <c r="D713" s="1" t="s">
        <v>334</v>
      </c>
      <c r="E713" s="1" t="str">
        <f>IFERROR(__xludf.DUMMYFUNCTION("GOOGLETRANSLATE(D713,""PT"",""EN"")"),"Transparency, participation")</f>
        <v>Transparency, participation</v>
      </c>
    </row>
    <row r="714" ht="14.25" customHeight="1">
      <c r="A714" s="1">
        <v>100.0</v>
      </c>
      <c r="B714" s="1" t="s">
        <v>245</v>
      </c>
      <c r="C714" s="1">
        <v>10.0</v>
      </c>
      <c r="D714" s="1" t="s">
        <v>159</v>
      </c>
      <c r="E714" s="1" t="str">
        <f>IFERROR(__xludf.DUMMYFUNCTION("GOOGLETRANSLATE(D714,""PT"",""EN"")"),"Attention")</f>
        <v>Attention</v>
      </c>
    </row>
    <row r="715" ht="14.25" customHeight="1">
      <c r="A715" s="1">
        <v>100.0</v>
      </c>
      <c r="B715" s="1" t="s">
        <v>245</v>
      </c>
      <c r="C715" s="1">
        <v>10.0</v>
      </c>
      <c r="D715" s="1" t="s">
        <v>6</v>
      </c>
      <c r="E715" s="1"/>
    </row>
    <row r="716" ht="14.25" customHeight="1">
      <c r="A716" s="1">
        <v>100.0</v>
      </c>
      <c r="B716" s="1" t="s">
        <v>245</v>
      </c>
      <c r="C716" s="1">
        <v>10.0</v>
      </c>
      <c r="D716" s="2" t="s">
        <v>335</v>
      </c>
      <c r="E716" s="1" t="str">
        <f>IFERROR(__xludf.DUMMYFUNCTION("GOOGLETRANSLATE(D716,""PT"",""EN"")"),"The good service is the motivation.")</f>
        <v>The good service is the motivation.</v>
      </c>
    </row>
    <row r="717" ht="14.25" customHeight="1">
      <c r="A717" s="1">
        <v>100.0</v>
      </c>
      <c r="B717" s="1" t="s">
        <v>245</v>
      </c>
      <c r="C717" s="1">
        <v>10.0</v>
      </c>
      <c r="D717" s="1" t="s">
        <v>6</v>
      </c>
      <c r="E717" s="1"/>
    </row>
    <row r="718" ht="14.25" customHeight="1">
      <c r="A718" s="1">
        <v>33.0</v>
      </c>
      <c r="B718" s="1" t="s">
        <v>245</v>
      </c>
      <c r="C718" s="1">
        <v>5.0</v>
      </c>
      <c r="D718" s="1" t="s">
        <v>336</v>
      </c>
      <c r="E718" s="1" t="str">
        <f>IFERROR(__xludf.DUMMYFUNCTION("GOOGLETRANSLATE(D718,""PT"",""EN"")"),"Manager")</f>
        <v>Manager</v>
      </c>
    </row>
    <row r="719" ht="14.25" customHeight="1">
      <c r="A719" s="1">
        <v>100.0</v>
      </c>
      <c r="B719" s="1" t="s">
        <v>245</v>
      </c>
      <c r="C719" s="1">
        <v>10.0</v>
      </c>
      <c r="D719" s="1" t="s">
        <v>6</v>
      </c>
      <c r="E719" s="1"/>
    </row>
    <row r="720" ht="14.25" customHeight="1">
      <c r="A720" s="1">
        <v>33.0</v>
      </c>
      <c r="B720" s="1" t="s">
        <v>245</v>
      </c>
      <c r="C720" s="1">
        <v>0.0</v>
      </c>
      <c r="D720" s="2" t="s">
        <v>337</v>
      </c>
      <c r="E720" s="1" t="str">
        <f>IFERROR(__xludf.DUMMYFUNCTION("GOOGLETRANSLATE(D720,""PT"",""EN"")"),"Pessimal service, for this management of our investments, pessimal service provided. The worst bank I worked for.")</f>
        <v>Pessimal service, for this management of our investments, pessimal service provided. The worst bank I worked for.</v>
      </c>
    </row>
    <row r="721" ht="14.25" customHeight="1">
      <c r="A721" s="1">
        <v>100.0</v>
      </c>
      <c r="B721" s="1" t="s">
        <v>245</v>
      </c>
      <c r="C721" s="1">
        <v>10.0</v>
      </c>
      <c r="D721" s="1" t="s">
        <v>62</v>
      </c>
      <c r="E721" s="1" t="str">
        <f>IFERROR(__xludf.DUMMYFUNCTION("GOOGLETRANSLATE(D721,""PT"",""EN"")"),"Good service")</f>
        <v>Good service</v>
      </c>
    </row>
    <row r="722" ht="14.25" customHeight="1">
      <c r="A722" s="1">
        <v>33.0</v>
      </c>
      <c r="B722" s="1" t="s">
        <v>245</v>
      </c>
      <c r="C722" s="1">
        <v>4.0</v>
      </c>
      <c r="D722" s="1" t="s">
        <v>6</v>
      </c>
      <c r="E722" s="1"/>
    </row>
    <row r="723" ht="14.25" customHeight="1">
      <c r="A723" s="1">
        <v>100.0</v>
      </c>
      <c r="B723" s="1" t="s">
        <v>245</v>
      </c>
      <c r="C723" s="1">
        <v>10.0</v>
      </c>
      <c r="D723" s="1" t="s">
        <v>6</v>
      </c>
      <c r="E723" s="1"/>
    </row>
    <row r="724" ht="14.25" customHeight="1">
      <c r="A724" s="1">
        <v>66.0</v>
      </c>
      <c r="B724" s="1" t="s">
        <v>245</v>
      </c>
      <c r="C724" s="1">
        <v>8.0</v>
      </c>
      <c r="D724" s="1" t="s">
        <v>338</v>
      </c>
      <c r="E724" s="1" t="str">
        <f>IFERROR(__xludf.DUMMYFUNCTION("GOOGLETRANSLATE(D724,""PT"",""EN"")"),"OK Agency service, app app very good ..")</f>
        <v>OK Agency service, app app very good ..</v>
      </c>
    </row>
    <row r="725" ht="14.25" customHeight="1">
      <c r="A725" s="1">
        <v>100.0</v>
      </c>
      <c r="B725" s="1" t="s">
        <v>245</v>
      </c>
      <c r="C725" s="1">
        <v>10.0</v>
      </c>
      <c r="D725" s="2" t="s">
        <v>339</v>
      </c>
      <c r="E725" s="1" t="str">
        <f>IFERROR(__xludf.DUMMYFUNCTION("GOOGLETRANSLATE(D725,""PT"",""EN"")"),"Care, education, concern with the cooperative !! Always many professional! Nothing to complain about !! Congratulations to all for the service ... overall 100% thanks for everything !!!")</f>
        <v>Care, education, concern with the cooperative !! Always many professional! Nothing to complain about !! Congratulations to all for the service ... overall 100% thanks for everything !!!</v>
      </c>
    </row>
    <row r="726" ht="14.25" customHeight="1">
      <c r="A726" s="1">
        <v>33.0</v>
      </c>
      <c r="B726" s="1" t="s">
        <v>245</v>
      </c>
      <c r="C726" s="1">
        <v>3.0</v>
      </c>
      <c r="D726" s="2" t="s">
        <v>219</v>
      </c>
      <c r="E726" s="1" t="str">
        <f>IFERROR(__xludf.DUMMYFUNCTION("GOOGLETRANSLATE(D726,""PT"",""EN"")"),"terrible attendance")</f>
        <v>terrible attendance</v>
      </c>
    </row>
    <row r="727" ht="14.25" customHeight="1">
      <c r="A727" s="1">
        <v>100.0</v>
      </c>
      <c r="B727" s="1" t="s">
        <v>245</v>
      </c>
      <c r="C727" s="1">
        <v>10.0</v>
      </c>
      <c r="D727" s="1" t="s">
        <v>6</v>
      </c>
      <c r="E727" s="1"/>
    </row>
    <row r="728" ht="14.25" customHeight="1">
      <c r="A728" s="1">
        <v>100.0</v>
      </c>
      <c r="B728" s="1" t="s">
        <v>245</v>
      </c>
      <c r="C728" s="1">
        <v>10.0</v>
      </c>
      <c r="D728" s="2" t="s">
        <v>340</v>
      </c>
      <c r="E728" s="1" t="str">
        <f>IFERROR(__xludf.DUMMYFUNCTION("GOOGLETRANSLATE(D728,""PT"",""EN"")"),"has one of the best calls")</f>
        <v>has one of the best calls</v>
      </c>
    </row>
    <row r="729" ht="14.25" customHeight="1">
      <c r="A729" s="1">
        <v>100.0</v>
      </c>
      <c r="B729" s="1" t="s">
        <v>245</v>
      </c>
      <c r="C729" s="1">
        <v>9.0</v>
      </c>
      <c r="D729" s="1" t="s">
        <v>341</v>
      </c>
      <c r="E729" s="1" t="str">
        <f>IFERROR(__xludf.DUMMYFUNCTION("GOOGLETRANSLATE(D729,""PT"",""EN"")"),"a customer partner")</f>
        <v>a customer partner</v>
      </c>
    </row>
    <row r="730" ht="14.25" customHeight="1">
      <c r="A730" s="1">
        <v>100.0</v>
      </c>
      <c r="B730" s="1" t="s">
        <v>245</v>
      </c>
      <c r="C730" s="1">
        <v>10.0</v>
      </c>
      <c r="D730" s="1" t="s">
        <v>6</v>
      </c>
      <c r="E730" s="1"/>
    </row>
    <row r="731" ht="14.25" customHeight="1">
      <c r="A731" s="1">
        <v>100.0</v>
      </c>
      <c r="B731" s="1" t="s">
        <v>245</v>
      </c>
      <c r="C731" s="1">
        <v>10.0</v>
      </c>
      <c r="D731" s="1" t="s">
        <v>342</v>
      </c>
      <c r="E731" s="1" t="str">
        <f>IFERROR(__xludf.DUMMYFUNCTION("GOOGLETRANSLATE(D731,""PT"",""EN"")"),"Perfect service")</f>
        <v>Perfect service</v>
      </c>
    </row>
    <row r="732" ht="14.25" customHeight="1">
      <c r="A732" s="1">
        <v>100.0</v>
      </c>
      <c r="B732" s="1" t="s">
        <v>245</v>
      </c>
      <c r="C732" s="1">
        <v>10.0</v>
      </c>
      <c r="D732" s="1" t="s">
        <v>343</v>
      </c>
      <c r="E732" s="1" t="str">
        <f>IFERROR(__xludf.DUMMYFUNCTION("GOOGLETRANSLATE(D732,""PT"",""EN"")"),"Security, service")</f>
        <v>Security, service</v>
      </c>
    </row>
    <row r="733" ht="14.25" customHeight="1">
      <c r="A733" s="1">
        <v>100.0</v>
      </c>
      <c r="B733" s="1" t="s">
        <v>245</v>
      </c>
      <c r="C733" s="1">
        <v>10.0</v>
      </c>
      <c r="D733" s="1" t="s">
        <v>6</v>
      </c>
      <c r="E733" s="1"/>
    </row>
    <row r="734" ht="14.25" customHeight="1">
      <c r="A734" s="1">
        <v>100.0</v>
      </c>
      <c r="B734" s="1" t="s">
        <v>245</v>
      </c>
      <c r="C734" s="1">
        <v>10.0</v>
      </c>
      <c r="D734" s="1" t="s">
        <v>6</v>
      </c>
      <c r="E734" s="1"/>
    </row>
    <row r="735" ht="14.25" customHeight="1">
      <c r="A735" s="1">
        <v>33.0</v>
      </c>
      <c r="B735" s="1" t="s">
        <v>245</v>
      </c>
      <c r="C735" s="1">
        <v>1.0</v>
      </c>
      <c r="D735" s="2" t="s">
        <v>344</v>
      </c>
      <c r="E735" s="1" t="str">
        <f>IFERROR(__xludf.DUMMYFUNCTION("GOOGLETRANSLATE(D735,""PT"",""EN"")"),"It was not a partner when the company needed the most. Even having integrated capital there")</f>
        <v>It was not a partner when the company needed the most. Even having integrated capital there</v>
      </c>
    </row>
    <row r="736" ht="14.25" customHeight="1">
      <c r="A736" s="1">
        <v>100.0</v>
      </c>
      <c r="B736" s="1" t="s">
        <v>245</v>
      </c>
      <c r="C736" s="1">
        <v>10.0</v>
      </c>
      <c r="D736" s="2" t="s">
        <v>345</v>
      </c>
      <c r="E736" s="1" t="str">
        <f>IFERROR(__xludf.DUMMYFUNCTION("GOOGLETRANSLATE(D736,""PT"",""EN"")"),"Company that values ​​the members is employees. Anyway ... Perfect")</f>
        <v>Company that values ​​the members is employees. Anyway ... Perfect</v>
      </c>
    </row>
    <row r="737" ht="14.25" customHeight="1">
      <c r="A737" s="1">
        <v>66.0</v>
      </c>
      <c r="B737" s="1" t="s">
        <v>245</v>
      </c>
      <c r="C737" s="1">
        <v>8.0</v>
      </c>
      <c r="D737" s="1" t="s">
        <v>6</v>
      </c>
      <c r="E737" s="1"/>
    </row>
    <row r="738" ht="14.25" customHeight="1">
      <c r="A738" s="1">
        <v>33.0</v>
      </c>
      <c r="B738" s="1" t="s">
        <v>245</v>
      </c>
      <c r="C738" s="1">
        <v>0.0</v>
      </c>
      <c r="D738" s="1" t="s">
        <v>6</v>
      </c>
      <c r="E738" s="1"/>
    </row>
    <row r="739" ht="14.25" customHeight="1">
      <c r="A739" s="1">
        <v>33.0</v>
      </c>
      <c r="B739" s="1" t="s">
        <v>245</v>
      </c>
      <c r="C739" s="1">
        <v>5.0</v>
      </c>
      <c r="D739" s="1" t="s">
        <v>6</v>
      </c>
      <c r="E739" s="1"/>
    </row>
    <row r="740" ht="14.25" customHeight="1">
      <c r="A740" s="1">
        <v>100.0</v>
      </c>
      <c r="B740" s="1" t="s">
        <v>245</v>
      </c>
      <c r="C740" s="1">
        <v>10.0</v>
      </c>
      <c r="D740" s="1" t="s">
        <v>6</v>
      </c>
      <c r="E740" s="1"/>
    </row>
    <row r="741" ht="14.25" customHeight="1">
      <c r="A741" s="1">
        <v>100.0</v>
      </c>
      <c r="B741" s="1" t="s">
        <v>245</v>
      </c>
      <c r="C741" s="1">
        <v>10.0</v>
      </c>
      <c r="D741" s="1" t="s">
        <v>20</v>
      </c>
      <c r="E741" s="1" t="str">
        <f>IFERROR(__xludf.DUMMYFUNCTION("GOOGLETRANSLATE(D741,""PT"",""EN"")"),"Very good")</f>
        <v>Very good</v>
      </c>
    </row>
    <row r="742" ht="14.25" customHeight="1">
      <c r="A742" s="1">
        <v>66.0</v>
      </c>
      <c r="B742" s="1" t="s">
        <v>245</v>
      </c>
      <c r="C742" s="1">
        <v>8.0</v>
      </c>
      <c r="D742" s="1" t="s">
        <v>346</v>
      </c>
      <c r="E742" s="1" t="str">
        <f>IFERROR(__xludf.DUMMYFUNCTION("GOOGLETRANSLATE(D742,""PT"",""EN"")"),"A GREAT BANK")</f>
        <v>A GREAT BANK</v>
      </c>
    </row>
    <row r="743" ht="14.25" customHeight="1">
      <c r="A743" s="1">
        <v>100.0</v>
      </c>
      <c r="B743" s="1" t="s">
        <v>245</v>
      </c>
      <c r="C743" s="1">
        <v>9.0</v>
      </c>
      <c r="D743" s="1" t="s">
        <v>6</v>
      </c>
      <c r="E743" s="1"/>
    </row>
    <row r="744" ht="14.25" customHeight="1">
      <c r="A744" s="1">
        <v>100.0</v>
      </c>
      <c r="B744" s="1" t="s">
        <v>245</v>
      </c>
      <c r="C744" s="1">
        <v>9.0</v>
      </c>
      <c r="D744" s="1" t="s">
        <v>347</v>
      </c>
      <c r="E744" s="1" t="str">
        <f>IFERROR(__xludf.DUMMYFUNCTION("GOOGLETRANSLATE(D744,""PT"",""EN"")"),"Good service!")</f>
        <v>Good service!</v>
      </c>
    </row>
    <row r="745" ht="14.25" customHeight="1">
      <c r="A745" s="1">
        <v>66.0</v>
      </c>
      <c r="B745" s="1" t="s">
        <v>245</v>
      </c>
      <c r="C745" s="1">
        <v>7.0</v>
      </c>
      <c r="D745" s="2" t="s">
        <v>348</v>
      </c>
      <c r="E745" s="1" t="str">
        <f>IFERROR(__xludf.DUMMYFUNCTION("GOOGLETRANSLATE(D745,""PT"",""EN"")"),"The fact that it always needs a guarantor is a factor that makes it difficult to get a loan.")</f>
        <v>The fact that it always needs a guarantor is a factor that makes it difficult to get a loan.</v>
      </c>
    </row>
    <row r="746" ht="14.25" customHeight="1">
      <c r="A746" s="1">
        <v>100.0</v>
      </c>
      <c r="B746" s="1" t="s">
        <v>245</v>
      </c>
      <c r="C746" s="1">
        <v>10.0</v>
      </c>
      <c r="D746" s="1" t="s">
        <v>349</v>
      </c>
      <c r="E746" s="1" t="str">
        <f>IFERROR(__xludf.DUMMYFUNCTION("GOOGLETRANSLATE(D746,""PT"",""EN"")"),"A great service !!")</f>
        <v>A great service !!</v>
      </c>
    </row>
    <row r="747" ht="14.25" customHeight="1">
      <c r="A747" s="1">
        <v>33.0</v>
      </c>
      <c r="B747" s="1" t="s">
        <v>245</v>
      </c>
      <c r="C747" s="1">
        <v>0.0</v>
      </c>
      <c r="D747" s="1" t="s">
        <v>6</v>
      </c>
      <c r="E747" s="1"/>
    </row>
    <row r="748" ht="14.25" customHeight="1">
      <c r="A748" s="1">
        <v>100.0</v>
      </c>
      <c r="B748" s="1" t="s">
        <v>245</v>
      </c>
      <c r="C748" s="1">
        <v>10.0</v>
      </c>
      <c r="D748" s="1" t="s">
        <v>6</v>
      </c>
      <c r="E748" s="1"/>
    </row>
    <row r="749" ht="14.25" customHeight="1">
      <c r="A749" s="1">
        <v>33.0</v>
      </c>
      <c r="B749" s="1" t="s">
        <v>245</v>
      </c>
      <c r="C749" s="1">
        <v>6.0</v>
      </c>
      <c r="D749" s="2" t="s">
        <v>350</v>
      </c>
      <c r="E749" s="1" t="str">
        <f>IFERROR(__xludf.DUMMYFUNCTION("GOOGLETRANSLATE(D749,""PT"",""EN"")"),"When I needed to finance my car for work is my house they make nothing easier I got with a bank that doesn't even count I have Bradesco")</f>
        <v>When I needed to finance my car for work is my house they make nothing easier I got with a bank that doesn't even count I have Bradesco</v>
      </c>
    </row>
    <row r="750" ht="14.25" customHeight="1">
      <c r="A750" s="1">
        <v>100.0</v>
      </c>
      <c r="B750" s="1" t="s">
        <v>245</v>
      </c>
      <c r="C750" s="1">
        <v>10.0</v>
      </c>
      <c r="D750" s="2" t="s">
        <v>351</v>
      </c>
      <c r="E750" s="1" t="str">
        <f>IFERROR(__xludf.DUMMYFUNCTION("GOOGLETRANSLATE(D750,""PT"",""EN"")"),"Satisfaction is service")</f>
        <v>Satisfaction is service</v>
      </c>
    </row>
    <row r="751" ht="14.25" customHeight="1">
      <c r="A751" s="1">
        <v>66.0</v>
      </c>
      <c r="B751" s="1" t="s">
        <v>245</v>
      </c>
      <c r="C751" s="1">
        <v>8.0</v>
      </c>
      <c r="D751" s="1" t="s">
        <v>85</v>
      </c>
      <c r="E751" s="1" t="str">
        <f>IFERROR(__xludf.DUMMYFUNCTION("GOOGLETRANSLATE(D751,""PT"",""EN"")"),"Service")</f>
        <v>Service</v>
      </c>
    </row>
    <row r="752" ht="14.25" customHeight="1">
      <c r="A752" s="1">
        <v>100.0</v>
      </c>
      <c r="B752" s="1" t="s">
        <v>245</v>
      </c>
      <c r="C752" s="1">
        <v>9.0</v>
      </c>
      <c r="D752" s="1" t="s">
        <v>6</v>
      </c>
      <c r="E752" s="1"/>
    </row>
    <row r="753" ht="14.25" customHeight="1">
      <c r="A753" s="1">
        <v>100.0</v>
      </c>
      <c r="B753" s="1" t="s">
        <v>245</v>
      </c>
      <c r="C753" s="1">
        <v>10.0</v>
      </c>
      <c r="D753" s="1" t="s">
        <v>352</v>
      </c>
      <c r="E753" s="1" t="str">
        <f>IFERROR(__xludf.DUMMYFUNCTION("GOOGLETRANSLATE(D753,""PT"",""EN"")"),"Top")</f>
        <v>Top</v>
      </c>
    </row>
    <row r="754" ht="14.25" customHeight="1">
      <c r="A754" s="1">
        <v>100.0</v>
      </c>
      <c r="B754" s="1" t="s">
        <v>245</v>
      </c>
      <c r="C754" s="1">
        <v>10.0</v>
      </c>
      <c r="D754" s="1" t="s">
        <v>6</v>
      </c>
      <c r="E754" s="1"/>
    </row>
    <row r="755" ht="14.25" customHeight="1">
      <c r="A755" s="1">
        <v>100.0</v>
      </c>
      <c r="B755" s="1" t="s">
        <v>245</v>
      </c>
      <c r="C755" s="1">
        <v>9.0</v>
      </c>
      <c r="D755" s="1" t="s">
        <v>6</v>
      </c>
      <c r="E755" s="1"/>
    </row>
    <row r="756" ht="14.25" customHeight="1">
      <c r="A756" s="1">
        <v>100.0</v>
      </c>
      <c r="B756" s="1" t="s">
        <v>245</v>
      </c>
      <c r="C756" s="1">
        <v>10.0</v>
      </c>
      <c r="D756" s="1" t="s">
        <v>353</v>
      </c>
      <c r="E756" s="1" t="str">
        <f>IFERROR(__xludf.DUMMYFUNCTION("GOOGLETRANSLATE(D756,""PT"",""EN"")"),"Excelent reception!")</f>
        <v>Excelent reception!</v>
      </c>
    </row>
    <row r="757" ht="14.25" customHeight="1">
      <c r="A757" s="1">
        <v>100.0</v>
      </c>
      <c r="B757" s="1" t="s">
        <v>245</v>
      </c>
      <c r="C757" s="1">
        <v>10.0</v>
      </c>
      <c r="D757" s="1" t="s">
        <v>85</v>
      </c>
      <c r="E757" s="1" t="str">
        <f>IFERROR(__xludf.DUMMYFUNCTION("GOOGLETRANSLATE(D757,""PT"",""EN"")"),"Service")</f>
        <v>Service</v>
      </c>
    </row>
    <row r="758" ht="14.25" customHeight="1">
      <c r="A758" s="1">
        <v>33.0</v>
      </c>
      <c r="B758" s="1" t="s">
        <v>245</v>
      </c>
      <c r="C758" s="1">
        <v>2.0</v>
      </c>
      <c r="D758" s="1" t="s">
        <v>6</v>
      </c>
      <c r="E758" s="1"/>
    </row>
    <row r="759" ht="14.25" customHeight="1">
      <c r="A759" s="1">
        <v>66.0</v>
      </c>
      <c r="B759" s="1" t="s">
        <v>245</v>
      </c>
      <c r="C759" s="1">
        <v>8.0</v>
      </c>
      <c r="D759" s="1" t="s">
        <v>6</v>
      </c>
      <c r="E759" s="1"/>
    </row>
    <row r="760" ht="14.25" customHeight="1">
      <c r="A760" s="1">
        <v>33.0</v>
      </c>
      <c r="B760" s="1" t="s">
        <v>245</v>
      </c>
      <c r="C760" s="1">
        <v>4.0</v>
      </c>
      <c r="D760" s="1" t="s">
        <v>6</v>
      </c>
      <c r="E760" s="1"/>
    </row>
    <row r="761" ht="14.25" customHeight="1">
      <c r="A761" s="1">
        <v>33.0</v>
      </c>
      <c r="B761" s="1" t="s">
        <v>245</v>
      </c>
      <c r="C761" s="1">
        <v>0.0</v>
      </c>
      <c r="D761" s="2" t="s">
        <v>354</v>
      </c>
      <c r="E761" s="1" t="str">
        <f>IFERROR(__xludf.DUMMYFUNCTION("GOOGLETRANSLATE(D761,""PT"",""EN"")"),"I am not able to access the system through my computer, I found many difficulties when seeking help to solve the problem.")</f>
        <v>I am not able to access the system through my computer, I found many difficulties when seeking help to solve the problem.</v>
      </c>
    </row>
    <row r="762" ht="14.25" customHeight="1">
      <c r="A762" s="1">
        <v>100.0</v>
      </c>
      <c r="B762" s="1" t="s">
        <v>245</v>
      </c>
      <c r="C762" s="1">
        <v>10.0</v>
      </c>
      <c r="D762" s="1" t="s">
        <v>6</v>
      </c>
      <c r="E762" s="1"/>
    </row>
    <row r="763" ht="14.25" customHeight="1">
      <c r="A763" s="1">
        <v>33.0</v>
      </c>
      <c r="B763" s="1" t="s">
        <v>245</v>
      </c>
      <c r="C763" s="1">
        <v>0.0</v>
      </c>
      <c r="D763" s="2" t="s">
        <v>355</v>
      </c>
      <c r="E763" s="1" t="str">
        <f>IFERROR(__xludf.DUMMYFUNCTION("GOOGLETRANSLATE(D763,""PT"",""EN"")"),"I have money to receive, they said they would pay, did not pay. terrible")</f>
        <v>I have money to receive, they said they would pay, did not pay. terrible</v>
      </c>
    </row>
    <row r="764" ht="14.25" customHeight="1">
      <c r="A764" s="1">
        <v>33.0</v>
      </c>
      <c r="B764" s="1" t="s">
        <v>245</v>
      </c>
      <c r="C764" s="1">
        <v>0.0</v>
      </c>
      <c r="D764" s="2" t="s">
        <v>356</v>
      </c>
      <c r="E764" s="1" t="str">
        <f>IFERROR(__xludf.DUMMYFUNCTION("GOOGLETRANSLATE(D764,""PT"",""EN"")"),"Pessimal service after the departure of the manager Aurilio, I was never presented to the new manager, I do not know who it is, apart from the changes of standards, without moving to the cooperative.")</f>
        <v>Pessimal service after the departure of the manager Aurilio, I was never presented to the new manager, I do not know who it is, apart from the changes of standards, without moving to the cooperative.</v>
      </c>
    </row>
    <row r="765" ht="14.25" customHeight="1">
      <c r="A765" s="1">
        <v>100.0</v>
      </c>
      <c r="B765" s="1" t="s">
        <v>245</v>
      </c>
      <c r="C765" s="1">
        <v>10.0</v>
      </c>
      <c r="D765" s="2" t="s">
        <v>97</v>
      </c>
      <c r="E765" s="1" t="str">
        <f>IFERROR(__xludf.DUMMYFUNCTION("GOOGLETRANSLATE(D765,""PT"",""EN"")"),"Excellent")</f>
        <v>Excellent</v>
      </c>
    </row>
    <row r="766" ht="14.25" customHeight="1">
      <c r="A766" s="1">
        <v>100.0</v>
      </c>
      <c r="B766" s="1" t="s">
        <v>245</v>
      </c>
      <c r="C766" s="1">
        <v>10.0</v>
      </c>
      <c r="D766" s="1" t="s">
        <v>357</v>
      </c>
      <c r="E766" s="1" t="str">
        <f>IFERROR(__xludf.DUMMYFUNCTION("GOOGLETRANSLATE(D766,""PT"",""EN"")"),"PRACTICALITY")</f>
        <v>PRACTICALITY</v>
      </c>
    </row>
    <row r="767" ht="14.25" customHeight="1">
      <c r="A767" s="1">
        <v>100.0</v>
      </c>
      <c r="B767" s="1" t="s">
        <v>245</v>
      </c>
      <c r="C767" s="1">
        <v>10.0</v>
      </c>
      <c r="D767" s="2" t="s">
        <v>358</v>
      </c>
      <c r="E767" s="1" t="str">
        <f>IFERROR(__xludf.DUMMYFUNCTION("GOOGLETRANSLATE(D767,""PT"",""EN"")"),"Opening hours, service, facilities is amenities.")</f>
        <v>Opening hours, service, facilities is amenities.</v>
      </c>
    </row>
    <row r="768" ht="14.25" customHeight="1">
      <c r="A768" s="1">
        <v>100.0</v>
      </c>
      <c r="B768" s="1" t="s">
        <v>245</v>
      </c>
      <c r="C768" s="1">
        <v>10.0</v>
      </c>
      <c r="D768" s="1" t="s">
        <v>359</v>
      </c>
      <c r="E768" s="1" t="str">
        <f>IFERROR(__xludf.DUMMYFUNCTION("GOOGLETRANSLATE(D768,""PT"",""EN"")"),"Ease of service, commitment")</f>
        <v>Ease of service, commitment</v>
      </c>
    </row>
    <row r="769" ht="14.25" customHeight="1">
      <c r="A769" s="1">
        <v>100.0</v>
      </c>
      <c r="B769" s="1" t="s">
        <v>245</v>
      </c>
      <c r="C769" s="1">
        <v>10.0</v>
      </c>
      <c r="D769" s="1" t="s">
        <v>20</v>
      </c>
      <c r="E769" s="1" t="str">
        <f>IFERROR(__xludf.DUMMYFUNCTION("GOOGLETRANSLATE(D769,""PT"",""EN"")"),"Very good")</f>
        <v>Very good</v>
      </c>
    </row>
    <row r="770" ht="14.25" customHeight="1">
      <c r="A770" s="1">
        <v>100.0</v>
      </c>
      <c r="B770" s="1" t="s">
        <v>245</v>
      </c>
      <c r="C770" s="1">
        <v>10.0</v>
      </c>
      <c r="D770" s="1" t="s">
        <v>360</v>
      </c>
      <c r="E770" s="1" t="str">
        <f>IFERROR(__xludf.DUMMYFUNCTION("GOOGLETRANSLATE(D770,""PT"",""EN"")"),"In Sicoob you feel at home. Employees always willing to answer you by solving your questions. Every time I needed I received a great service. It is a distinctive bank !!! I always recommend to friends !!!")</f>
        <v>In Sicoob you feel at home. Employees always willing to answer you by solving your questions. Every time I needed I received a great service. It is a distinctive bank !!! I always recommend to friends !!!</v>
      </c>
    </row>
    <row r="771" ht="14.25" customHeight="1">
      <c r="A771" s="1">
        <v>100.0</v>
      </c>
      <c r="B771" s="1" t="s">
        <v>245</v>
      </c>
      <c r="C771" s="1">
        <v>10.0</v>
      </c>
      <c r="D771" s="2" t="s">
        <v>361</v>
      </c>
      <c r="E771" s="1" t="str">
        <f>IFERROR(__xludf.DUMMYFUNCTION("GOOGLETRANSLATE(D771,""PT"",""EN"")"),"Fast service, ease is agility")</f>
        <v>Fast service, ease is agility</v>
      </c>
    </row>
    <row r="772" ht="14.25" customHeight="1">
      <c r="A772" s="1">
        <v>100.0</v>
      </c>
      <c r="B772" s="1" t="s">
        <v>245</v>
      </c>
      <c r="C772" s="1">
        <v>10.0</v>
      </c>
      <c r="D772" s="1" t="s">
        <v>62</v>
      </c>
      <c r="E772" s="1" t="str">
        <f>IFERROR(__xludf.DUMMYFUNCTION("GOOGLETRANSLATE(D772,""PT"",""EN"")"),"Good service")</f>
        <v>Good service</v>
      </c>
    </row>
    <row r="773" ht="14.25" customHeight="1">
      <c r="A773" s="1">
        <v>100.0</v>
      </c>
      <c r="B773" s="1" t="s">
        <v>245</v>
      </c>
      <c r="C773" s="1">
        <v>10.0</v>
      </c>
      <c r="D773" s="1" t="s">
        <v>6</v>
      </c>
      <c r="E773" s="1"/>
    </row>
    <row r="774" ht="14.25" customHeight="1">
      <c r="A774" s="1">
        <v>100.0</v>
      </c>
      <c r="B774" s="1" t="s">
        <v>245</v>
      </c>
      <c r="C774" s="1">
        <v>10.0</v>
      </c>
      <c r="D774" s="1" t="s">
        <v>6</v>
      </c>
      <c r="E774" s="1"/>
    </row>
    <row r="775" ht="14.25" customHeight="1">
      <c r="A775" s="1">
        <v>100.0</v>
      </c>
      <c r="B775" s="1" t="s">
        <v>245</v>
      </c>
      <c r="C775" s="1">
        <v>10.0</v>
      </c>
      <c r="D775" s="2" t="s">
        <v>362</v>
      </c>
      <c r="E775" s="1" t="str">
        <f>IFERROR(__xludf.DUMMYFUNCTION("GOOGLETRANSLATE(D775,""PT"",""EN"")"),"For me better bank")</f>
        <v>For me better bank</v>
      </c>
    </row>
    <row r="776" ht="14.25" customHeight="1">
      <c r="A776" s="1">
        <v>100.0</v>
      </c>
      <c r="B776" s="1" t="s">
        <v>245</v>
      </c>
      <c r="C776" s="1">
        <v>10.0</v>
      </c>
      <c r="D776" s="1" t="s">
        <v>6</v>
      </c>
      <c r="E776" s="1"/>
    </row>
    <row r="777" ht="14.25" customHeight="1">
      <c r="A777" s="1">
        <v>100.0</v>
      </c>
      <c r="B777" s="1" t="s">
        <v>245</v>
      </c>
      <c r="C777" s="1">
        <v>9.0</v>
      </c>
      <c r="D777" s="2" t="s">
        <v>363</v>
      </c>
      <c r="E777" s="1" t="str">
        <f>IFERROR(__xludf.DUMMYFUNCTION("GOOGLETRANSLATE(D777,""PT"",""EN"")"),"Very good bank, but there is one but the credit card app is the credit card points app are horrible, it's been time to make a good credit card app, a simple app is always working. Copy the digital seats where apps are simple practical is resolving almost "&amp;"everything.")</f>
        <v>Very good bank, but there is one but the credit card app is the credit card points app are horrible, it's been time to make a good credit card app, a simple app is always working. Copy the digital seats where apps are simple practical is resolving almost everything.</v>
      </c>
    </row>
    <row r="778" ht="14.25" customHeight="1">
      <c r="A778" s="1">
        <v>100.0</v>
      </c>
      <c r="B778" s="1" t="s">
        <v>245</v>
      </c>
      <c r="C778" s="1">
        <v>9.0</v>
      </c>
      <c r="D778" s="1" t="s">
        <v>364</v>
      </c>
      <c r="E778" s="1" t="str">
        <f>IFERROR(__xludf.DUMMYFUNCTION("GOOGLETRANSLATE(D778,""PT"",""EN"")"),"nine")</f>
        <v>nine</v>
      </c>
    </row>
    <row r="779" ht="14.25" customHeight="1">
      <c r="A779" s="1">
        <v>100.0</v>
      </c>
      <c r="B779" s="1" t="s">
        <v>245</v>
      </c>
      <c r="C779" s="1">
        <v>10.0</v>
      </c>
      <c r="D779" s="1" t="s">
        <v>365</v>
      </c>
      <c r="E779" s="1" t="str">
        <f>IFERROR(__xludf.DUMMYFUNCTION("GOOGLETRANSLATE(D779,""PT"",""EN"")"),"satisfaction")</f>
        <v>satisfaction</v>
      </c>
    </row>
    <row r="780" ht="14.25" customHeight="1">
      <c r="A780" s="1">
        <v>100.0</v>
      </c>
      <c r="B780" s="1" t="s">
        <v>245</v>
      </c>
      <c r="C780" s="1">
        <v>10.0</v>
      </c>
      <c r="D780" s="2" t="s">
        <v>366</v>
      </c>
      <c r="E780" s="1" t="str">
        <f>IFERROR(__xludf.DUMMYFUNCTION("GOOGLETRANSLATE(D780,""PT"",""EN"")"),"Excellence service is differentiated")</f>
        <v>Excellence service is differentiated</v>
      </c>
    </row>
    <row r="781" ht="14.25" customHeight="1">
      <c r="A781" s="1">
        <v>66.0</v>
      </c>
      <c r="B781" s="1" t="s">
        <v>245</v>
      </c>
      <c r="C781" s="1">
        <v>8.0</v>
      </c>
      <c r="D781" s="1" t="s">
        <v>367</v>
      </c>
      <c r="E781" s="1" t="str">
        <f>IFERROR(__xludf.DUMMYFUNCTION("GOOGLETRANSLATE(D781,""PT"",""EN"")"),"Something leaves the desire")</f>
        <v>Something leaves the desire</v>
      </c>
    </row>
    <row r="782" ht="14.25" customHeight="1">
      <c r="A782" s="1">
        <v>100.0</v>
      </c>
      <c r="B782" s="1" t="s">
        <v>245</v>
      </c>
      <c r="C782" s="1">
        <v>10.0</v>
      </c>
      <c r="D782" s="1" t="s">
        <v>368</v>
      </c>
      <c r="E782" s="1" t="str">
        <f>IFERROR(__xludf.DUMMYFUNCTION("GOOGLETRANSLATE(D782,""PT"",""EN"")"),"Best Cooperative in Brazil !!!!")</f>
        <v>Best Cooperative in Brazil !!!!</v>
      </c>
    </row>
    <row r="783" ht="14.25" customHeight="1">
      <c r="A783" s="1">
        <v>33.0</v>
      </c>
      <c r="B783" s="1" t="s">
        <v>245</v>
      </c>
      <c r="C783" s="1">
        <v>2.0</v>
      </c>
      <c r="D783" s="1" t="s">
        <v>6</v>
      </c>
      <c r="E783" s="1"/>
    </row>
    <row r="784" ht="14.25" customHeight="1">
      <c r="A784" s="1">
        <v>33.0</v>
      </c>
      <c r="B784" s="1" t="s">
        <v>245</v>
      </c>
      <c r="C784" s="1">
        <v>0.0</v>
      </c>
      <c r="D784" s="2" t="s">
        <v>369</v>
      </c>
      <c r="E784" s="1" t="str">
        <f>IFERROR(__xludf.DUMMYFUNCTION("GOOGLETRANSLATE(D784,""PT"",""EN"")"),"Account Manager Service is Pessimo")</f>
        <v>Account Manager Service is Pessimo</v>
      </c>
    </row>
    <row r="785" ht="14.25" customHeight="1">
      <c r="A785" s="1">
        <v>100.0</v>
      </c>
      <c r="B785" s="1" t="s">
        <v>245</v>
      </c>
      <c r="C785" s="1">
        <v>9.0</v>
      </c>
      <c r="D785" s="1" t="s">
        <v>6</v>
      </c>
      <c r="E785" s="1"/>
    </row>
    <row r="786" ht="14.25" customHeight="1">
      <c r="A786" s="1">
        <v>100.0</v>
      </c>
      <c r="B786" s="1" t="s">
        <v>245</v>
      </c>
      <c r="C786" s="1">
        <v>10.0</v>
      </c>
      <c r="D786" s="1" t="s">
        <v>370</v>
      </c>
      <c r="E786" s="1" t="str">
        <f>IFERROR(__xludf.DUMMYFUNCTION("GOOGLETRANSLATE(D786,""PT"",""EN"")"),"credibility")</f>
        <v>credibility</v>
      </c>
    </row>
    <row r="787" ht="14.25" customHeight="1">
      <c r="A787" s="1">
        <v>33.0</v>
      </c>
      <c r="B787" s="1" t="s">
        <v>245</v>
      </c>
      <c r="C787" s="1">
        <v>2.0</v>
      </c>
      <c r="D787" s="1" t="s">
        <v>6</v>
      </c>
      <c r="E787" s="1"/>
    </row>
    <row r="788" ht="14.25" customHeight="1">
      <c r="A788" s="1">
        <v>66.0</v>
      </c>
      <c r="B788" s="1" t="s">
        <v>245</v>
      </c>
      <c r="C788" s="1">
        <v>8.0</v>
      </c>
      <c r="D788" s="1" t="s">
        <v>6</v>
      </c>
      <c r="E788" s="1"/>
    </row>
    <row r="789" ht="14.25" customHeight="1">
      <c r="A789" s="1">
        <v>100.0</v>
      </c>
      <c r="B789" s="1" t="s">
        <v>245</v>
      </c>
      <c r="C789" s="1">
        <v>10.0</v>
      </c>
      <c r="D789" s="1" t="s">
        <v>371</v>
      </c>
      <c r="E789" s="1" t="str">
        <f>IFERROR(__xludf.DUMMYFUNCTION("GOOGLETRANSLATE(D789,""PT"",""EN"")"),"Our Bank")</f>
        <v>Our Bank</v>
      </c>
    </row>
    <row r="790" ht="14.25" customHeight="1">
      <c r="A790" s="1">
        <v>100.0</v>
      </c>
      <c r="B790" s="1" t="s">
        <v>245</v>
      </c>
      <c r="C790" s="1">
        <v>10.0</v>
      </c>
      <c r="D790" s="1" t="s">
        <v>372</v>
      </c>
      <c r="E790" s="1" t="str">
        <f>IFERROR(__xludf.DUMMYFUNCTION("GOOGLETRANSLATE(D790,""PT"",""EN"")"),"Service with profitability!")</f>
        <v>Service with profitability!</v>
      </c>
    </row>
    <row r="791" ht="14.25" customHeight="1">
      <c r="A791" s="1">
        <v>100.0</v>
      </c>
      <c r="B791" s="1" t="s">
        <v>245</v>
      </c>
      <c r="C791" s="1">
        <v>10.0</v>
      </c>
      <c r="D791" s="1" t="s">
        <v>6</v>
      </c>
      <c r="E791" s="1"/>
    </row>
    <row r="792" ht="14.25" customHeight="1">
      <c r="A792" s="1">
        <v>100.0</v>
      </c>
      <c r="B792" s="1" t="s">
        <v>245</v>
      </c>
      <c r="C792" s="1">
        <v>10.0</v>
      </c>
      <c r="D792" s="2" t="s">
        <v>373</v>
      </c>
      <c r="E792" s="1" t="str">
        <f>IFERROR(__xludf.DUMMYFUNCTION("GOOGLETRANSLATE(D792,""PT"",""EN"")"),"Great service is speed")</f>
        <v>Great service is speed</v>
      </c>
    </row>
    <row r="793" ht="14.25" customHeight="1">
      <c r="A793" s="1">
        <v>100.0</v>
      </c>
      <c r="B793" s="1" t="s">
        <v>245</v>
      </c>
      <c r="C793" s="1">
        <v>10.0</v>
      </c>
      <c r="D793" s="1" t="s">
        <v>374</v>
      </c>
      <c r="E793" s="1" t="str">
        <f>IFERROR(__xludf.DUMMYFUNCTION("GOOGLETRANSLATE(D793,""PT"",""EN"")"),"Service, cost, application.")</f>
        <v>Service, cost, application.</v>
      </c>
    </row>
    <row r="794" ht="14.25" customHeight="1">
      <c r="A794" s="1">
        <v>100.0</v>
      </c>
      <c r="B794" s="1" t="s">
        <v>245</v>
      </c>
      <c r="C794" s="1">
        <v>10.0</v>
      </c>
      <c r="D794" s="1" t="s">
        <v>6</v>
      </c>
      <c r="E794" s="1"/>
    </row>
    <row r="795" ht="14.25" customHeight="1">
      <c r="A795" s="1">
        <v>100.0</v>
      </c>
      <c r="B795" s="1" t="s">
        <v>245</v>
      </c>
      <c r="C795" s="1">
        <v>10.0</v>
      </c>
      <c r="D795" s="1" t="s">
        <v>6</v>
      </c>
      <c r="E795" s="1"/>
    </row>
    <row r="796" ht="14.25" customHeight="1">
      <c r="A796" s="1">
        <v>100.0</v>
      </c>
      <c r="B796" s="1" t="s">
        <v>245</v>
      </c>
      <c r="C796" s="1">
        <v>10.0</v>
      </c>
      <c r="D796" s="1" t="s">
        <v>6</v>
      </c>
      <c r="E796" s="1"/>
    </row>
    <row r="797" ht="14.25" customHeight="1">
      <c r="A797" s="1">
        <v>33.0</v>
      </c>
      <c r="B797" s="1" t="s">
        <v>245</v>
      </c>
      <c r="C797" s="1">
        <v>2.0</v>
      </c>
      <c r="D797" s="1" t="s">
        <v>6</v>
      </c>
      <c r="E797" s="1"/>
    </row>
    <row r="798" ht="14.25" customHeight="1">
      <c r="A798" s="1">
        <v>100.0</v>
      </c>
      <c r="B798" s="1" t="s">
        <v>245</v>
      </c>
      <c r="C798" s="1">
        <v>9.0</v>
      </c>
      <c r="D798" s="1" t="s">
        <v>6</v>
      </c>
      <c r="E798" s="1"/>
    </row>
    <row r="799" ht="14.25" customHeight="1">
      <c r="A799" s="1">
        <v>33.0</v>
      </c>
      <c r="B799" s="1" t="s">
        <v>245</v>
      </c>
      <c r="C799" s="1">
        <v>5.0</v>
      </c>
      <c r="D799" s="1" t="s">
        <v>6</v>
      </c>
      <c r="E799" s="1"/>
    </row>
    <row r="800" ht="14.25" customHeight="1">
      <c r="A800" s="1">
        <v>100.0</v>
      </c>
      <c r="B800" s="1" t="s">
        <v>245</v>
      </c>
      <c r="C800" s="1">
        <v>10.0</v>
      </c>
      <c r="D800" s="1" t="s">
        <v>85</v>
      </c>
      <c r="E800" s="1" t="str">
        <f>IFERROR(__xludf.DUMMYFUNCTION("GOOGLETRANSLATE(D800,""PT"",""EN"")"),"Service")</f>
        <v>Service</v>
      </c>
    </row>
    <row r="801" ht="14.25" customHeight="1">
      <c r="A801" s="1">
        <v>100.0</v>
      </c>
      <c r="B801" s="1" t="s">
        <v>245</v>
      </c>
      <c r="C801" s="1">
        <v>9.0</v>
      </c>
      <c r="D801" s="1" t="s">
        <v>6</v>
      </c>
      <c r="E801" s="1"/>
    </row>
    <row r="802" ht="14.25" customHeight="1">
      <c r="A802" s="1">
        <v>100.0</v>
      </c>
      <c r="B802" s="1" t="s">
        <v>245</v>
      </c>
      <c r="C802" s="1">
        <v>9.0</v>
      </c>
      <c r="D802" s="1" t="s">
        <v>6</v>
      </c>
      <c r="E802" s="1"/>
    </row>
    <row r="803" ht="14.25" customHeight="1">
      <c r="A803" s="1">
        <v>100.0</v>
      </c>
      <c r="B803" s="1" t="s">
        <v>245</v>
      </c>
      <c r="C803" s="1">
        <v>10.0</v>
      </c>
      <c r="D803" s="1" t="s">
        <v>9</v>
      </c>
      <c r="E803" s="1" t="str">
        <f>IFERROR(__xludf.DUMMYFUNCTION("GOOGLETRANSLATE(D803,""PT"",""EN"")"),"10")</f>
        <v>10</v>
      </c>
    </row>
    <row r="804" ht="14.25" customHeight="1">
      <c r="A804" s="1">
        <v>100.0</v>
      </c>
      <c r="B804" s="1" t="s">
        <v>245</v>
      </c>
      <c r="C804" s="1">
        <v>10.0</v>
      </c>
      <c r="D804" s="1" t="s">
        <v>6</v>
      </c>
      <c r="E804" s="1"/>
    </row>
    <row r="805" ht="14.25" customHeight="1">
      <c r="A805" s="1">
        <v>33.0</v>
      </c>
      <c r="B805" s="1" t="s">
        <v>245</v>
      </c>
      <c r="C805" s="1">
        <v>5.0</v>
      </c>
      <c r="D805" s="1" t="s">
        <v>6</v>
      </c>
      <c r="E805" s="1"/>
    </row>
    <row r="806" ht="14.25" customHeight="1">
      <c r="A806" s="1">
        <v>100.0</v>
      </c>
      <c r="B806" s="1" t="s">
        <v>245</v>
      </c>
      <c r="C806" s="1">
        <v>10.0</v>
      </c>
      <c r="D806" s="1" t="s">
        <v>6</v>
      </c>
      <c r="E806" s="1"/>
    </row>
    <row r="807" ht="14.25" customHeight="1">
      <c r="A807" s="1">
        <v>33.0</v>
      </c>
      <c r="B807" s="1" t="s">
        <v>245</v>
      </c>
      <c r="C807" s="1">
        <v>6.0</v>
      </c>
      <c r="D807" s="1" t="s">
        <v>6</v>
      </c>
      <c r="E807" s="1"/>
    </row>
    <row r="808" ht="14.25" customHeight="1">
      <c r="A808" s="1">
        <v>100.0</v>
      </c>
      <c r="B808" s="1" t="s">
        <v>245</v>
      </c>
      <c r="C808" s="1">
        <v>10.0</v>
      </c>
      <c r="D808" s="1" t="s">
        <v>6</v>
      </c>
      <c r="E808" s="1"/>
    </row>
    <row r="809" ht="14.25" customHeight="1">
      <c r="A809" s="1">
        <v>100.0</v>
      </c>
      <c r="B809" s="1" t="s">
        <v>245</v>
      </c>
      <c r="C809" s="1">
        <v>10.0</v>
      </c>
      <c r="D809" s="1" t="s">
        <v>6</v>
      </c>
      <c r="E809" s="1"/>
    </row>
    <row r="810" ht="14.25" customHeight="1">
      <c r="A810" s="1">
        <v>100.0</v>
      </c>
      <c r="B810" s="1" t="s">
        <v>245</v>
      </c>
      <c r="C810" s="1">
        <v>10.0</v>
      </c>
      <c r="D810" s="1" t="s">
        <v>375</v>
      </c>
      <c r="E810" s="1" t="str">
        <f>IFERROR(__xludf.DUMMYFUNCTION("GOOGLETRANSLATE(D810,""PT"",""EN"")"),"A group responsible with the cooperative")</f>
        <v>A group responsible with the cooperative</v>
      </c>
    </row>
    <row r="811" ht="14.25" customHeight="1">
      <c r="A811" s="1">
        <v>100.0</v>
      </c>
      <c r="B811" s="1" t="s">
        <v>245</v>
      </c>
      <c r="C811" s="1">
        <v>10.0</v>
      </c>
      <c r="D811" s="1" t="s">
        <v>6</v>
      </c>
      <c r="E811" s="1"/>
    </row>
    <row r="812" ht="14.25" customHeight="1">
      <c r="A812" s="1">
        <v>100.0</v>
      </c>
      <c r="B812" s="1" t="s">
        <v>245</v>
      </c>
      <c r="C812" s="1">
        <v>9.0</v>
      </c>
      <c r="D812" s="2" t="s">
        <v>376</v>
      </c>
      <c r="E812" s="1" t="str">
        <f>IFERROR(__xludf.DUMMYFUNCTION("GOOGLETRANSLATE(D812,""PT"",""EN"")"),"Problems with cloned credit card, is not yet solved from October/2022")</f>
        <v>Problems with cloned credit card, is not yet solved from October/2022</v>
      </c>
    </row>
    <row r="813" ht="14.25" customHeight="1">
      <c r="A813" s="1">
        <v>33.0</v>
      </c>
      <c r="B813" s="1" t="s">
        <v>245</v>
      </c>
      <c r="C813" s="1">
        <v>0.0</v>
      </c>
      <c r="D813" s="1" t="s">
        <v>377</v>
      </c>
      <c r="E813" s="1" t="str">
        <f>IFERROR(__xludf.DUMMYFUNCTION("GOOGLETRANSLATE(D813,""PT"",""EN"")"),"Lack of service")</f>
        <v>Lack of service</v>
      </c>
    </row>
    <row r="814" ht="14.25" customHeight="1">
      <c r="A814" s="1">
        <v>66.0</v>
      </c>
      <c r="B814" s="1" t="s">
        <v>245</v>
      </c>
      <c r="C814" s="1">
        <v>8.0</v>
      </c>
      <c r="D814" s="1" t="s">
        <v>6</v>
      </c>
      <c r="E814" s="1"/>
    </row>
    <row r="815" ht="14.25" customHeight="1">
      <c r="A815" s="1">
        <v>100.0</v>
      </c>
      <c r="B815" s="1" t="s">
        <v>245</v>
      </c>
      <c r="C815" s="1">
        <v>10.0</v>
      </c>
      <c r="D815" s="1" t="s">
        <v>378</v>
      </c>
      <c r="E815" s="1" t="str">
        <f>IFERROR(__xludf.DUMMYFUNCTION("GOOGLETRANSLATE(D815,""PT"",""EN"")"),"Great service I am super satisfied with my account")</f>
        <v>Great service I am super satisfied with my account</v>
      </c>
    </row>
    <row r="816" ht="14.25" customHeight="1">
      <c r="A816" s="1">
        <v>100.0</v>
      </c>
      <c r="B816" s="1" t="s">
        <v>245</v>
      </c>
      <c r="C816" s="1">
        <v>10.0</v>
      </c>
      <c r="D816" s="1" t="s">
        <v>6</v>
      </c>
      <c r="E816" s="1"/>
    </row>
    <row r="817" ht="14.25" customHeight="1">
      <c r="A817" s="1">
        <v>100.0</v>
      </c>
      <c r="B817" s="1" t="s">
        <v>245</v>
      </c>
      <c r="C817" s="1">
        <v>10.0</v>
      </c>
      <c r="D817" s="1" t="s">
        <v>379</v>
      </c>
      <c r="E817" s="1" t="str">
        <f>IFERROR(__xludf.DUMMYFUNCTION("GOOGLETRANSLATE(D817,""PT"",""EN"")"),"Capital quota")</f>
        <v>Capital quota</v>
      </c>
    </row>
    <row r="818" ht="14.25" customHeight="1">
      <c r="A818" s="1">
        <v>100.0</v>
      </c>
      <c r="B818" s="1" t="s">
        <v>245</v>
      </c>
      <c r="C818" s="1">
        <v>10.0</v>
      </c>
      <c r="D818" s="1" t="s">
        <v>6</v>
      </c>
      <c r="E818" s="1"/>
    </row>
    <row r="819" ht="14.25" customHeight="1">
      <c r="A819" s="1">
        <v>100.0</v>
      </c>
      <c r="B819" s="1" t="s">
        <v>245</v>
      </c>
      <c r="C819" s="1">
        <v>10.0</v>
      </c>
      <c r="D819" s="1" t="s">
        <v>380</v>
      </c>
      <c r="E819" s="1" t="str">
        <f>IFERROR(__xludf.DUMMYFUNCTION("GOOGLETRANSLATE(D819,""PT"",""EN"")"),"Personalized service.")</f>
        <v>Personalized service.</v>
      </c>
    </row>
    <row r="820" ht="14.25" customHeight="1">
      <c r="A820" s="1">
        <v>100.0</v>
      </c>
      <c r="B820" s="1" t="s">
        <v>245</v>
      </c>
      <c r="C820" s="1">
        <v>9.0</v>
      </c>
      <c r="D820" s="1" t="s">
        <v>6</v>
      </c>
      <c r="E820" s="1"/>
    </row>
    <row r="821" ht="14.25" customHeight="1">
      <c r="A821" s="1">
        <v>100.0</v>
      </c>
      <c r="B821" s="1" t="s">
        <v>245</v>
      </c>
      <c r="C821" s="1">
        <v>10.0</v>
      </c>
      <c r="D821" s="1" t="s">
        <v>381</v>
      </c>
      <c r="E821" s="1" t="str">
        <f>IFERROR(__xludf.DUMMYFUNCTION("GOOGLETRANSLATE(D821,""PT"",""EN"")"),"Sicoob is the best investment")</f>
        <v>Sicoob is the best investment</v>
      </c>
    </row>
    <row r="822" ht="14.25" customHeight="1">
      <c r="A822" s="1">
        <v>33.0</v>
      </c>
      <c r="B822" s="1" t="s">
        <v>245</v>
      </c>
      <c r="C822" s="1">
        <v>1.0</v>
      </c>
      <c r="D822" s="1" t="s">
        <v>6</v>
      </c>
      <c r="E822" s="1"/>
    </row>
    <row r="823" ht="14.25" customHeight="1">
      <c r="A823" s="1">
        <v>100.0</v>
      </c>
      <c r="B823" s="1" t="s">
        <v>245</v>
      </c>
      <c r="C823" s="1">
        <v>10.0</v>
      </c>
      <c r="D823" s="1" t="s">
        <v>382</v>
      </c>
      <c r="E823" s="1" t="str">
        <f>IFERROR(__xludf.DUMMYFUNCTION("GOOGLETRANSLATE(D823,""PT"",""EN"")"),"Good service. Efficiency")</f>
        <v>Good service. Efficiency</v>
      </c>
    </row>
    <row r="824" ht="14.25" customHeight="1">
      <c r="A824" s="1">
        <v>100.0</v>
      </c>
      <c r="B824" s="1" t="s">
        <v>245</v>
      </c>
      <c r="C824" s="1">
        <v>9.0</v>
      </c>
      <c r="D824" s="1" t="s">
        <v>17</v>
      </c>
      <c r="E824" s="1" t="str">
        <f>IFERROR(__xludf.DUMMYFUNCTION("GOOGLETRANSLATE(D824,""PT"",""EN"")"),"Satisfaction")</f>
        <v>Satisfaction</v>
      </c>
    </row>
    <row r="825" ht="14.25" customHeight="1">
      <c r="A825" s="1">
        <v>100.0</v>
      </c>
      <c r="B825" s="1" t="s">
        <v>245</v>
      </c>
      <c r="C825" s="1">
        <v>10.0</v>
      </c>
      <c r="D825" s="1" t="s">
        <v>6</v>
      </c>
      <c r="E825" s="1"/>
    </row>
    <row r="826" ht="14.25" customHeight="1">
      <c r="A826" s="1">
        <v>100.0</v>
      </c>
      <c r="B826" s="1" t="s">
        <v>245</v>
      </c>
      <c r="C826" s="1">
        <v>10.0</v>
      </c>
      <c r="D826" s="1" t="s">
        <v>6</v>
      </c>
      <c r="E826" s="1"/>
    </row>
    <row r="827" ht="14.25" customHeight="1">
      <c r="A827" s="1">
        <v>100.0</v>
      </c>
      <c r="B827" s="1" t="s">
        <v>245</v>
      </c>
      <c r="C827" s="1">
        <v>10.0</v>
      </c>
      <c r="D827" s="1" t="s">
        <v>6</v>
      </c>
      <c r="E827" s="1"/>
    </row>
    <row r="828" ht="14.25" customHeight="1">
      <c r="A828" s="1">
        <v>100.0</v>
      </c>
      <c r="B828" s="1" t="s">
        <v>245</v>
      </c>
      <c r="C828" s="1">
        <v>10.0</v>
      </c>
      <c r="D828" s="1" t="s">
        <v>6</v>
      </c>
      <c r="E828" s="1"/>
    </row>
    <row r="829" ht="14.25" customHeight="1">
      <c r="A829" s="1">
        <v>66.0</v>
      </c>
      <c r="B829" s="1" t="s">
        <v>245</v>
      </c>
      <c r="C829" s="1">
        <v>7.0</v>
      </c>
      <c r="D829" s="1" t="s">
        <v>6</v>
      </c>
      <c r="E829" s="1"/>
    </row>
    <row r="830" ht="14.25" customHeight="1">
      <c r="A830" s="1">
        <v>100.0</v>
      </c>
      <c r="B830" s="1" t="s">
        <v>245</v>
      </c>
      <c r="C830" s="1">
        <v>10.0</v>
      </c>
      <c r="D830" s="1" t="s">
        <v>6</v>
      </c>
      <c r="E830" s="1"/>
    </row>
    <row r="831" ht="14.25" customHeight="1">
      <c r="A831" s="1">
        <v>66.0</v>
      </c>
      <c r="B831" s="1" t="s">
        <v>245</v>
      </c>
      <c r="C831" s="1">
        <v>8.0</v>
      </c>
      <c r="D831" s="1" t="s">
        <v>383</v>
      </c>
      <c r="E831" s="1" t="str">
        <f>IFERROR(__xludf.DUMMYFUNCTION("GOOGLETRANSLATE(D831,""PT"",""EN"")"),"Low service rates.")</f>
        <v>Low service rates.</v>
      </c>
    </row>
    <row r="832" ht="14.25" customHeight="1">
      <c r="A832" s="1">
        <v>100.0</v>
      </c>
      <c r="B832" s="1" t="s">
        <v>245</v>
      </c>
      <c r="C832" s="1">
        <v>10.0</v>
      </c>
      <c r="D832" s="2" t="s">
        <v>384</v>
      </c>
      <c r="E832" s="1" t="str">
        <f>IFERROR(__xludf.DUMMYFUNCTION("GOOGLETRANSLATE(D832,""PT"",""EN"")"),"Attention, speed, confidence time")</f>
        <v>Attention, speed, confidence time</v>
      </c>
    </row>
    <row r="833" ht="14.25" customHeight="1">
      <c r="A833" s="1">
        <v>100.0</v>
      </c>
      <c r="B833" s="1" t="s">
        <v>245</v>
      </c>
      <c r="C833" s="1">
        <v>10.0</v>
      </c>
      <c r="D833" s="1" t="s">
        <v>385</v>
      </c>
      <c r="E833" s="1" t="str">
        <f>IFERROR(__xludf.DUMMYFUNCTION("GOOGLETRANSLATE(D833,""PT"",""EN"")"),"The good service")</f>
        <v>The good service</v>
      </c>
    </row>
    <row r="834" ht="14.25" customHeight="1">
      <c r="A834" s="1">
        <v>100.0</v>
      </c>
      <c r="B834" s="1" t="s">
        <v>245</v>
      </c>
      <c r="C834" s="1">
        <v>10.0</v>
      </c>
      <c r="D834" s="1" t="s">
        <v>386</v>
      </c>
      <c r="E834" s="1" t="str">
        <f>IFERROR(__xludf.DUMMYFUNCTION("GOOGLETRANSLATE(D834,""PT"",""EN"")"),"Quality of personal service.")</f>
        <v>Quality of personal service.</v>
      </c>
    </row>
    <row r="835" ht="14.25" customHeight="1">
      <c r="A835" s="1">
        <v>100.0</v>
      </c>
      <c r="B835" s="1" t="s">
        <v>245</v>
      </c>
      <c r="C835" s="1">
        <v>10.0</v>
      </c>
      <c r="D835" s="1" t="s">
        <v>387</v>
      </c>
      <c r="E835" s="1" t="str">
        <f>IFERROR(__xludf.DUMMYFUNCTION("GOOGLETRANSLATE(D835,""PT"",""EN"")"),"A great bank.")</f>
        <v>A great bank.</v>
      </c>
    </row>
    <row r="836" ht="14.25" customHeight="1">
      <c r="A836" s="1">
        <v>100.0</v>
      </c>
      <c r="B836" s="1" t="s">
        <v>245</v>
      </c>
      <c r="C836" s="1">
        <v>10.0</v>
      </c>
      <c r="D836" s="1" t="s">
        <v>6</v>
      </c>
      <c r="E836" s="1"/>
    </row>
    <row r="837" ht="14.25" customHeight="1">
      <c r="A837" s="1">
        <v>100.0</v>
      </c>
      <c r="B837" s="1" t="s">
        <v>245</v>
      </c>
      <c r="C837" s="1">
        <v>10.0</v>
      </c>
      <c r="D837" s="1" t="s">
        <v>6</v>
      </c>
      <c r="E837" s="1"/>
    </row>
    <row r="838" ht="14.25" customHeight="1">
      <c r="A838" s="1">
        <v>66.0</v>
      </c>
      <c r="B838" s="1" t="s">
        <v>245</v>
      </c>
      <c r="C838" s="1">
        <v>8.0</v>
      </c>
      <c r="D838" s="1" t="s">
        <v>388</v>
      </c>
      <c r="E838" s="1" t="str">
        <f>IFERROR(__xludf.DUMMYFUNCTION("GOOGLETRANSLATE(D838,""PT"",""EN"")"),"8")</f>
        <v>8</v>
      </c>
    </row>
    <row r="839" ht="14.25" customHeight="1">
      <c r="A839" s="1">
        <v>100.0</v>
      </c>
      <c r="B839" s="1" t="s">
        <v>245</v>
      </c>
      <c r="C839" s="1">
        <v>10.0</v>
      </c>
      <c r="D839" s="1" t="s">
        <v>6</v>
      </c>
      <c r="E839" s="1"/>
    </row>
    <row r="840" ht="14.25" customHeight="1">
      <c r="A840" s="1">
        <v>100.0</v>
      </c>
      <c r="B840" s="1" t="s">
        <v>245</v>
      </c>
      <c r="C840" s="1">
        <v>10.0</v>
      </c>
      <c r="D840" s="1" t="s">
        <v>6</v>
      </c>
      <c r="E840" s="1"/>
    </row>
    <row r="841" ht="14.25" customHeight="1">
      <c r="A841" s="1">
        <v>100.0</v>
      </c>
      <c r="B841" s="1" t="s">
        <v>245</v>
      </c>
      <c r="C841" s="1">
        <v>9.0</v>
      </c>
      <c r="D841" s="1" t="s">
        <v>87</v>
      </c>
      <c r="E841" s="1" t="str">
        <f>IFERROR(__xludf.DUMMYFUNCTION("GOOGLETRANSLATE(D841,""PT"",""EN"")"),"Personalized service")</f>
        <v>Personalized service</v>
      </c>
    </row>
    <row r="842" ht="14.25" customHeight="1">
      <c r="A842" s="1">
        <v>33.0</v>
      </c>
      <c r="B842" s="1" t="s">
        <v>245</v>
      </c>
      <c r="C842" s="1">
        <v>6.0</v>
      </c>
      <c r="D842" s="1" t="s">
        <v>6</v>
      </c>
      <c r="E842" s="1"/>
    </row>
    <row r="843" ht="14.25" customHeight="1">
      <c r="A843" s="1">
        <v>33.0</v>
      </c>
      <c r="B843" s="1" t="s">
        <v>245</v>
      </c>
      <c r="C843" s="1">
        <v>0.0</v>
      </c>
      <c r="D843" s="2" t="s">
        <v>389</v>
      </c>
      <c r="E843" s="1" t="str">
        <f>IFERROR(__xludf.DUMMYFUNCTION("GOOGLETRANSLATE(D843,""PT"",""EN"")"),"This research should refer to the singular cooperative to which I am associated, only the name Sicoob makes no sense, I am attended by my cooperative, Sicoob is only an operational support created is maintained by the singles for service, so I am not asso"&amp;"ciated with Sicoob It is the singular cooperative. The justification of my grade ""0"" is not to recommend the ""sicoob"" to someone, I really recommend the cooperative to which I belong to all with grade 10, but not all the singular that keeps the Sicoob"&amp;" system are equal, not all It has responsible, transparent administration, not all generate significant leftovers for their members, not all are financially solid. For these reasons there is no way to recommend Sicoob General, I recommend to all the coope"&amp;"rative to which I am associated.")</f>
        <v>This research should refer to the singular cooperative to which I am associated, only the name Sicoob makes no sense, I am attended by my cooperative, Sicoob is only an operational support created is maintained by the singles for service, so I am not associated with Sicoob It is the singular cooperative. The justification of my grade "0" is not to recommend the "sicoob" to someone, I really recommend the cooperative to which I belong to all with grade 10, but not all the singular that keeps the Sicoob system are equal, not all It has responsible, transparent administration, not all generate significant leftovers for their members, not all are financially solid. For these reasons there is no way to recommend Sicoob General, I recommend to all the cooperative to which I am associated.</v>
      </c>
    </row>
    <row r="844" ht="14.25" customHeight="1">
      <c r="A844" s="1">
        <v>100.0</v>
      </c>
      <c r="B844" s="1" t="s">
        <v>245</v>
      </c>
      <c r="C844" s="1">
        <v>10.0</v>
      </c>
      <c r="D844" s="2" t="s">
        <v>390</v>
      </c>
      <c r="E844" s="1" t="str">
        <f>IFERROR(__xludf.DUMMYFUNCTION("GOOGLETRANSLATE(D844,""PT"",""EN"")"),"A great, helpful, well -clarified bank is conditions that serve all types of customers")</f>
        <v>A great, helpful, well -clarified bank is conditions that serve all types of customers</v>
      </c>
    </row>
    <row r="845" ht="14.25" customHeight="1">
      <c r="A845" s="1">
        <v>100.0</v>
      </c>
      <c r="B845" s="1" t="s">
        <v>245</v>
      </c>
      <c r="C845" s="1">
        <v>10.0</v>
      </c>
      <c r="D845" s="1" t="s">
        <v>6</v>
      </c>
      <c r="E845" s="1"/>
    </row>
    <row r="846" ht="14.25" customHeight="1">
      <c r="A846" s="1">
        <v>100.0</v>
      </c>
      <c r="B846" s="1" t="s">
        <v>245</v>
      </c>
      <c r="C846" s="1">
        <v>10.0</v>
      </c>
      <c r="D846" s="2" t="s">
        <v>391</v>
      </c>
      <c r="E846" s="1" t="str">
        <f>IFERROR(__xludf.DUMMYFUNCTION("GOOGLETRANSLATE(D846,""PT"",""EN"")"),"Service, it is opening time of agencies.")</f>
        <v>Service, it is opening time of agencies.</v>
      </c>
    </row>
    <row r="847" ht="14.25" customHeight="1">
      <c r="A847" s="1">
        <v>100.0</v>
      </c>
      <c r="B847" s="1" t="s">
        <v>245</v>
      </c>
      <c r="C847" s="1">
        <v>10.0</v>
      </c>
      <c r="D847" s="1" t="s">
        <v>6</v>
      </c>
      <c r="E847" s="1"/>
    </row>
    <row r="848" ht="14.25" customHeight="1">
      <c r="A848" s="1">
        <v>100.0</v>
      </c>
      <c r="B848" s="1" t="s">
        <v>245</v>
      </c>
      <c r="C848" s="1">
        <v>10.0</v>
      </c>
      <c r="D848" s="2" t="s">
        <v>392</v>
      </c>
      <c r="E848" s="1" t="str">
        <f>IFERROR(__xludf.DUMMYFUNCTION("GOOGLETRANSLATE(D848,""PT"",""EN"")"),"Always very well served is with an hours of service that no other bank agent has for customers.")</f>
        <v>Always very well served is with an hours of service that no other bank agent has for customers.</v>
      </c>
    </row>
    <row r="849" ht="14.25" customHeight="1">
      <c r="A849" s="1">
        <v>100.0</v>
      </c>
      <c r="B849" s="1" t="s">
        <v>245</v>
      </c>
      <c r="C849" s="1">
        <v>10.0</v>
      </c>
      <c r="D849" s="1" t="s">
        <v>393</v>
      </c>
      <c r="E849" s="1" t="str">
        <f>IFERROR(__xludf.DUMMYFUNCTION("GOOGLETRANSLATE(D849,""PT"",""EN"")"),"great")</f>
        <v>great</v>
      </c>
    </row>
    <row r="850" ht="14.25" customHeight="1">
      <c r="A850" s="1">
        <v>66.0</v>
      </c>
      <c r="B850" s="1" t="s">
        <v>245</v>
      </c>
      <c r="C850" s="1">
        <v>7.0</v>
      </c>
      <c r="D850" s="2" t="s">
        <v>394</v>
      </c>
      <c r="E850" s="1" t="str">
        <f>IFERROR(__xludf.DUMMYFUNCTION("GOOGLETRANSLATE(D850,""PT"",""EN"")"),"Once it changed, they got away from the clients, without benefits is contacts! Each day a manager is a different attendant in my cooperative! It's always liked to work with Sicoob")</f>
        <v>Once it changed, they got away from the clients, without benefits is contacts! Each day a manager is a different attendant in my cooperative! It's always liked to work with Sicoob</v>
      </c>
    </row>
    <row r="851" ht="14.25" customHeight="1">
      <c r="A851" s="1">
        <v>33.0</v>
      </c>
      <c r="B851" s="1" t="s">
        <v>245</v>
      </c>
      <c r="C851" s="1">
        <v>5.0</v>
      </c>
      <c r="D851" s="1" t="s">
        <v>6</v>
      </c>
      <c r="E851" s="1"/>
    </row>
    <row r="852" ht="14.25" customHeight="1">
      <c r="A852" s="1">
        <v>66.0</v>
      </c>
      <c r="B852" s="1" t="s">
        <v>245</v>
      </c>
      <c r="C852" s="1">
        <v>8.0</v>
      </c>
      <c r="D852" s="1" t="s">
        <v>395</v>
      </c>
      <c r="E852" s="1" t="str">
        <f>IFERROR(__xludf.DUMMYFUNCTION("GOOGLETRANSLATE(D852,""PT"",""EN"")"),"The service is grade 10. Lack of ATM.")</f>
        <v>The service is grade 10. Lack of ATM.</v>
      </c>
    </row>
    <row r="853" ht="14.25" customHeight="1">
      <c r="A853" s="1">
        <v>100.0</v>
      </c>
      <c r="B853" s="1" t="s">
        <v>245</v>
      </c>
      <c r="C853" s="1">
        <v>10.0</v>
      </c>
      <c r="D853" s="1" t="s">
        <v>6</v>
      </c>
      <c r="E853" s="1"/>
    </row>
    <row r="854" ht="14.25" customHeight="1">
      <c r="A854" s="1">
        <v>100.0</v>
      </c>
      <c r="B854" s="1" t="s">
        <v>245</v>
      </c>
      <c r="C854" s="1">
        <v>9.0</v>
      </c>
      <c r="D854" s="1" t="s">
        <v>6</v>
      </c>
      <c r="E854" s="1"/>
    </row>
    <row r="855" ht="14.25" customHeight="1">
      <c r="A855" s="1">
        <v>66.0</v>
      </c>
      <c r="B855" s="1" t="s">
        <v>245</v>
      </c>
      <c r="C855" s="1">
        <v>7.0</v>
      </c>
      <c r="D855" s="1" t="s">
        <v>396</v>
      </c>
      <c r="E855" s="1" t="str">
        <f>IFERROR(__xludf.DUMMYFUNCTION("GOOGLETRANSLATE(D855,""PT"",""EN"")"),"The lack of availability to add the card to the Wallet app using Apple Pay. When they add it will be 10!")</f>
        <v>The lack of availability to add the card to the Wallet app using Apple Pay. When they add it will be 10!</v>
      </c>
    </row>
    <row r="856" ht="14.25" customHeight="1">
      <c r="A856" s="1">
        <v>33.0</v>
      </c>
      <c r="B856" s="1" t="s">
        <v>245</v>
      </c>
      <c r="C856" s="1">
        <v>0.0</v>
      </c>
      <c r="D856" s="1" t="s">
        <v>397</v>
      </c>
      <c r="E856" s="1" t="str">
        <f>IFERROR(__xludf.DUMMYFUNCTION("GOOGLETRANSLATE(D856,""PT"",""EN"")"),"All")</f>
        <v>All</v>
      </c>
    </row>
    <row r="857" ht="14.25" customHeight="1">
      <c r="A857" s="1">
        <v>100.0</v>
      </c>
      <c r="B857" s="1" t="s">
        <v>245</v>
      </c>
      <c r="C857" s="1">
        <v>10.0</v>
      </c>
      <c r="D857" s="2" t="s">
        <v>398</v>
      </c>
      <c r="E857" s="1" t="str">
        <f>IFERROR(__xludf.DUMMYFUNCTION("GOOGLETRANSLATE(D857,""PT"",""EN"")"),"For me it is being at the moment")</f>
        <v>For me it is being at the moment</v>
      </c>
    </row>
    <row r="858" ht="14.25" customHeight="1">
      <c r="A858" s="1">
        <v>33.0</v>
      </c>
      <c r="B858" s="1" t="s">
        <v>245</v>
      </c>
      <c r="C858" s="1">
        <v>3.0</v>
      </c>
      <c r="D858" s="1" t="s">
        <v>6</v>
      </c>
      <c r="E858" s="1"/>
    </row>
    <row r="859" ht="14.25" customHeight="1">
      <c r="A859" s="1">
        <v>100.0</v>
      </c>
      <c r="B859" s="1" t="s">
        <v>245</v>
      </c>
      <c r="C859" s="1">
        <v>10.0</v>
      </c>
      <c r="D859" s="1" t="s">
        <v>6</v>
      </c>
      <c r="E859" s="1"/>
    </row>
    <row r="860" ht="14.25" customHeight="1">
      <c r="A860" s="1">
        <v>100.0</v>
      </c>
      <c r="B860" s="1" t="s">
        <v>245</v>
      </c>
      <c r="C860" s="1">
        <v>9.0</v>
      </c>
      <c r="D860" s="1" t="s">
        <v>6</v>
      </c>
      <c r="E860" s="1"/>
    </row>
    <row r="861" ht="14.25" customHeight="1">
      <c r="A861" s="1">
        <v>33.0</v>
      </c>
      <c r="B861" s="1" t="s">
        <v>245</v>
      </c>
      <c r="C861" s="1">
        <v>5.0</v>
      </c>
      <c r="D861" s="1" t="s">
        <v>399</v>
      </c>
      <c r="E861" s="1" t="str">
        <f>IFERROR(__xludf.DUMMYFUNCTION("GOOGLETRANSLATE(D861,""PT"",""EN"")"),"Bank never offered me rural financing, I'm a producer! Last time went to apply a value the manager was thick")</f>
        <v>Bank never offered me rural financing, I'm a producer! Last time went to apply a value the manager was thick</v>
      </c>
    </row>
    <row r="862" ht="14.25" customHeight="1">
      <c r="A862" s="1">
        <v>100.0</v>
      </c>
      <c r="B862" s="1" t="s">
        <v>245</v>
      </c>
      <c r="C862" s="1">
        <v>9.0</v>
      </c>
      <c r="D862" s="1" t="s">
        <v>6</v>
      </c>
      <c r="E862" s="1"/>
    </row>
    <row r="863" ht="14.25" customHeight="1">
      <c r="A863" s="1">
        <v>100.0</v>
      </c>
      <c r="B863" s="1" t="s">
        <v>245</v>
      </c>
      <c r="C863" s="1">
        <v>10.0</v>
      </c>
      <c r="D863" s="1" t="s">
        <v>6</v>
      </c>
      <c r="E863" s="1"/>
    </row>
    <row r="864" ht="14.25" customHeight="1">
      <c r="A864" s="1">
        <v>100.0</v>
      </c>
      <c r="B864" s="1" t="s">
        <v>245</v>
      </c>
      <c r="C864" s="1">
        <v>10.0</v>
      </c>
      <c r="D864" s="1" t="s">
        <v>400</v>
      </c>
      <c r="E864" s="1" t="str">
        <f>IFERROR(__xludf.DUMMYFUNCTION("GOOGLETRANSLATE(D864,""PT"",""EN"")"),"Nothing to complain about! Very pleased with the service offered.")</f>
        <v>Nothing to complain about! Very pleased with the service offered.</v>
      </c>
    </row>
    <row r="865" ht="14.25" customHeight="1">
      <c r="A865" s="1">
        <v>100.0</v>
      </c>
      <c r="B865" s="1" t="s">
        <v>245</v>
      </c>
      <c r="C865" s="1">
        <v>10.0</v>
      </c>
      <c r="D865" s="1" t="s">
        <v>401</v>
      </c>
      <c r="E865" s="1" t="str">
        <f>IFERROR(__xludf.DUMMYFUNCTION("GOOGLETRANSLATE(D865,""PT"",""EN"")"),"Transparency")</f>
        <v>Transparency</v>
      </c>
    </row>
    <row r="866" ht="14.25" customHeight="1">
      <c r="A866" s="1">
        <v>33.0</v>
      </c>
      <c r="B866" s="1" t="s">
        <v>245</v>
      </c>
      <c r="C866" s="1">
        <v>0.0</v>
      </c>
      <c r="D866" s="1" t="s">
        <v>6</v>
      </c>
      <c r="E866" s="1"/>
    </row>
    <row r="867" ht="14.25" customHeight="1">
      <c r="A867" s="1">
        <v>100.0</v>
      </c>
      <c r="B867" s="1" t="s">
        <v>245</v>
      </c>
      <c r="C867" s="1">
        <v>10.0</v>
      </c>
      <c r="D867" s="1" t="s">
        <v>402</v>
      </c>
      <c r="E867" s="1" t="str">
        <f>IFERROR(__xludf.DUMMYFUNCTION("GOOGLETRANSLATE(D867,""PT"",""EN"")"),"Bank in excellence in service, zero tariffs, easy access")</f>
        <v>Bank in excellence in service, zero tariffs, easy access</v>
      </c>
    </row>
    <row r="868" ht="14.25" customHeight="1">
      <c r="A868" s="1">
        <v>100.0</v>
      </c>
      <c r="B868" s="1" t="s">
        <v>245</v>
      </c>
      <c r="C868" s="1">
        <v>10.0</v>
      </c>
      <c r="D868" s="1" t="s">
        <v>403</v>
      </c>
      <c r="E868" s="1" t="str">
        <f>IFERROR(__xludf.DUMMYFUNCTION("GOOGLETRANSLATE(D868,""PT"",""EN"")"),"Service, promptness, services.")</f>
        <v>Service, promptness, services.</v>
      </c>
    </row>
    <row r="869" ht="14.25" customHeight="1">
      <c r="A869" s="1">
        <v>100.0</v>
      </c>
      <c r="B869" s="1" t="s">
        <v>245</v>
      </c>
      <c r="C869" s="1">
        <v>10.0</v>
      </c>
      <c r="D869" s="2" t="s">
        <v>404</v>
      </c>
      <c r="E869" s="1" t="str">
        <f>IFERROR(__xludf.DUMMYFUNCTION("GOOGLETRANSLATE(D869,""PT"",""EN"")"),"great service")</f>
        <v>great service</v>
      </c>
    </row>
    <row r="870" ht="14.25" customHeight="1">
      <c r="A870" s="1">
        <v>100.0</v>
      </c>
      <c r="B870" s="1" t="s">
        <v>245</v>
      </c>
      <c r="C870" s="1">
        <v>10.0</v>
      </c>
      <c r="D870" s="1" t="s">
        <v>6</v>
      </c>
      <c r="E870" s="1"/>
    </row>
    <row r="871" ht="14.25" customHeight="1">
      <c r="A871" s="1">
        <v>100.0</v>
      </c>
      <c r="B871" s="1" t="s">
        <v>245</v>
      </c>
      <c r="C871" s="1">
        <v>10.0</v>
      </c>
      <c r="D871" s="1" t="s">
        <v>6</v>
      </c>
      <c r="E871" s="1"/>
    </row>
    <row r="872" ht="14.25" customHeight="1">
      <c r="A872" s="1">
        <v>66.0</v>
      </c>
      <c r="B872" s="1" t="s">
        <v>245</v>
      </c>
      <c r="C872" s="1">
        <v>7.0</v>
      </c>
      <c r="D872" s="2" t="s">
        <v>405</v>
      </c>
      <c r="E872" s="1" t="str">
        <f>IFERROR(__xludf.DUMMYFUNCTION("GOOGLETRANSLATE(D872,""PT"",""EN"")"),"Negative Points: Bureaucratic Processes, delay in response to credit proposals, request for additional guarantees positive points: Capital quota, service hours, ease of contact with the account manager.")</f>
        <v>Negative Points: Bureaucratic Processes, delay in response to credit proposals, request for additional guarantees positive points: Capital quota, service hours, ease of contact with the account manager.</v>
      </c>
    </row>
    <row r="873" ht="14.25" customHeight="1">
      <c r="A873" s="1">
        <v>100.0</v>
      </c>
      <c r="B873" s="1" t="s">
        <v>245</v>
      </c>
      <c r="C873" s="1">
        <v>10.0</v>
      </c>
      <c r="D873" s="1" t="s">
        <v>6</v>
      </c>
      <c r="E873" s="1"/>
    </row>
    <row r="874" ht="14.25" customHeight="1">
      <c r="A874" s="1">
        <v>33.0</v>
      </c>
      <c r="B874" s="1" t="s">
        <v>245</v>
      </c>
      <c r="C874" s="1">
        <v>0.0</v>
      </c>
      <c r="D874" s="1" t="s">
        <v>6</v>
      </c>
      <c r="E874" s="1"/>
    </row>
    <row r="875" ht="14.25" customHeight="1">
      <c r="A875" s="1">
        <v>100.0</v>
      </c>
      <c r="B875" s="1" t="s">
        <v>245</v>
      </c>
      <c r="C875" s="1">
        <v>10.0</v>
      </c>
      <c r="D875" s="1" t="s">
        <v>401</v>
      </c>
      <c r="E875" s="1" t="str">
        <f>IFERROR(__xludf.DUMMYFUNCTION("GOOGLETRANSLATE(D875,""PT"",""EN"")"),"Transparency")</f>
        <v>Transparency</v>
      </c>
    </row>
    <row r="876" ht="14.25" customHeight="1">
      <c r="A876" s="1">
        <v>66.0</v>
      </c>
      <c r="B876" s="1" t="s">
        <v>245</v>
      </c>
      <c r="C876" s="1">
        <v>8.0</v>
      </c>
      <c r="D876" s="1" t="s">
        <v>6</v>
      </c>
      <c r="E876" s="1"/>
    </row>
    <row r="877" ht="14.25" customHeight="1">
      <c r="A877" s="1">
        <v>66.0</v>
      </c>
      <c r="B877" s="1" t="s">
        <v>245</v>
      </c>
      <c r="C877" s="1">
        <v>8.0</v>
      </c>
      <c r="D877" s="1" t="s">
        <v>406</v>
      </c>
      <c r="E877" s="1" t="str">
        <f>IFERROR(__xludf.DUMMYFUNCTION("GOOGLETRANSLATE(D877,""PT"",""EN"")"),"Provides good service")</f>
        <v>Provides good service</v>
      </c>
    </row>
    <row r="878" ht="14.25" customHeight="1">
      <c r="A878" s="1">
        <v>66.0</v>
      </c>
      <c r="B878" s="1" t="s">
        <v>245</v>
      </c>
      <c r="C878" s="1">
        <v>8.0</v>
      </c>
      <c r="D878" s="1" t="s">
        <v>6</v>
      </c>
      <c r="E878" s="1"/>
    </row>
    <row r="879" ht="14.25" customHeight="1">
      <c r="A879" s="1">
        <v>100.0</v>
      </c>
      <c r="B879" s="1" t="s">
        <v>245</v>
      </c>
      <c r="C879" s="1">
        <v>10.0</v>
      </c>
      <c r="D879" s="1" t="s">
        <v>22</v>
      </c>
      <c r="E879" s="1" t="str">
        <f>IFERROR(__xludf.DUMMYFUNCTION("GOOGLETRANSLATE(D879,""PT"",""EN"")"),"Excellent service")</f>
        <v>Excellent service</v>
      </c>
    </row>
    <row r="880" ht="14.25" customHeight="1">
      <c r="A880" s="1">
        <v>100.0</v>
      </c>
      <c r="B880" s="1" t="s">
        <v>245</v>
      </c>
      <c r="C880" s="1">
        <v>10.0</v>
      </c>
      <c r="D880" s="1" t="s">
        <v>6</v>
      </c>
      <c r="E880" s="1"/>
    </row>
    <row r="881" ht="14.25" customHeight="1">
      <c r="A881" s="1">
        <v>100.0</v>
      </c>
      <c r="B881" s="1" t="s">
        <v>245</v>
      </c>
      <c r="C881" s="1">
        <v>10.0</v>
      </c>
      <c r="D881" s="2" t="s">
        <v>407</v>
      </c>
      <c r="E881" s="1" t="str">
        <f>IFERROR(__xludf.DUMMYFUNCTION("GOOGLETRANSLATE(D881,""PT"",""EN"")"),"CRIESTE SICOOBA Satisfied with the service")</f>
        <v>CRIESTE SICOOBA Satisfied with the service</v>
      </c>
    </row>
    <row r="882" ht="14.25" customHeight="1">
      <c r="A882" s="1">
        <v>100.0</v>
      </c>
      <c r="B882" s="1" t="s">
        <v>245</v>
      </c>
      <c r="C882" s="1">
        <v>10.0</v>
      </c>
      <c r="D882" s="1" t="s">
        <v>6</v>
      </c>
      <c r="E882" s="1"/>
    </row>
    <row r="883" ht="14.25" customHeight="1">
      <c r="A883" s="1">
        <v>100.0</v>
      </c>
      <c r="B883" s="1" t="s">
        <v>245</v>
      </c>
      <c r="C883" s="1">
        <v>10.0</v>
      </c>
      <c r="D883" s="1" t="s">
        <v>6</v>
      </c>
      <c r="E883" s="1"/>
    </row>
    <row r="884" ht="14.25" customHeight="1">
      <c r="A884" s="1">
        <v>66.0</v>
      </c>
      <c r="B884" s="1" t="s">
        <v>245</v>
      </c>
      <c r="C884" s="1">
        <v>8.0</v>
      </c>
      <c r="D884" s="1" t="s">
        <v>6</v>
      </c>
      <c r="E884" s="1"/>
    </row>
    <row r="885" ht="14.25" customHeight="1">
      <c r="A885" s="1">
        <v>100.0</v>
      </c>
      <c r="B885" s="1" t="s">
        <v>245</v>
      </c>
      <c r="C885" s="1">
        <v>10.0</v>
      </c>
      <c r="D885" s="1" t="s">
        <v>6</v>
      </c>
      <c r="E885" s="1"/>
    </row>
    <row r="886" ht="14.25" customHeight="1">
      <c r="A886" s="1">
        <v>100.0</v>
      </c>
      <c r="B886" s="1" t="s">
        <v>245</v>
      </c>
      <c r="C886" s="1">
        <v>10.0</v>
      </c>
      <c r="D886" s="1" t="s">
        <v>408</v>
      </c>
      <c r="E886" s="1" t="str">
        <f>IFERROR(__xludf.DUMMYFUNCTION("GOOGLETRANSLATE(D886,""PT"",""EN"")"),"No comments")</f>
        <v>No comments</v>
      </c>
    </row>
    <row r="887" ht="14.25" customHeight="1">
      <c r="A887" s="1">
        <v>100.0</v>
      </c>
      <c r="B887" s="1" t="s">
        <v>245</v>
      </c>
      <c r="C887" s="1">
        <v>10.0</v>
      </c>
      <c r="D887" s="1" t="s">
        <v>85</v>
      </c>
      <c r="E887" s="1" t="str">
        <f>IFERROR(__xludf.DUMMYFUNCTION("GOOGLETRANSLATE(D887,""PT"",""EN"")"),"Service")</f>
        <v>Service</v>
      </c>
    </row>
    <row r="888" ht="14.25" customHeight="1">
      <c r="A888" s="1">
        <v>100.0</v>
      </c>
      <c r="B888" s="1" t="s">
        <v>245</v>
      </c>
      <c r="C888" s="1">
        <v>9.0</v>
      </c>
      <c r="D888" s="1" t="s">
        <v>6</v>
      </c>
      <c r="E888" s="1"/>
    </row>
    <row r="889" ht="14.25" customHeight="1">
      <c r="A889" s="1">
        <v>33.0</v>
      </c>
      <c r="B889" s="1" t="s">
        <v>245</v>
      </c>
      <c r="C889" s="1">
        <v>0.0</v>
      </c>
      <c r="D889" s="1" t="s">
        <v>409</v>
      </c>
      <c r="E889" s="1" t="str">
        <f>IFERROR(__xludf.DUMMYFUNCTION("GOOGLETRANSLATE(D889,""PT"",""EN"")"),"Today is the same as moving in a bank, worse, because if I have losses I participate")</f>
        <v>Today is the same as moving in a bank, worse, because if I have losses I participate</v>
      </c>
    </row>
    <row r="890" ht="14.25" customHeight="1">
      <c r="A890" s="1">
        <v>100.0</v>
      </c>
      <c r="B890" s="1" t="s">
        <v>245</v>
      </c>
      <c r="C890" s="1">
        <v>10.0</v>
      </c>
      <c r="D890" s="1" t="s">
        <v>410</v>
      </c>
      <c r="E890" s="1" t="str">
        <f>IFERROR(__xludf.DUMMYFUNCTION("GOOGLETRANSLATE(D890,""PT"",""EN"")"),"Promptness")</f>
        <v>Promptness</v>
      </c>
    </row>
    <row r="891" ht="14.25" customHeight="1">
      <c r="A891" s="1">
        <v>33.0</v>
      </c>
      <c r="B891" s="1" t="s">
        <v>245</v>
      </c>
      <c r="C891" s="1">
        <v>0.0</v>
      </c>
      <c r="D891" s="2" t="s">
        <v>411</v>
      </c>
      <c r="E891" s="1" t="str">
        <f>IFERROR(__xludf.DUMMYFUNCTION("GOOGLETRANSLATE(D891,""PT"",""EN"")"),"From the time I opened the account I did not even receive a call from the manager or the bank. This is because movement over 20k of salary per month. I thought it would have a good experience.")</f>
        <v>From the time I opened the account I did not even receive a call from the manager or the bank. This is because movement over 20k of salary per month. I thought it would have a good experience.</v>
      </c>
    </row>
    <row r="892" ht="14.25" customHeight="1">
      <c r="A892" s="1">
        <v>100.0</v>
      </c>
      <c r="B892" s="1" t="s">
        <v>245</v>
      </c>
      <c r="C892" s="1">
        <v>10.0</v>
      </c>
      <c r="D892" s="1" t="s">
        <v>6</v>
      </c>
      <c r="E892" s="1"/>
    </row>
    <row r="893" ht="14.25" customHeight="1">
      <c r="A893" s="1">
        <v>100.0</v>
      </c>
      <c r="B893" s="1" t="s">
        <v>245</v>
      </c>
      <c r="C893" s="1">
        <v>10.0</v>
      </c>
      <c r="D893" s="1" t="s">
        <v>412</v>
      </c>
      <c r="E893" s="1" t="str">
        <f>IFERROR(__xludf.DUMMYFUNCTION("GOOGLETRANSLATE(D893,""PT"",""EN"")"),"Efficiency")</f>
        <v>Efficiency</v>
      </c>
    </row>
    <row r="894" ht="14.25" customHeight="1">
      <c r="A894" s="1">
        <v>33.0</v>
      </c>
      <c r="B894" s="1" t="s">
        <v>245</v>
      </c>
      <c r="C894" s="1">
        <v>4.0</v>
      </c>
      <c r="D894" s="2" t="s">
        <v>413</v>
      </c>
      <c r="E894" s="1" t="str">
        <f>IFERROR(__xludf.DUMMYFUNCTION("GOOGLETRANSLATE(D894,""PT"",""EN"")"),"I have accounts that are scheduled for debit into account, it is already for 4 months the Sicoob does not launch is I have to pay with interest the bill, it is look that the account is a consortium that they sold me themselves")</f>
        <v>I have accounts that are scheduled for debit into account, it is already for 4 months the Sicoob does not launch is I have to pay with interest the bill, it is look that the account is a consortium that they sold me themselves</v>
      </c>
    </row>
    <row r="895" ht="14.25" customHeight="1">
      <c r="A895" s="1">
        <v>100.0</v>
      </c>
      <c r="B895" s="1" t="s">
        <v>245</v>
      </c>
      <c r="C895" s="1">
        <v>9.0</v>
      </c>
      <c r="D895" s="2" t="s">
        <v>414</v>
      </c>
      <c r="E895" s="1" t="str">
        <f>IFERROR(__xludf.DUMMYFUNCTION("GOOGLETRANSLATE(D895,""PT"",""EN"")"),"For being close to my company")</f>
        <v>For being close to my company</v>
      </c>
    </row>
    <row r="896" ht="14.25" customHeight="1">
      <c r="A896" s="1">
        <v>100.0</v>
      </c>
      <c r="B896" s="1" t="s">
        <v>245</v>
      </c>
      <c r="C896" s="1">
        <v>10.0</v>
      </c>
      <c r="D896" s="1" t="s">
        <v>415</v>
      </c>
      <c r="E896" s="1" t="str">
        <f>IFERROR(__xludf.DUMMYFUNCTION("GOOGLETRANSLATE(D896,""PT"",""EN"")"),"practicality")</f>
        <v>practicality</v>
      </c>
    </row>
    <row r="897" ht="14.25" customHeight="1">
      <c r="A897" s="1">
        <v>33.0</v>
      </c>
      <c r="B897" s="1" t="s">
        <v>245</v>
      </c>
      <c r="C897" s="1">
        <v>5.0</v>
      </c>
      <c r="D897" s="2" t="s">
        <v>416</v>
      </c>
      <c r="E897" s="1" t="str">
        <f>IFERROR(__xludf.DUMMYFUNCTION("GOOGLETRANSLATE(D897,""PT"",""EN"")"),"I was angry, they only gave the rich agendas, it is taking a long time to answer Jandaia agency, only one cashier in the cashier, while there are two three looking mobile, I was up to 40 minutes to answer")</f>
        <v>I was angry, they only gave the rich agendas, it is taking a long time to answer Jandaia agency, only one cashier in the cashier, while there are two three looking mobile, I was up to 40 minutes to answer</v>
      </c>
    </row>
    <row r="898" ht="14.25" customHeight="1">
      <c r="A898" s="1">
        <v>100.0</v>
      </c>
      <c r="B898" s="1" t="s">
        <v>245</v>
      </c>
      <c r="C898" s="1">
        <v>10.0</v>
      </c>
      <c r="D898" s="1" t="s">
        <v>417</v>
      </c>
      <c r="E898" s="1" t="str">
        <f>IFERROR(__xludf.DUMMYFUNCTION("GOOGLETRANSLATE(D898,""PT"",""EN"")"),"For being well attended")</f>
        <v>For being well attended</v>
      </c>
    </row>
    <row r="899" ht="14.25" customHeight="1">
      <c r="A899" s="1">
        <v>100.0</v>
      </c>
      <c r="B899" s="1" t="s">
        <v>245</v>
      </c>
      <c r="C899" s="1">
        <v>10.0</v>
      </c>
      <c r="D899" s="1" t="s">
        <v>6</v>
      </c>
      <c r="E899" s="1"/>
    </row>
    <row r="900" ht="14.25" customHeight="1">
      <c r="A900" s="1">
        <v>66.0</v>
      </c>
      <c r="B900" s="1" t="s">
        <v>245</v>
      </c>
      <c r="C900" s="1">
        <v>8.0</v>
      </c>
      <c r="D900" s="1" t="s">
        <v>6</v>
      </c>
      <c r="E900" s="1"/>
    </row>
    <row r="901" ht="14.25" customHeight="1">
      <c r="A901" s="1">
        <v>100.0</v>
      </c>
      <c r="B901" s="1" t="s">
        <v>245</v>
      </c>
      <c r="C901" s="1">
        <v>9.0</v>
      </c>
      <c r="D901" s="1" t="s">
        <v>418</v>
      </c>
      <c r="E901" s="1" t="str">
        <f>IFERROR(__xludf.DUMMYFUNCTION("GOOGLETRANSLATE(D901,""PT"",""EN"")"),"TOP")</f>
        <v>TOP</v>
      </c>
    </row>
    <row r="902" ht="14.25" customHeight="1">
      <c r="A902" s="1">
        <v>66.0</v>
      </c>
      <c r="B902" s="1" t="s">
        <v>245</v>
      </c>
      <c r="C902" s="1">
        <v>8.0</v>
      </c>
      <c r="D902" s="2" t="s">
        <v>419</v>
      </c>
      <c r="E902" s="1" t="str">
        <f>IFERROR(__xludf.DUMMYFUNCTION("GOOGLETRANSLATE(D902,""PT"",""EN"")"),"All that is left to have more agencies is the application being less bureaucratic")</f>
        <v>All that is left to have more agencies is the application being less bureaucratic</v>
      </c>
    </row>
    <row r="903" ht="14.25" customHeight="1">
      <c r="A903" s="1">
        <v>100.0</v>
      </c>
      <c r="B903" s="1" t="s">
        <v>245</v>
      </c>
      <c r="C903" s="1">
        <v>9.0</v>
      </c>
      <c r="D903" s="2" t="s">
        <v>420</v>
      </c>
      <c r="E903" s="1" t="str">
        <f>IFERROR(__xludf.DUMMYFUNCTION("GOOGLETRANSLATE(D903,""PT"",""EN"")"),"Really at Sicoob is one of the best institutions to work with. Well treated, valued the cooperative. It has everything the banking sector offers, it is better, with return to the cooperative.")</f>
        <v>Really at Sicoob is one of the best institutions to work with. Well treated, valued the cooperative. It has everything the banking sector offers, it is better, with return to the cooperative.</v>
      </c>
    </row>
    <row r="904" ht="14.25" customHeight="1">
      <c r="A904" s="1">
        <v>100.0</v>
      </c>
      <c r="B904" s="1" t="s">
        <v>245</v>
      </c>
      <c r="C904" s="1">
        <v>10.0</v>
      </c>
      <c r="D904" s="1" t="s">
        <v>85</v>
      </c>
      <c r="E904" s="1" t="str">
        <f>IFERROR(__xludf.DUMMYFUNCTION("GOOGLETRANSLATE(D904,""PT"",""EN"")"),"Service")</f>
        <v>Service</v>
      </c>
    </row>
    <row r="905" ht="14.25" customHeight="1">
      <c r="A905" s="1">
        <v>100.0</v>
      </c>
      <c r="B905" s="1" t="s">
        <v>245</v>
      </c>
      <c r="C905" s="1">
        <v>9.0</v>
      </c>
      <c r="D905" s="1" t="s">
        <v>421</v>
      </c>
      <c r="E905" s="1" t="str">
        <f>IFERROR(__xludf.DUMMYFUNCTION("GOOGLETRANSLATE(D905,""PT"",""EN"")"),"It is a bank of friends, we are well treated in every respect.")</f>
        <v>It is a bank of friends, we are well treated in every respect.</v>
      </c>
    </row>
    <row r="906" ht="14.25" customHeight="1">
      <c r="A906" s="1">
        <v>100.0</v>
      </c>
      <c r="B906" s="1" t="s">
        <v>245</v>
      </c>
      <c r="C906" s="1">
        <v>10.0</v>
      </c>
      <c r="D906" s="1" t="s">
        <v>37</v>
      </c>
      <c r="E906" s="1" t="str">
        <f>IFERROR(__xludf.DUMMYFUNCTION("GOOGLETRANSLATE(D906,""PT"",""EN"")"),"Great service")</f>
        <v>Great service</v>
      </c>
    </row>
    <row r="907" ht="14.25" customHeight="1">
      <c r="A907" s="1">
        <v>66.0</v>
      </c>
      <c r="B907" s="1" t="s">
        <v>245</v>
      </c>
      <c r="C907" s="1">
        <v>8.0</v>
      </c>
      <c r="D907" s="1" t="s">
        <v>422</v>
      </c>
      <c r="E907" s="1" t="str">
        <f>IFERROR(__xludf.DUMMYFUNCTION("GOOGLETRANSLATE(D907,""PT"",""EN"")"),"Best Cooperative Bank")</f>
        <v>Best Cooperative Bank</v>
      </c>
    </row>
    <row r="908" ht="14.25" customHeight="1">
      <c r="A908" s="1">
        <v>100.0</v>
      </c>
      <c r="B908" s="1" t="s">
        <v>245</v>
      </c>
      <c r="C908" s="1">
        <v>10.0</v>
      </c>
      <c r="D908" s="1" t="s">
        <v>6</v>
      </c>
      <c r="E908" s="1"/>
    </row>
    <row r="909" ht="14.25" customHeight="1">
      <c r="A909" s="1">
        <v>100.0</v>
      </c>
      <c r="B909" s="1" t="s">
        <v>245</v>
      </c>
      <c r="C909" s="1">
        <v>10.0</v>
      </c>
      <c r="D909" s="1" t="s">
        <v>22</v>
      </c>
      <c r="E909" s="1" t="str">
        <f>IFERROR(__xludf.DUMMYFUNCTION("GOOGLETRANSLATE(D909,""PT"",""EN"")"),"Excellent service")</f>
        <v>Excellent service</v>
      </c>
    </row>
    <row r="910" ht="14.25" customHeight="1">
      <c r="A910" s="1">
        <v>33.0</v>
      </c>
      <c r="B910" s="1" t="s">
        <v>245</v>
      </c>
      <c r="C910" s="1">
        <v>0.0</v>
      </c>
      <c r="D910" s="2" t="s">
        <v>423</v>
      </c>
      <c r="E910" s="1" t="str">
        <f>IFERROR(__xludf.DUMMYFUNCTION("GOOGLETRANSLATE(D910,""PT"",""EN"")"),"terrible")</f>
        <v>terrible</v>
      </c>
    </row>
    <row r="911" ht="14.25" customHeight="1">
      <c r="A911" s="1">
        <v>100.0</v>
      </c>
      <c r="B911" s="1" t="s">
        <v>245</v>
      </c>
      <c r="C911" s="1">
        <v>10.0</v>
      </c>
      <c r="D911" s="1" t="s">
        <v>6</v>
      </c>
      <c r="E911" s="1"/>
    </row>
    <row r="912" ht="14.25" customHeight="1">
      <c r="A912" s="1">
        <v>100.0</v>
      </c>
      <c r="B912" s="1" t="s">
        <v>245</v>
      </c>
      <c r="C912" s="1">
        <v>10.0</v>
      </c>
      <c r="D912" s="1" t="s">
        <v>159</v>
      </c>
      <c r="E912" s="1" t="str">
        <f>IFERROR(__xludf.DUMMYFUNCTION("GOOGLETRANSLATE(D912,""PT"",""EN"")"),"Attention")</f>
        <v>Attention</v>
      </c>
    </row>
    <row r="913" ht="14.25" customHeight="1">
      <c r="A913" s="1">
        <v>100.0</v>
      </c>
      <c r="B913" s="1" t="s">
        <v>245</v>
      </c>
      <c r="C913" s="1">
        <v>10.0</v>
      </c>
      <c r="D913" s="1" t="s">
        <v>6</v>
      </c>
      <c r="E913" s="1"/>
    </row>
    <row r="914" ht="14.25" customHeight="1">
      <c r="A914" s="1">
        <v>100.0</v>
      </c>
      <c r="B914" s="1" t="s">
        <v>245</v>
      </c>
      <c r="C914" s="1">
        <v>10.0</v>
      </c>
      <c r="D914" s="2" t="s">
        <v>424</v>
      </c>
      <c r="E914" s="1" t="str">
        <f>IFERROR(__xludf.DUMMYFUNCTION("GOOGLETRANSLATE(D914,""PT"",""EN"")"),"It serves well .. no queues ... no problem")</f>
        <v>It serves well .. no queues ... no problem</v>
      </c>
    </row>
    <row r="915" ht="14.25" customHeight="1">
      <c r="A915" s="1">
        <v>33.0</v>
      </c>
      <c r="B915" s="1" t="s">
        <v>245</v>
      </c>
      <c r="C915" s="1">
        <v>0.0</v>
      </c>
      <c r="D915" s="1" t="s">
        <v>6</v>
      </c>
      <c r="E915" s="1"/>
    </row>
    <row r="916" ht="14.25" customHeight="1">
      <c r="A916" s="1">
        <v>100.0</v>
      </c>
      <c r="B916" s="1" t="s">
        <v>245</v>
      </c>
      <c r="C916" s="1">
        <v>10.0</v>
      </c>
      <c r="D916" s="1" t="s">
        <v>6</v>
      </c>
      <c r="E916" s="1"/>
    </row>
    <row r="917" ht="14.25" customHeight="1">
      <c r="A917" s="1">
        <v>100.0</v>
      </c>
      <c r="B917" s="1" t="s">
        <v>245</v>
      </c>
      <c r="C917" s="1">
        <v>9.0</v>
      </c>
      <c r="D917" s="1" t="s">
        <v>425</v>
      </c>
      <c r="E917" s="1" t="str">
        <f>IFERROR(__xludf.DUMMYFUNCTION("GOOGLETRANSLATE(D917,""PT"",""EN"")"),"PROFITABILITY")</f>
        <v>PROFITABILITY</v>
      </c>
    </row>
    <row r="918" ht="14.25" customHeight="1">
      <c r="A918" s="1">
        <v>100.0</v>
      </c>
      <c r="B918" s="1" t="s">
        <v>245</v>
      </c>
      <c r="C918" s="1">
        <v>10.0</v>
      </c>
      <c r="D918" s="2" t="s">
        <v>426</v>
      </c>
      <c r="E918" s="1" t="str">
        <f>IFERROR(__xludf.DUMMYFUNCTION("GOOGLETRANSLATE(D918,""PT"",""EN"")"),"EXCELLENT")</f>
        <v>EXCELLENT</v>
      </c>
    </row>
    <row r="919" ht="14.25" customHeight="1">
      <c r="A919" s="1">
        <v>100.0</v>
      </c>
      <c r="B919" s="1" t="s">
        <v>245</v>
      </c>
      <c r="C919" s="1">
        <v>10.0</v>
      </c>
      <c r="D919" s="1" t="s">
        <v>9</v>
      </c>
      <c r="E919" s="1" t="str">
        <f>IFERROR(__xludf.DUMMYFUNCTION("GOOGLETRANSLATE(D919,""PT"",""EN"")"),"10")</f>
        <v>10</v>
      </c>
    </row>
    <row r="920" ht="14.25" customHeight="1">
      <c r="A920" s="1">
        <v>100.0</v>
      </c>
      <c r="B920" s="1" t="s">
        <v>245</v>
      </c>
      <c r="C920" s="1">
        <v>10.0</v>
      </c>
      <c r="D920" s="1" t="s">
        <v>6</v>
      </c>
      <c r="E920" s="1"/>
    </row>
    <row r="921" ht="14.25" customHeight="1">
      <c r="A921" s="1">
        <v>100.0</v>
      </c>
      <c r="B921" s="1" t="s">
        <v>245</v>
      </c>
      <c r="C921" s="1">
        <v>10.0</v>
      </c>
      <c r="D921" s="2" t="s">
        <v>427</v>
      </c>
      <c r="E921" s="1" t="str">
        <f>IFERROR(__xludf.DUMMYFUNCTION("GOOGLETRANSLATE(D921,""PT"",""EN"")"),"Customer satisfaction in service is in information solutions.")</f>
        <v>Customer satisfaction in service is in information solutions.</v>
      </c>
    </row>
    <row r="922" ht="14.25" customHeight="1">
      <c r="A922" s="1">
        <v>100.0</v>
      </c>
      <c r="B922" s="1" t="s">
        <v>245</v>
      </c>
      <c r="C922" s="1">
        <v>10.0</v>
      </c>
      <c r="D922" s="1" t="s">
        <v>6</v>
      </c>
      <c r="E922" s="1"/>
    </row>
    <row r="923" ht="14.25" customHeight="1">
      <c r="A923" s="1">
        <v>33.0</v>
      </c>
      <c r="B923" s="1" t="s">
        <v>245</v>
      </c>
      <c r="C923" s="1">
        <v>0.0</v>
      </c>
      <c r="D923" s="1" t="s">
        <v>6</v>
      </c>
      <c r="E923" s="1"/>
    </row>
    <row r="924" ht="14.25" customHeight="1">
      <c r="A924" s="1">
        <v>100.0</v>
      </c>
      <c r="B924" s="1" t="s">
        <v>245</v>
      </c>
      <c r="C924" s="1">
        <v>10.0</v>
      </c>
      <c r="D924" s="1" t="s">
        <v>6</v>
      </c>
      <c r="E924" s="1"/>
    </row>
    <row r="925" ht="14.25" customHeight="1">
      <c r="A925" s="1">
        <v>100.0</v>
      </c>
      <c r="B925" s="1" t="s">
        <v>245</v>
      </c>
      <c r="C925" s="1">
        <v>10.0</v>
      </c>
      <c r="D925" s="1" t="s">
        <v>6</v>
      </c>
      <c r="E925" s="1"/>
    </row>
    <row r="926" ht="14.25" customHeight="1">
      <c r="A926" s="1">
        <v>100.0</v>
      </c>
      <c r="B926" s="1" t="s">
        <v>245</v>
      </c>
      <c r="C926" s="1">
        <v>10.0</v>
      </c>
      <c r="D926" s="2" t="s">
        <v>428</v>
      </c>
      <c r="E926" s="1" t="str">
        <f>IFERROR(__xludf.DUMMYFUNCTION("GOOGLETRANSLATE(D926,""PT"",""EN"")"),"Good service is organization")</f>
        <v>Good service is organization</v>
      </c>
    </row>
    <row r="927" ht="14.25" customHeight="1">
      <c r="A927" s="1">
        <v>100.0</v>
      </c>
      <c r="B927" s="1" t="s">
        <v>245</v>
      </c>
      <c r="C927" s="1">
        <v>10.0</v>
      </c>
      <c r="D927" s="1" t="s">
        <v>6</v>
      </c>
      <c r="E927" s="1"/>
    </row>
    <row r="928" ht="14.25" customHeight="1">
      <c r="A928" s="1">
        <v>100.0</v>
      </c>
      <c r="B928" s="1" t="s">
        <v>245</v>
      </c>
      <c r="C928" s="1">
        <v>9.0</v>
      </c>
      <c r="D928" s="1" t="s">
        <v>429</v>
      </c>
      <c r="E928" s="1" t="str">
        <f>IFERROR(__xludf.DUMMYFUNCTION("GOOGLETRANSLATE(D928,""PT"",""EN"")"),"For being a cooperative institution.")</f>
        <v>For being a cooperative institution.</v>
      </c>
    </row>
    <row r="929" ht="14.25" customHeight="1">
      <c r="A929" s="1">
        <v>66.0</v>
      </c>
      <c r="B929" s="1" t="s">
        <v>245</v>
      </c>
      <c r="C929" s="1">
        <v>7.0</v>
      </c>
      <c r="D929" s="1" t="s">
        <v>430</v>
      </c>
      <c r="E929" s="1" t="str">
        <f>IFERROR(__xludf.DUMMYFUNCTION("GOOGLETRANSLATE(D929,""PT"",""EN"")"),"I believe they can be more attentive to customers.")</f>
        <v>I believe they can be more attentive to customers.</v>
      </c>
    </row>
    <row r="930" ht="14.25" customHeight="1">
      <c r="A930" s="1">
        <v>33.0</v>
      </c>
      <c r="B930" s="1" t="s">
        <v>245</v>
      </c>
      <c r="C930" s="1">
        <v>4.0</v>
      </c>
      <c r="D930" s="2" t="s">
        <v>431</v>
      </c>
      <c r="E930" s="1" t="str">
        <f>IFERROR(__xludf.DUMMYFUNCTION("GOOGLETRANSLATE(D930,""PT"",""EN"")"),"Bureaucratic Account is without credit card")</f>
        <v>Bureaucratic Account is without credit card</v>
      </c>
    </row>
    <row r="931" ht="14.25" customHeight="1">
      <c r="A931" s="1">
        <v>100.0</v>
      </c>
      <c r="B931" s="1" t="s">
        <v>245</v>
      </c>
      <c r="C931" s="1">
        <v>10.0</v>
      </c>
      <c r="D931" s="2" t="s">
        <v>432</v>
      </c>
      <c r="E931" s="1" t="str">
        <f>IFERROR(__xludf.DUMMYFUNCTION("GOOGLETRANSLATE(D931,""PT"",""EN"")"),"Legal certainty is speed")</f>
        <v>Legal certainty is speed</v>
      </c>
    </row>
    <row r="932" ht="14.25" customHeight="1">
      <c r="A932" s="1">
        <v>66.0</v>
      </c>
      <c r="B932" s="1" t="s">
        <v>245</v>
      </c>
      <c r="C932" s="1">
        <v>8.0</v>
      </c>
      <c r="D932" s="1" t="s">
        <v>433</v>
      </c>
      <c r="E932" s="1" t="str">
        <f>IFERROR(__xludf.DUMMYFUNCTION("GOOGLETRANSLATE(D932,""PT"",""EN"")"),"service, environment, tariffs")</f>
        <v>service, environment, tariffs</v>
      </c>
    </row>
    <row r="933" ht="14.25" customHeight="1">
      <c r="A933" s="1">
        <v>100.0</v>
      </c>
      <c r="B933" s="1" t="s">
        <v>245</v>
      </c>
      <c r="C933" s="1">
        <v>10.0</v>
      </c>
      <c r="D933" s="1" t="s">
        <v>434</v>
      </c>
      <c r="E933" s="1" t="str">
        <f>IFERROR(__xludf.DUMMYFUNCTION("GOOGLETRANSLATE(D933,""PT"",""EN"")"),"Accessibility")</f>
        <v>Accessibility</v>
      </c>
    </row>
    <row r="934" ht="14.25" customHeight="1">
      <c r="A934" s="1">
        <v>100.0</v>
      </c>
      <c r="B934" s="1" t="s">
        <v>245</v>
      </c>
      <c r="C934" s="1">
        <v>10.0</v>
      </c>
      <c r="D934" s="1" t="s">
        <v>435</v>
      </c>
      <c r="E934" s="1" t="str">
        <f>IFERROR(__xludf.DUMMYFUNCTION("GOOGLETRANSLATE(D934,""PT"",""EN"")"),"Service, fees, humanized treatment")</f>
        <v>Service, fees, humanized treatment</v>
      </c>
    </row>
    <row r="935" ht="14.25" customHeight="1">
      <c r="A935" s="1">
        <v>100.0</v>
      </c>
      <c r="B935" s="1" t="s">
        <v>245</v>
      </c>
      <c r="C935" s="1">
        <v>10.0</v>
      </c>
      <c r="D935" s="1" t="s">
        <v>436</v>
      </c>
      <c r="E935" s="1" t="str">
        <f>IFERROR(__xludf.DUMMYFUNCTION("GOOGLETRANSLATE(D935,""PT"",""EN"")"),"Great relationship,")</f>
        <v>Great relationship,</v>
      </c>
    </row>
    <row r="936" ht="14.25" customHeight="1">
      <c r="A936" s="1">
        <v>100.0</v>
      </c>
      <c r="B936" s="1" t="s">
        <v>245</v>
      </c>
      <c r="C936" s="1">
        <v>10.0</v>
      </c>
      <c r="D936" s="1" t="s">
        <v>85</v>
      </c>
      <c r="E936" s="1" t="str">
        <f>IFERROR(__xludf.DUMMYFUNCTION("GOOGLETRANSLATE(D936,""PT"",""EN"")"),"Service")</f>
        <v>Service</v>
      </c>
    </row>
    <row r="937" ht="14.25" customHeight="1">
      <c r="A937" s="1">
        <v>33.0</v>
      </c>
      <c r="B937" s="1" t="s">
        <v>245</v>
      </c>
      <c r="C937" s="1">
        <v>1.0</v>
      </c>
      <c r="D937" s="1" t="s">
        <v>6</v>
      </c>
      <c r="E937" s="1"/>
    </row>
    <row r="938" ht="14.25" customHeight="1">
      <c r="A938" s="1">
        <v>33.0</v>
      </c>
      <c r="B938" s="1" t="s">
        <v>245</v>
      </c>
      <c r="C938" s="1">
        <v>0.0</v>
      </c>
      <c r="D938" s="1" t="s">
        <v>6</v>
      </c>
      <c r="E938" s="1"/>
    </row>
    <row r="939" ht="14.25" customHeight="1">
      <c r="A939" s="1">
        <v>100.0</v>
      </c>
      <c r="B939" s="1" t="s">
        <v>245</v>
      </c>
      <c r="C939" s="1">
        <v>9.0</v>
      </c>
      <c r="D939" s="1" t="s">
        <v>6</v>
      </c>
      <c r="E939" s="1"/>
    </row>
    <row r="940" ht="14.25" customHeight="1">
      <c r="A940" s="1">
        <v>100.0</v>
      </c>
      <c r="B940" s="1" t="s">
        <v>245</v>
      </c>
      <c r="C940" s="1">
        <v>9.0</v>
      </c>
      <c r="D940" s="1" t="s">
        <v>6</v>
      </c>
      <c r="E940" s="1"/>
    </row>
    <row r="941" ht="14.25" customHeight="1">
      <c r="A941" s="1">
        <v>100.0</v>
      </c>
      <c r="B941" s="1" t="s">
        <v>245</v>
      </c>
      <c r="C941" s="1">
        <v>10.0</v>
      </c>
      <c r="D941" s="1" t="s">
        <v>6</v>
      </c>
      <c r="E941" s="1"/>
    </row>
    <row r="942" ht="14.25" customHeight="1">
      <c r="A942" s="1">
        <v>100.0</v>
      </c>
      <c r="B942" s="1" t="s">
        <v>245</v>
      </c>
      <c r="C942" s="1">
        <v>9.0</v>
      </c>
      <c r="D942" s="2" t="s">
        <v>437</v>
      </c>
      <c r="E942" s="1" t="str">
        <f>IFERROR(__xludf.DUMMYFUNCTION("GOOGLETRANSLATE(D942,""PT"",""EN"")"),"The application in relation to credit card is very bad ..... weak")</f>
        <v>The application in relation to credit card is very bad ..... weak</v>
      </c>
    </row>
    <row r="943" ht="14.25" customHeight="1">
      <c r="A943" s="1">
        <v>100.0</v>
      </c>
      <c r="B943" s="1" t="s">
        <v>245</v>
      </c>
      <c r="C943" s="1">
        <v>10.0</v>
      </c>
      <c r="D943" s="2" t="s">
        <v>438</v>
      </c>
      <c r="E943" s="1" t="str">
        <f>IFERROR(__xludf.DUMMYFUNCTION("GOOGLETRANSLATE(D943,""PT"",""EN"")"),"Always resolved with promptness is speed")</f>
        <v>Always resolved with promptness is speed</v>
      </c>
    </row>
    <row r="944" ht="14.25" customHeight="1">
      <c r="A944" s="1">
        <v>100.0</v>
      </c>
      <c r="B944" s="1" t="s">
        <v>245</v>
      </c>
      <c r="C944" s="1">
        <v>9.0</v>
      </c>
      <c r="D944" s="1" t="s">
        <v>439</v>
      </c>
      <c r="E944" s="1" t="str">
        <f>IFERROR(__xludf.DUMMYFUNCTION("GOOGLETRANSLATE(D944,""PT"",""EN"")"),"Some things yet, to be changed.")</f>
        <v>Some things yet, to be changed.</v>
      </c>
    </row>
    <row r="945" ht="14.25" customHeight="1">
      <c r="A945" s="1">
        <v>100.0</v>
      </c>
      <c r="B945" s="1" t="s">
        <v>245</v>
      </c>
      <c r="C945" s="1">
        <v>9.0</v>
      </c>
      <c r="D945" s="1" t="s">
        <v>440</v>
      </c>
      <c r="E945" s="1" t="str">
        <f>IFERROR(__xludf.DUMMYFUNCTION("GOOGLETRANSLATE(D945,""PT"",""EN"")"),"Very good service.")</f>
        <v>Very good service.</v>
      </c>
    </row>
    <row r="946" ht="14.25" customHeight="1">
      <c r="A946" s="1">
        <v>100.0</v>
      </c>
      <c r="B946" s="1" t="s">
        <v>245</v>
      </c>
      <c r="C946" s="1">
        <v>10.0</v>
      </c>
      <c r="D946" s="1" t="s">
        <v>441</v>
      </c>
      <c r="E946" s="1" t="str">
        <f>IFERROR(__xludf.DUMMYFUNCTION("GOOGLETRANSLATE(D946,""PT"",""EN"")"),"Service mainly in the app")</f>
        <v>Service mainly in the app</v>
      </c>
    </row>
    <row r="947" ht="14.25" customHeight="1">
      <c r="A947" s="1">
        <v>100.0</v>
      </c>
      <c r="B947" s="1" t="s">
        <v>245</v>
      </c>
      <c r="C947" s="1">
        <v>10.0</v>
      </c>
      <c r="D947" s="1" t="s">
        <v>6</v>
      </c>
      <c r="E947" s="1"/>
    </row>
    <row r="948" ht="14.25" customHeight="1">
      <c r="A948" s="1">
        <v>33.0</v>
      </c>
      <c r="B948" s="1" t="s">
        <v>245</v>
      </c>
      <c r="C948" s="1">
        <v>6.0</v>
      </c>
      <c r="D948" s="1" t="s">
        <v>442</v>
      </c>
      <c r="E948" s="1" t="str">
        <f>IFERROR(__xludf.DUMMYFUNCTION("GOOGLETRANSLATE(D948,""PT"",""EN"")"),"Consortium with high ADM rate")</f>
        <v>Consortium with high ADM rate</v>
      </c>
    </row>
    <row r="949" ht="14.25" customHeight="1">
      <c r="A949" s="1">
        <v>33.0</v>
      </c>
      <c r="B949" s="1" t="s">
        <v>245</v>
      </c>
      <c r="C949" s="1">
        <v>0.0</v>
      </c>
      <c r="D949" s="2" t="s">
        <v>443</v>
      </c>
      <c r="E949" s="1" t="str">
        <f>IFERROR(__xludf.DUMMYFUNCTION("GOOGLETRANSLATE(D949,""PT"",""EN"")"),"I did not feel that the company was well assisted, or accompanied.")</f>
        <v>I did not feel that the company was well assisted, or accompanied.</v>
      </c>
    </row>
    <row r="950" ht="14.25" customHeight="1">
      <c r="A950" s="1">
        <v>100.0</v>
      </c>
      <c r="B950" s="1" t="s">
        <v>245</v>
      </c>
      <c r="C950" s="1">
        <v>10.0</v>
      </c>
      <c r="D950" s="2" t="s">
        <v>444</v>
      </c>
      <c r="E950" s="1" t="str">
        <f>IFERROR(__xludf.DUMMYFUNCTION("GOOGLETRANSLATE(D950,""PT"",""EN"")"),"Peia utility is ease of the application")</f>
        <v>Peia utility is ease of the application</v>
      </c>
    </row>
    <row r="951" ht="14.25" customHeight="1">
      <c r="A951" s="1">
        <v>100.0</v>
      </c>
      <c r="B951" s="1" t="s">
        <v>245</v>
      </c>
      <c r="C951" s="1">
        <v>10.0</v>
      </c>
      <c r="D951" s="1" t="s">
        <v>6</v>
      </c>
      <c r="E951" s="1"/>
    </row>
    <row r="952" ht="14.25" customHeight="1">
      <c r="A952" s="1">
        <v>100.0</v>
      </c>
      <c r="B952" s="1" t="s">
        <v>245</v>
      </c>
      <c r="C952" s="1">
        <v>10.0</v>
      </c>
      <c r="D952" s="1" t="s">
        <v>445</v>
      </c>
      <c r="E952" s="1" t="str">
        <f>IFERROR(__xludf.DUMMYFUNCTION("GOOGLETRANSLATE(D952,""PT"",""EN"")"),"Good service, family environment")</f>
        <v>Good service, family environment</v>
      </c>
    </row>
    <row r="953" ht="14.25" customHeight="1">
      <c r="A953" s="1">
        <v>100.0</v>
      </c>
      <c r="B953" s="1" t="s">
        <v>245</v>
      </c>
      <c r="C953" s="1">
        <v>10.0</v>
      </c>
      <c r="D953" s="2" t="s">
        <v>446</v>
      </c>
      <c r="E953" s="1" t="str">
        <f>IFERROR(__xludf.DUMMYFUNCTION("GOOGLETRANSLATE(D953,""PT"",""EN"")"),"Helpful team is prepared. Operating hours. Quotas .. the solidity of the bank.")</f>
        <v>Helpful team is prepared. Operating hours. Quotas .. the solidity of the bank.</v>
      </c>
    </row>
    <row r="954" ht="14.25" customHeight="1">
      <c r="A954" s="1">
        <v>100.0</v>
      </c>
      <c r="B954" s="1" t="s">
        <v>245</v>
      </c>
      <c r="C954" s="1">
        <v>9.0</v>
      </c>
      <c r="D954" s="1" t="s">
        <v>6</v>
      </c>
      <c r="E954" s="1"/>
    </row>
    <row r="955" ht="14.25" customHeight="1">
      <c r="A955" s="1">
        <v>100.0</v>
      </c>
      <c r="B955" s="1" t="s">
        <v>245</v>
      </c>
      <c r="C955" s="1">
        <v>10.0</v>
      </c>
      <c r="D955" s="2" t="s">
        <v>447</v>
      </c>
      <c r="E955" s="1" t="str">
        <f>IFERROR(__xludf.DUMMYFUNCTION("GOOGLETRANSLATE(D955,""PT"",""EN"")"),"Good service, agility is a cordial smile !!!")</f>
        <v>Good service, agility is a cordial smile !!!</v>
      </c>
    </row>
    <row r="956" ht="14.25" customHeight="1">
      <c r="A956" s="1">
        <v>100.0</v>
      </c>
      <c r="B956" s="1" t="s">
        <v>245</v>
      </c>
      <c r="C956" s="1">
        <v>10.0</v>
      </c>
      <c r="D956" s="2" t="s">
        <v>448</v>
      </c>
      <c r="E956" s="1" t="str">
        <f>IFERROR(__xludf.DUMMYFUNCTION("GOOGLETRANSLATE(D956,""PT"",""EN"")"),"Service is time, efficient.")</f>
        <v>Service is time, efficient.</v>
      </c>
    </row>
    <row r="957" ht="14.25" customHeight="1">
      <c r="A957" s="1">
        <v>100.0</v>
      </c>
      <c r="B957" s="1" t="s">
        <v>245</v>
      </c>
      <c r="C957" s="1">
        <v>10.0</v>
      </c>
      <c r="D957" s="1" t="s">
        <v>17</v>
      </c>
      <c r="E957" s="1" t="str">
        <f>IFERROR(__xludf.DUMMYFUNCTION("GOOGLETRANSLATE(D957,""PT"",""EN"")"),"Satisfaction")</f>
        <v>Satisfaction</v>
      </c>
    </row>
    <row r="958" ht="14.25" customHeight="1">
      <c r="A958" s="1">
        <v>66.0</v>
      </c>
      <c r="B958" s="1" t="s">
        <v>245</v>
      </c>
      <c r="C958" s="1">
        <v>8.0</v>
      </c>
      <c r="D958" s="1" t="s">
        <v>6</v>
      </c>
      <c r="E958" s="1"/>
    </row>
    <row r="959" ht="14.25" customHeight="1">
      <c r="A959" s="1">
        <v>100.0</v>
      </c>
      <c r="B959" s="1" t="s">
        <v>245</v>
      </c>
      <c r="C959" s="1">
        <v>10.0</v>
      </c>
      <c r="D959" s="1" t="s">
        <v>9</v>
      </c>
      <c r="E959" s="1" t="str">
        <f>IFERROR(__xludf.DUMMYFUNCTION("GOOGLETRANSLATE(D959,""PT"",""EN"")"),"10")</f>
        <v>10</v>
      </c>
    </row>
    <row r="960" ht="14.25" customHeight="1">
      <c r="A960" s="1">
        <v>100.0</v>
      </c>
      <c r="B960" s="1" t="s">
        <v>245</v>
      </c>
      <c r="C960" s="1">
        <v>10.0</v>
      </c>
      <c r="D960" s="1" t="s">
        <v>85</v>
      </c>
      <c r="E960" s="1" t="str">
        <f>IFERROR(__xludf.DUMMYFUNCTION("GOOGLETRANSLATE(D960,""PT"",""EN"")"),"Service")</f>
        <v>Service</v>
      </c>
    </row>
    <row r="961" ht="14.25" customHeight="1">
      <c r="A961" s="1">
        <v>100.0</v>
      </c>
      <c r="B961" s="1" t="s">
        <v>245</v>
      </c>
      <c r="C961" s="1">
        <v>10.0</v>
      </c>
      <c r="D961" s="2" t="s">
        <v>449</v>
      </c>
      <c r="E961" s="1" t="str">
        <f>IFERROR(__xludf.DUMMYFUNCTION("GOOGLETRANSLATE(D961,""PT"",""EN"")"),"Great banking institution. It surprised my expectations!")</f>
        <v>Great banking institution. It surprised my expectations!</v>
      </c>
    </row>
    <row r="962" ht="14.25" customHeight="1">
      <c r="A962" s="1">
        <v>100.0</v>
      </c>
      <c r="B962" s="1" t="s">
        <v>245</v>
      </c>
      <c r="C962" s="1">
        <v>10.0</v>
      </c>
      <c r="D962" s="1" t="s">
        <v>6</v>
      </c>
      <c r="E962" s="1"/>
    </row>
    <row r="963" ht="14.25" customHeight="1">
      <c r="A963" s="1">
        <v>100.0</v>
      </c>
      <c r="B963" s="1" t="s">
        <v>245</v>
      </c>
      <c r="C963" s="1">
        <v>10.0</v>
      </c>
      <c r="D963" s="2" t="s">
        <v>450</v>
      </c>
      <c r="E963" s="1" t="str">
        <f>IFERROR(__xludf.DUMMYFUNCTION("GOOGLETRANSLATE(D963,""PT"",""EN"")"),"Excellent service 👌. Everything's good!")</f>
        <v>Excellent service 👌. Everything's good!</v>
      </c>
    </row>
    <row r="964" ht="14.25" customHeight="1">
      <c r="A964" s="1">
        <v>100.0</v>
      </c>
      <c r="B964" s="1" t="s">
        <v>245</v>
      </c>
      <c r="C964" s="1">
        <v>10.0</v>
      </c>
      <c r="D964" s="1" t="s">
        <v>6</v>
      </c>
      <c r="E964" s="1"/>
    </row>
    <row r="965" ht="14.25" customHeight="1">
      <c r="A965" s="1">
        <v>100.0</v>
      </c>
      <c r="B965" s="1" t="s">
        <v>245</v>
      </c>
      <c r="C965" s="1">
        <v>10.0</v>
      </c>
      <c r="D965" s="1" t="s">
        <v>6</v>
      </c>
      <c r="E965" s="1"/>
    </row>
    <row r="966" ht="14.25" customHeight="1">
      <c r="A966" s="1">
        <v>100.0</v>
      </c>
      <c r="B966" s="1" t="s">
        <v>245</v>
      </c>
      <c r="C966" s="1">
        <v>10.0</v>
      </c>
      <c r="D966" s="2" t="s">
        <v>451</v>
      </c>
      <c r="E966" s="1" t="str">
        <f>IFERROR(__xludf.DUMMYFUNCTION("GOOGLETRANSLATE(D966,""PT"",""EN"")"),"Service is cordiality.")</f>
        <v>Service is cordiality.</v>
      </c>
    </row>
    <row r="967" ht="14.25" customHeight="1">
      <c r="A967" s="1">
        <v>100.0</v>
      </c>
      <c r="B967" s="1" t="s">
        <v>245</v>
      </c>
      <c r="C967" s="1">
        <v>10.0</v>
      </c>
      <c r="D967" s="2" t="s">
        <v>452</v>
      </c>
      <c r="E967" s="1" t="str">
        <f>IFERROR(__xludf.DUMMYFUNCTION("GOOGLETRANSLATE(D967,""PT"",""EN"")"),"Commitment to the cooperative, egalitarian treatment with the cooperative independent of the size is the movement.")</f>
        <v>Commitment to the cooperative, egalitarian treatment with the cooperative independent of the size is the movement.</v>
      </c>
    </row>
    <row r="968" ht="14.25" customHeight="1">
      <c r="A968" s="1">
        <v>100.0</v>
      </c>
      <c r="B968" s="1" t="s">
        <v>245</v>
      </c>
      <c r="C968" s="1">
        <v>10.0</v>
      </c>
      <c r="D968" s="1" t="s">
        <v>6</v>
      </c>
      <c r="E968" s="1"/>
    </row>
    <row r="969" ht="14.25" customHeight="1">
      <c r="A969" s="1">
        <v>100.0</v>
      </c>
      <c r="B969" s="1" t="s">
        <v>245</v>
      </c>
      <c r="C969" s="1">
        <v>10.0</v>
      </c>
      <c r="D969" s="1" t="s">
        <v>6</v>
      </c>
      <c r="E969" s="1"/>
    </row>
    <row r="970" ht="14.25" customHeight="1">
      <c r="A970" s="1">
        <v>100.0</v>
      </c>
      <c r="B970" s="1" t="s">
        <v>245</v>
      </c>
      <c r="C970" s="1">
        <v>10.0</v>
      </c>
      <c r="D970" s="1" t="s">
        <v>6</v>
      </c>
      <c r="E970" s="1"/>
    </row>
    <row r="971" ht="14.25" customHeight="1">
      <c r="A971" s="1">
        <v>100.0</v>
      </c>
      <c r="B971" s="1" t="s">
        <v>245</v>
      </c>
      <c r="C971" s="1">
        <v>9.0</v>
      </c>
      <c r="D971" s="1" t="s">
        <v>6</v>
      </c>
      <c r="E971" s="1"/>
    </row>
    <row r="972" ht="14.25" customHeight="1">
      <c r="A972" s="1">
        <v>100.0</v>
      </c>
      <c r="B972" s="1" t="s">
        <v>245</v>
      </c>
      <c r="C972" s="1">
        <v>10.0</v>
      </c>
      <c r="D972" s="1" t="s">
        <v>453</v>
      </c>
      <c r="E972" s="1" t="str">
        <f>IFERROR(__xludf.DUMMYFUNCTION("GOOGLETRANSLATE(D972,""PT"",""EN"")"),"Excellent financial institution")</f>
        <v>Excellent financial institution</v>
      </c>
    </row>
    <row r="973" ht="14.25" customHeight="1">
      <c r="A973" s="1">
        <v>100.0</v>
      </c>
      <c r="B973" s="1" t="s">
        <v>245</v>
      </c>
      <c r="C973" s="1">
        <v>10.0</v>
      </c>
      <c r="D973" s="2" t="s">
        <v>454</v>
      </c>
      <c r="E973" s="1" t="str">
        <f>IFERROR(__xludf.DUMMYFUNCTION("GOOGLETRANSLATE(D973,""PT"",""EN"")"),"Sicoob is confidence Banco de Cooperate Bank of Family Farming")</f>
        <v>Sicoob is confidence Banco de Cooperate Bank of Family Farming</v>
      </c>
    </row>
    <row r="974" ht="14.25" customHeight="1">
      <c r="A974" s="1">
        <v>100.0</v>
      </c>
      <c r="B974" s="1" t="s">
        <v>245</v>
      </c>
      <c r="C974" s="1">
        <v>10.0</v>
      </c>
      <c r="D974" s="1" t="s">
        <v>6</v>
      </c>
      <c r="E974" s="1"/>
    </row>
    <row r="975" ht="14.25" customHeight="1">
      <c r="A975" s="1">
        <v>100.0</v>
      </c>
      <c r="B975" s="1" t="s">
        <v>245</v>
      </c>
      <c r="C975" s="1">
        <v>10.0</v>
      </c>
      <c r="D975" s="1" t="s">
        <v>62</v>
      </c>
      <c r="E975" s="1" t="str">
        <f>IFERROR(__xludf.DUMMYFUNCTION("GOOGLETRANSLATE(D975,""PT"",""EN"")"),"Good service")</f>
        <v>Good service</v>
      </c>
    </row>
    <row r="976" ht="14.25" customHeight="1">
      <c r="A976" s="1">
        <v>100.0</v>
      </c>
      <c r="B976" s="1" t="s">
        <v>245</v>
      </c>
      <c r="C976" s="1">
        <v>10.0</v>
      </c>
      <c r="D976" s="1" t="s">
        <v>6</v>
      </c>
      <c r="E976" s="1"/>
    </row>
    <row r="977" ht="14.25" customHeight="1">
      <c r="A977" s="1">
        <v>100.0</v>
      </c>
      <c r="B977" s="1" t="s">
        <v>245</v>
      </c>
      <c r="C977" s="1">
        <v>10.0</v>
      </c>
      <c r="D977" s="1" t="s">
        <v>6</v>
      </c>
      <c r="E977" s="1"/>
    </row>
    <row r="978" ht="14.25" customHeight="1">
      <c r="A978" s="1">
        <v>100.0</v>
      </c>
      <c r="B978" s="1" t="s">
        <v>245</v>
      </c>
      <c r="C978" s="1">
        <v>10.0</v>
      </c>
      <c r="D978" s="1" t="s">
        <v>6</v>
      </c>
      <c r="E978" s="1"/>
    </row>
    <row r="979" ht="14.25" customHeight="1">
      <c r="A979" s="1">
        <v>100.0</v>
      </c>
      <c r="B979" s="1" t="s">
        <v>245</v>
      </c>
      <c r="C979" s="1">
        <v>10.0</v>
      </c>
      <c r="D979" s="1" t="s">
        <v>6</v>
      </c>
      <c r="E979" s="1"/>
    </row>
    <row r="980" ht="14.25" customHeight="1">
      <c r="A980" s="1">
        <v>100.0</v>
      </c>
      <c r="B980" s="1" t="s">
        <v>245</v>
      </c>
      <c r="C980" s="1">
        <v>9.0</v>
      </c>
      <c r="D980" s="1" t="s">
        <v>6</v>
      </c>
      <c r="E980" s="1"/>
    </row>
    <row r="981" ht="14.25" customHeight="1">
      <c r="A981" s="1">
        <v>100.0</v>
      </c>
      <c r="B981" s="1" t="s">
        <v>245</v>
      </c>
      <c r="C981" s="1">
        <v>9.0</v>
      </c>
      <c r="D981" s="1" t="s">
        <v>6</v>
      </c>
      <c r="E981" s="1"/>
    </row>
    <row r="982" ht="14.25" customHeight="1">
      <c r="A982" s="1">
        <v>100.0</v>
      </c>
      <c r="B982" s="1" t="s">
        <v>245</v>
      </c>
      <c r="C982" s="1">
        <v>10.0</v>
      </c>
      <c r="D982" s="1" t="s">
        <v>6</v>
      </c>
      <c r="E982" s="1"/>
    </row>
    <row r="983" ht="14.25" customHeight="1">
      <c r="A983" s="1">
        <v>100.0</v>
      </c>
      <c r="B983" s="1" t="s">
        <v>245</v>
      </c>
      <c r="C983" s="1">
        <v>10.0</v>
      </c>
      <c r="D983" s="2" t="s">
        <v>455</v>
      </c>
      <c r="E983" s="1" t="str">
        <f>IFERROR(__xludf.DUMMYFUNCTION("GOOGLETRANSLATE(D983,""PT"",""EN"")"),"It is a reliable bank, where we are not simple account holders but owners of the bank, we have a return of profits in our capital account, all we have to solve, we have who to talk to is solving.")</f>
        <v>It is a reliable bank, where we are not simple account holders but owners of the bank, we have a return of profits in our capital account, all we have to solve, we have who to talk to is solving.</v>
      </c>
    </row>
    <row r="984" ht="14.25" customHeight="1">
      <c r="A984" s="1">
        <v>100.0</v>
      </c>
      <c r="B984" s="1" t="s">
        <v>245</v>
      </c>
      <c r="C984" s="1">
        <v>10.0</v>
      </c>
      <c r="D984" s="1" t="s">
        <v>6</v>
      </c>
      <c r="E984" s="1"/>
    </row>
    <row r="985" ht="14.25" customHeight="1">
      <c r="A985" s="1">
        <v>100.0</v>
      </c>
      <c r="B985" s="1" t="s">
        <v>245</v>
      </c>
      <c r="C985" s="1">
        <v>10.0</v>
      </c>
      <c r="D985" s="1" t="s">
        <v>6</v>
      </c>
      <c r="E985" s="1"/>
    </row>
    <row r="986" ht="14.25" customHeight="1">
      <c r="A986" s="1">
        <v>100.0</v>
      </c>
      <c r="B986" s="1" t="s">
        <v>245</v>
      </c>
      <c r="C986" s="1">
        <v>10.0</v>
      </c>
      <c r="D986" s="1" t="s">
        <v>6</v>
      </c>
      <c r="E986" s="1"/>
    </row>
    <row r="987" ht="14.25" customHeight="1">
      <c r="A987" s="1">
        <v>100.0</v>
      </c>
      <c r="B987" s="1" t="s">
        <v>245</v>
      </c>
      <c r="C987" s="1">
        <v>10.0</v>
      </c>
      <c r="D987" s="1" t="s">
        <v>6</v>
      </c>
      <c r="E987" s="1"/>
    </row>
    <row r="988" ht="14.25" customHeight="1">
      <c r="A988" s="1">
        <v>100.0</v>
      </c>
      <c r="B988" s="1" t="s">
        <v>245</v>
      </c>
      <c r="C988" s="1">
        <v>10.0</v>
      </c>
      <c r="D988" s="1" t="s">
        <v>456</v>
      </c>
      <c r="E988" s="1" t="str">
        <f>IFERROR(__xludf.DUMMYFUNCTION("GOOGLETRANSLATE(D988,""PT"",""EN"")"),"service")</f>
        <v>service</v>
      </c>
    </row>
    <row r="989" ht="14.25" customHeight="1">
      <c r="A989" s="1">
        <v>100.0</v>
      </c>
      <c r="B989" s="1" t="s">
        <v>245</v>
      </c>
      <c r="C989" s="1">
        <v>10.0</v>
      </c>
      <c r="D989" s="1" t="s">
        <v>6</v>
      </c>
      <c r="E989" s="1"/>
    </row>
    <row r="990" ht="14.25" customHeight="1">
      <c r="A990" s="1">
        <v>33.0</v>
      </c>
      <c r="B990" s="1" t="s">
        <v>245</v>
      </c>
      <c r="C990" s="1">
        <v>1.0</v>
      </c>
      <c r="D990" s="1" t="s">
        <v>6</v>
      </c>
      <c r="E990" s="1"/>
    </row>
    <row r="991" ht="14.25" customHeight="1">
      <c r="A991" s="1">
        <v>100.0</v>
      </c>
      <c r="B991" s="1" t="s">
        <v>245</v>
      </c>
      <c r="C991" s="1">
        <v>9.0</v>
      </c>
      <c r="D991" s="2" t="s">
        <v>457</v>
      </c>
      <c r="E991" s="1" t="str">
        <f>IFERROR(__xludf.DUMMYFUNCTION("GOOGLETRANSLATE(D991,""PT"",""EN"")"),"cooperativism")</f>
        <v>cooperativism</v>
      </c>
    </row>
    <row r="992" ht="14.25" customHeight="1">
      <c r="A992" s="1">
        <v>100.0</v>
      </c>
      <c r="B992" s="1" t="s">
        <v>245</v>
      </c>
      <c r="C992" s="1">
        <v>10.0</v>
      </c>
      <c r="D992" s="2" t="s">
        <v>458</v>
      </c>
      <c r="E992" s="1" t="str">
        <f>IFERROR(__xludf.DUMMYFUNCTION("GOOGLETRANSLATE(D992,""PT"",""EN"")"),"Simplicity is a family environment in business, good prices is conditions!")</f>
        <v>Simplicity is a family environment in business, good prices is conditions!</v>
      </c>
    </row>
    <row r="993" ht="14.25" customHeight="1">
      <c r="A993" s="1">
        <v>100.0</v>
      </c>
      <c r="B993" s="1" t="s">
        <v>245</v>
      </c>
      <c r="C993" s="1">
        <v>10.0</v>
      </c>
      <c r="D993" s="2" t="s">
        <v>459</v>
      </c>
      <c r="E993" s="1" t="str">
        <f>IFERROR(__xludf.DUMMYFUNCTION("GOOGLETRANSLATE(D993,""PT"",""EN"")"),"Treatment without much bureaucracy is the treatment of customers, the differences in prices charged. The conditions are proposed are always accommodated for the customer to perform their business. It is being a partner of the cooperative has a good return"&amp;" in your negotiations.")</f>
        <v>Treatment without much bureaucracy is the treatment of customers, the differences in prices charged. The conditions are proposed are always accommodated for the customer to perform their business. It is being a partner of the cooperative has a good return in your negotiations.</v>
      </c>
    </row>
    <row r="994" ht="14.25" customHeight="1">
      <c r="A994" s="1">
        <v>100.0</v>
      </c>
      <c r="B994" s="1" t="s">
        <v>245</v>
      </c>
      <c r="C994" s="1">
        <v>10.0</v>
      </c>
      <c r="D994" s="1" t="s">
        <v>6</v>
      </c>
      <c r="E994" s="1"/>
    </row>
    <row r="995" ht="14.25" customHeight="1">
      <c r="A995" s="1">
        <v>100.0</v>
      </c>
      <c r="B995" s="1" t="s">
        <v>245</v>
      </c>
      <c r="C995" s="1">
        <v>10.0</v>
      </c>
      <c r="D995" s="2" t="s">
        <v>460</v>
      </c>
      <c r="E995" s="1" t="str">
        <f>IFERROR(__xludf.DUMMYFUNCTION("GOOGLETRANSLATE(D995,""PT"",""EN"")"),"I have been working here for 29 years, I know the advantages")</f>
        <v>I have been working here for 29 years, I know the advantages</v>
      </c>
    </row>
    <row r="996" ht="14.25" customHeight="1">
      <c r="A996" s="1">
        <v>100.0</v>
      </c>
      <c r="B996" s="1" t="s">
        <v>245</v>
      </c>
      <c r="C996" s="1">
        <v>9.0</v>
      </c>
      <c r="D996" s="1" t="s">
        <v>6</v>
      </c>
      <c r="E996" s="1"/>
    </row>
    <row r="997" ht="14.25" customHeight="1">
      <c r="A997" s="1">
        <v>100.0</v>
      </c>
      <c r="B997" s="1" t="s">
        <v>245</v>
      </c>
      <c r="C997" s="1">
        <v>10.0</v>
      </c>
      <c r="D997" s="2" t="s">
        <v>461</v>
      </c>
      <c r="E997" s="1" t="str">
        <f>IFERROR(__xludf.DUMMYFUNCTION("GOOGLETRANSLATE(D997,""PT"",""EN"")"),"Great service is service satisfaction!")</f>
        <v>Great service is service satisfaction!</v>
      </c>
    </row>
    <row r="998" ht="14.25" customHeight="1">
      <c r="A998" s="1">
        <v>100.0</v>
      </c>
      <c r="B998" s="1" t="s">
        <v>245</v>
      </c>
      <c r="C998" s="1">
        <v>9.0</v>
      </c>
      <c r="D998" s="1" t="s">
        <v>6</v>
      </c>
      <c r="E998" s="1"/>
    </row>
    <row r="999" ht="14.25" customHeight="1">
      <c r="A999" s="1">
        <v>100.0</v>
      </c>
      <c r="B999" s="1" t="s">
        <v>245</v>
      </c>
      <c r="C999" s="1">
        <v>10.0</v>
      </c>
      <c r="D999" s="1" t="s">
        <v>6</v>
      </c>
      <c r="E999" s="1"/>
    </row>
    <row r="1000" ht="14.25" customHeight="1">
      <c r="A1000" s="1">
        <v>100.0</v>
      </c>
      <c r="B1000" s="1" t="s">
        <v>245</v>
      </c>
      <c r="C1000" s="1">
        <v>10.0</v>
      </c>
      <c r="D1000" s="2" t="s">
        <v>462</v>
      </c>
      <c r="E1000" s="1" t="str">
        <f>IFERROR(__xludf.DUMMYFUNCTION("GOOGLETRANSLATE(D1000,""PT"",""EN"")"),"Ease, for transactions is credit line")</f>
        <v>Ease, for transactions is credit line</v>
      </c>
    </row>
    <row r="1001" ht="14.25" customHeight="1">
      <c r="A1001" s="1">
        <v>100.0</v>
      </c>
      <c r="B1001" s="1" t="s">
        <v>245</v>
      </c>
      <c r="C1001" s="1">
        <v>10.0</v>
      </c>
      <c r="D1001" s="1" t="s">
        <v>9</v>
      </c>
      <c r="E1001" s="1" t="str">
        <f>IFERROR(__xludf.DUMMYFUNCTION("GOOGLETRANSLATE(D1001,""PT"",""EN"")"),"10")</f>
        <v>10</v>
      </c>
    </row>
    <row r="1002" ht="14.25" customHeight="1">
      <c r="A1002" s="1">
        <v>100.0</v>
      </c>
      <c r="B1002" s="1" t="s">
        <v>245</v>
      </c>
      <c r="C1002" s="1">
        <v>10.0</v>
      </c>
      <c r="D1002" s="2" t="s">
        <v>463</v>
      </c>
      <c r="E1002" s="1" t="str">
        <f>IFERROR(__xludf.DUMMYFUNCTION("GOOGLETRANSLATE(D1002,""PT"",""EN"")"),"A great institution great service with special credit lines")</f>
        <v>A great institution great service with special credit lines</v>
      </c>
    </row>
    <row r="1003" ht="14.25" customHeight="1">
      <c r="A1003" s="1">
        <v>33.0</v>
      </c>
      <c r="B1003" s="1" t="s">
        <v>245</v>
      </c>
      <c r="C1003" s="1">
        <v>1.0</v>
      </c>
      <c r="D1003" s="1" t="s">
        <v>6</v>
      </c>
      <c r="E1003" s="1"/>
    </row>
    <row r="1004" ht="14.25" customHeight="1">
      <c r="A1004" s="1">
        <v>100.0</v>
      </c>
      <c r="B1004" s="1" t="s">
        <v>245</v>
      </c>
      <c r="C1004" s="1">
        <v>10.0</v>
      </c>
      <c r="D1004" s="1" t="s">
        <v>42</v>
      </c>
      <c r="E1004" s="1" t="str">
        <f>IFERROR(__xludf.DUMMYFUNCTION("GOOGLETRANSLATE(D1004,""PT"",""EN"")"),"good service")</f>
        <v>good service</v>
      </c>
    </row>
    <row r="1005" ht="14.25" customHeight="1">
      <c r="A1005" s="1">
        <v>66.0</v>
      </c>
      <c r="B1005" s="1" t="s">
        <v>245</v>
      </c>
      <c r="C1005" s="1">
        <v>8.0</v>
      </c>
      <c r="D1005" s="1" t="s">
        <v>6</v>
      </c>
      <c r="E1005" s="1"/>
    </row>
    <row r="1006" ht="14.25" customHeight="1">
      <c r="A1006" s="1">
        <v>100.0</v>
      </c>
      <c r="B1006" s="1" t="s">
        <v>245</v>
      </c>
      <c r="C1006" s="1">
        <v>10.0</v>
      </c>
      <c r="D1006" s="1" t="s">
        <v>6</v>
      </c>
      <c r="E1006" s="1"/>
    </row>
    <row r="1007" ht="14.25" customHeight="1">
      <c r="A1007" s="1">
        <v>100.0</v>
      </c>
      <c r="B1007" s="1" t="s">
        <v>245</v>
      </c>
      <c r="C1007" s="1">
        <v>10.0</v>
      </c>
      <c r="D1007" s="1" t="s">
        <v>208</v>
      </c>
      <c r="E1007" s="1" t="str">
        <f>IFERROR(__xludf.DUMMYFUNCTION("GOOGLETRANSLATE(D1007,""PT"",""EN"")"),"excellent")</f>
        <v>excellent</v>
      </c>
    </row>
    <row r="1008" ht="14.25" customHeight="1">
      <c r="A1008" s="1">
        <v>100.0</v>
      </c>
      <c r="B1008" s="1" t="s">
        <v>245</v>
      </c>
      <c r="C1008" s="1">
        <v>10.0</v>
      </c>
      <c r="D1008" s="1" t="s">
        <v>6</v>
      </c>
      <c r="E1008" s="1"/>
    </row>
    <row r="1009" ht="14.25" customHeight="1">
      <c r="A1009" s="1">
        <v>33.0</v>
      </c>
      <c r="B1009" s="1" t="s">
        <v>245</v>
      </c>
      <c r="C1009" s="1">
        <v>0.0</v>
      </c>
      <c r="D1009" s="2" t="s">
        <v>464</v>
      </c>
      <c r="E1009" s="1" t="str">
        <f>IFERROR(__xludf.DUMMYFUNCTION("GOOGLETRANSLATE(D1009,""PT"",""EN"")"),"I see no transparency in this cooperative.")</f>
        <v>I see no transparency in this cooperative.</v>
      </c>
    </row>
    <row r="1010" ht="14.25" customHeight="1">
      <c r="A1010" s="1">
        <v>100.0</v>
      </c>
      <c r="B1010" s="1" t="s">
        <v>245</v>
      </c>
      <c r="C1010" s="1">
        <v>10.0</v>
      </c>
      <c r="D1010" s="2" t="s">
        <v>208</v>
      </c>
      <c r="E1010" s="1" t="str">
        <f>IFERROR(__xludf.DUMMYFUNCTION("GOOGLETRANSLATE(D1010,""PT"",""EN"")"),"excellent")</f>
        <v>excellent</v>
      </c>
    </row>
    <row r="1011" ht="14.25" customHeight="1">
      <c r="A1011" s="1">
        <v>66.0</v>
      </c>
      <c r="B1011" s="1" t="s">
        <v>245</v>
      </c>
      <c r="C1011" s="1">
        <v>7.0</v>
      </c>
      <c r="D1011" s="2" t="s">
        <v>465</v>
      </c>
      <c r="E1011" s="1" t="str">
        <f>IFERROR(__xludf.DUMMYFUNCTION("GOOGLETRANSLATE(D1011,""PT"",""EN"")"),"I haven't had the opportunity to enjoy almost anything that the banking system has to offer")</f>
        <v>I haven't had the opportunity to enjoy almost anything that the banking system has to offer</v>
      </c>
    </row>
    <row r="1012" ht="14.25" customHeight="1">
      <c r="A1012" s="1">
        <v>100.0</v>
      </c>
      <c r="B1012" s="1" t="s">
        <v>245</v>
      </c>
      <c r="C1012" s="1">
        <v>10.0</v>
      </c>
      <c r="D1012" s="1" t="s">
        <v>9</v>
      </c>
      <c r="E1012" s="1" t="str">
        <f>IFERROR(__xludf.DUMMYFUNCTION("GOOGLETRANSLATE(D1012,""PT"",""EN"")"),"10")</f>
        <v>10</v>
      </c>
    </row>
    <row r="1013" ht="14.25" customHeight="1">
      <c r="A1013" s="1">
        <v>100.0</v>
      </c>
      <c r="B1013" s="1" t="s">
        <v>245</v>
      </c>
      <c r="C1013" s="1">
        <v>10.0</v>
      </c>
      <c r="D1013" s="1" t="s">
        <v>6</v>
      </c>
      <c r="E1013" s="1"/>
    </row>
    <row r="1014" ht="14.25" customHeight="1">
      <c r="A1014" s="1">
        <v>66.0</v>
      </c>
      <c r="B1014" s="1" t="s">
        <v>245</v>
      </c>
      <c r="C1014" s="1">
        <v>8.0</v>
      </c>
      <c r="D1014" s="1" t="s">
        <v>6</v>
      </c>
      <c r="E1014" s="1"/>
    </row>
    <row r="1015" ht="14.25" customHeight="1">
      <c r="A1015" s="1">
        <v>100.0</v>
      </c>
      <c r="B1015" s="1" t="s">
        <v>245</v>
      </c>
      <c r="C1015" s="1">
        <v>9.0</v>
      </c>
      <c r="D1015" s="2" t="s">
        <v>466</v>
      </c>
      <c r="E1015" s="1" t="str">
        <f>IFERROR(__xludf.DUMMYFUNCTION("GOOGLETRANSLATE(D1015,""PT"",""EN"")"),"Quality transparency agility in services provided")</f>
        <v>Quality transparency agility in services provided</v>
      </c>
    </row>
    <row r="1016" ht="14.25" customHeight="1">
      <c r="A1016" s="1">
        <v>100.0</v>
      </c>
      <c r="B1016" s="1" t="s">
        <v>245</v>
      </c>
      <c r="C1016" s="1">
        <v>9.0</v>
      </c>
      <c r="D1016" s="1" t="s">
        <v>467</v>
      </c>
      <c r="E1016" s="1" t="str">
        <f>IFERROR(__xludf.DUMMYFUNCTION("GOOGLETRANSLATE(D1016,""PT"",""EN"")"),"Good service, easier to solve problems, sometimes interest more affordable.")</f>
        <v>Good service, easier to solve problems, sometimes interest more affordable.</v>
      </c>
    </row>
    <row r="1017" ht="14.25" customHeight="1">
      <c r="A1017" s="1">
        <v>100.0</v>
      </c>
      <c r="B1017" s="1" t="s">
        <v>245</v>
      </c>
      <c r="C1017" s="1">
        <v>10.0</v>
      </c>
      <c r="D1017" s="1" t="s">
        <v>62</v>
      </c>
      <c r="E1017" s="1" t="str">
        <f>IFERROR(__xludf.DUMMYFUNCTION("GOOGLETRANSLATE(D1017,""PT"",""EN"")"),"Good service")</f>
        <v>Good service</v>
      </c>
    </row>
    <row r="1018" ht="14.25" customHeight="1">
      <c r="A1018" s="1">
        <v>100.0</v>
      </c>
      <c r="B1018" s="1" t="s">
        <v>245</v>
      </c>
      <c r="C1018" s="1">
        <v>10.0</v>
      </c>
      <c r="D1018" s="1" t="s">
        <v>6</v>
      </c>
      <c r="E1018" s="1"/>
    </row>
    <row r="1019" ht="14.25" customHeight="1">
      <c r="A1019" s="1">
        <v>100.0</v>
      </c>
      <c r="B1019" s="1" t="s">
        <v>245</v>
      </c>
      <c r="C1019" s="1">
        <v>10.0</v>
      </c>
      <c r="D1019" s="2" t="s">
        <v>468</v>
      </c>
      <c r="E1019" s="1" t="str">
        <f>IFERROR(__xludf.DUMMYFUNCTION("GOOGLETRANSLATE(D1019,""PT"",""EN"")"),"Employees are the employees are very professional")</f>
        <v>Employees are the employees are very professional</v>
      </c>
    </row>
    <row r="1020" ht="14.25" customHeight="1">
      <c r="A1020" s="1">
        <v>100.0</v>
      </c>
      <c r="B1020" s="1" t="s">
        <v>245</v>
      </c>
      <c r="C1020" s="1">
        <v>10.0</v>
      </c>
      <c r="D1020" s="2" t="s">
        <v>469</v>
      </c>
      <c r="E1020" s="1" t="str">
        <f>IFERROR(__xludf.DUMMYFUNCTION("GOOGLETRANSLATE(D1020,""PT"",""EN"")"),"Sicoob is a bank that seeks to help the clients")</f>
        <v>Sicoob is a bank that seeks to help the clients</v>
      </c>
    </row>
    <row r="1021" ht="14.25" customHeight="1">
      <c r="A1021" s="1">
        <v>100.0</v>
      </c>
      <c r="B1021" s="1" t="s">
        <v>245</v>
      </c>
      <c r="C1021" s="1">
        <v>10.0</v>
      </c>
      <c r="D1021" s="1" t="s">
        <v>470</v>
      </c>
      <c r="E1021" s="1" t="str">
        <f>IFERROR(__xludf.DUMMYFUNCTION("GOOGLETRANSLATE(D1021,""PT"",""EN"")"),"Because everything I need managers carefully cater to me in everything I need")</f>
        <v>Because everything I need managers carefully cater to me in everything I need</v>
      </c>
    </row>
    <row r="1022" ht="14.25" customHeight="1">
      <c r="A1022" s="1">
        <v>100.0</v>
      </c>
      <c r="B1022" s="1" t="s">
        <v>245</v>
      </c>
      <c r="C1022" s="1">
        <v>10.0</v>
      </c>
      <c r="D1022" s="1" t="s">
        <v>6</v>
      </c>
      <c r="E1022" s="1"/>
    </row>
    <row r="1023" ht="14.25" customHeight="1">
      <c r="A1023" s="1">
        <v>100.0</v>
      </c>
      <c r="B1023" s="1" t="s">
        <v>245</v>
      </c>
      <c r="C1023" s="1">
        <v>9.0</v>
      </c>
      <c r="D1023" s="2" t="s">
        <v>471</v>
      </c>
      <c r="E1023" s="1" t="str">
        <f>IFERROR(__xludf.DUMMYFUNCTION("GOOGLETRANSLATE(D1023,""PT"",""EN"")"),"What motivated me was the benefits of the cooperative, such as the integrality, low or no rate in the checking account, although it was insecure with the latest events, the possibility of losing quotas with deficit management or other problem, had not tho"&amp;"ught about it.")</f>
        <v>What motivated me was the benefits of the cooperative, such as the integrality, low or no rate in the checking account, although it was insecure with the latest events, the possibility of losing quotas with deficit management or other problem, had not thought about it.</v>
      </c>
    </row>
    <row r="1024" ht="14.25" customHeight="1">
      <c r="A1024" s="1">
        <v>100.0</v>
      </c>
      <c r="B1024" s="1" t="s">
        <v>245</v>
      </c>
      <c r="C1024" s="1">
        <v>10.0</v>
      </c>
      <c r="D1024" s="2" t="s">
        <v>472</v>
      </c>
      <c r="E1024" s="1" t="str">
        <f>IFERROR(__xludf.DUMMYFUNCTION("GOOGLETRANSLATE(D1024,""PT"",""EN"")"),"Credit cooperative with very credible, honesty is security")</f>
        <v>Credit cooperative with very credible, honesty is security</v>
      </c>
    </row>
    <row r="1025" ht="14.25" customHeight="1">
      <c r="A1025" s="1">
        <v>100.0</v>
      </c>
      <c r="B1025" s="1" t="s">
        <v>245</v>
      </c>
      <c r="C1025" s="1">
        <v>10.0</v>
      </c>
      <c r="D1025" s="1" t="s">
        <v>6</v>
      </c>
      <c r="E1025" s="1"/>
    </row>
    <row r="1026" ht="14.25" customHeight="1">
      <c r="A1026" s="1">
        <v>33.0</v>
      </c>
      <c r="B1026" s="1" t="s">
        <v>245</v>
      </c>
      <c r="C1026" s="1">
        <v>0.0</v>
      </c>
      <c r="D1026" s="1" t="s">
        <v>473</v>
      </c>
      <c r="E1026" s="1" t="str">
        <f>IFERROR(__xludf.DUMMYFUNCTION("GOOGLETRANSLATE(D1026,""PT"",""EN"")"),"Lack of commitment to the customer")</f>
        <v>Lack of commitment to the customer</v>
      </c>
    </row>
    <row r="1027" ht="14.25" customHeight="1">
      <c r="A1027" s="1">
        <v>100.0</v>
      </c>
      <c r="B1027" s="1" t="s">
        <v>245</v>
      </c>
      <c r="C1027" s="1">
        <v>10.0</v>
      </c>
      <c r="D1027" s="1" t="s">
        <v>6</v>
      </c>
      <c r="E1027" s="1"/>
    </row>
    <row r="1028" ht="14.25" customHeight="1">
      <c r="A1028" s="1">
        <v>100.0</v>
      </c>
      <c r="B1028" s="1" t="s">
        <v>245</v>
      </c>
      <c r="C1028" s="1">
        <v>10.0</v>
      </c>
      <c r="D1028" s="2" t="s">
        <v>474</v>
      </c>
      <c r="E1028" s="1" t="str">
        <f>IFERROR(__xludf.DUMMYFUNCTION("GOOGLETRANSLATE(D1028,""PT"",""EN"")"),"Having Sicoob is priceless.")</f>
        <v>Having Sicoob is priceless.</v>
      </c>
    </row>
    <row r="1029" ht="14.25" customHeight="1">
      <c r="A1029" s="1">
        <v>100.0</v>
      </c>
      <c r="B1029" s="1" t="s">
        <v>245</v>
      </c>
      <c r="C1029" s="1">
        <v>10.0</v>
      </c>
      <c r="D1029" s="1" t="s">
        <v>85</v>
      </c>
      <c r="E1029" s="1" t="str">
        <f>IFERROR(__xludf.DUMMYFUNCTION("GOOGLETRANSLATE(D1029,""PT"",""EN"")"),"Service")</f>
        <v>Service</v>
      </c>
    </row>
    <row r="1030" ht="14.25" customHeight="1">
      <c r="A1030" s="1">
        <v>100.0</v>
      </c>
      <c r="B1030" s="1" t="s">
        <v>245</v>
      </c>
      <c r="C1030" s="1">
        <v>10.0</v>
      </c>
      <c r="D1030" s="1" t="s">
        <v>475</v>
      </c>
      <c r="E1030" s="1" t="str">
        <f>IFERROR(__xludf.DUMMYFUNCTION("GOOGLETRANSLATE(D1030,""PT"",""EN"")"),"I'm satisfied with bank")</f>
        <v>I'm satisfied with bank</v>
      </c>
    </row>
    <row r="1031" ht="14.25" customHeight="1">
      <c r="A1031" s="1">
        <v>100.0</v>
      </c>
      <c r="B1031" s="1" t="s">
        <v>245</v>
      </c>
      <c r="C1031" s="1">
        <v>10.0</v>
      </c>
      <c r="D1031" s="1" t="s">
        <v>6</v>
      </c>
      <c r="E1031" s="1"/>
    </row>
    <row r="1032" ht="14.25" customHeight="1">
      <c r="A1032" s="1">
        <v>100.0</v>
      </c>
      <c r="B1032" s="1" t="s">
        <v>245</v>
      </c>
      <c r="C1032" s="1">
        <v>10.0</v>
      </c>
      <c r="D1032" s="1" t="s">
        <v>6</v>
      </c>
      <c r="E1032" s="1"/>
    </row>
    <row r="1033" ht="14.25" customHeight="1">
      <c r="A1033" s="1">
        <v>33.0</v>
      </c>
      <c r="B1033" s="1" t="s">
        <v>245</v>
      </c>
      <c r="C1033" s="1">
        <v>0.0</v>
      </c>
      <c r="D1033" s="1" t="s">
        <v>6</v>
      </c>
      <c r="E1033" s="1"/>
    </row>
    <row r="1034" ht="14.25" customHeight="1">
      <c r="A1034" s="1">
        <v>33.0</v>
      </c>
      <c r="B1034" s="1" t="s">
        <v>245</v>
      </c>
      <c r="C1034" s="1">
        <v>6.0</v>
      </c>
      <c r="D1034" s="2" t="s">
        <v>476</v>
      </c>
      <c r="E1034" s="1" t="str">
        <f>IFERROR(__xludf.DUMMYFUNCTION("GOOGLETRANSLATE(D1034,""PT"",""EN"")"),"Sometimes I searched people in Sicoob (personally it is by WhatsApp), wanting to acquire a consortium or VR the possibility of a private pension complement is I had no attention ...")</f>
        <v>Sometimes I searched people in Sicoob (personally it is by WhatsApp), wanting to acquire a consortium or VR the possibility of a private pension complement is I had no attention ...</v>
      </c>
    </row>
    <row r="1035" ht="14.25" customHeight="1">
      <c r="A1035" s="1">
        <v>100.0</v>
      </c>
      <c r="B1035" s="1" t="s">
        <v>245</v>
      </c>
      <c r="C1035" s="1">
        <v>10.0</v>
      </c>
      <c r="D1035" s="1" t="s">
        <v>6</v>
      </c>
      <c r="E1035" s="1"/>
    </row>
    <row r="1036" ht="14.25" customHeight="1">
      <c r="A1036" s="1">
        <v>33.0</v>
      </c>
      <c r="B1036" s="1" t="s">
        <v>245</v>
      </c>
      <c r="C1036" s="1">
        <v>0.0</v>
      </c>
      <c r="D1036" s="2" t="s">
        <v>477</v>
      </c>
      <c r="E1036" s="1" t="str">
        <f>IFERROR(__xludf.DUMMYFUNCTION("GOOGLETRANSLATE(D1036,""PT"",""EN"")"),"Does not solve the problem")</f>
        <v>Does not solve the problem</v>
      </c>
    </row>
    <row r="1037" ht="14.25" customHeight="1">
      <c r="A1037" s="1">
        <v>100.0</v>
      </c>
      <c r="B1037" s="1" t="s">
        <v>245</v>
      </c>
      <c r="C1037" s="1">
        <v>10.0</v>
      </c>
      <c r="D1037" s="1" t="s">
        <v>98</v>
      </c>
      <c r="E1037" s="1" t="str">
        <f>IFERROR(__xludf.DUMMYFUNCTION("GOOGLETRANSLATE(D1037,""PT"",""EN"")"),"Excellent service")</f>
        <v>Excellent service</v>
      </c>
    </row>
    <row r="1038" ht="14.25" customHeight="1">
      <c r="A1038" s="1">
        <v>100.0</v>
      </c>
      <c r="B1038" s="1" t="s">
        <v>245</v>
      </c>
      <c r="C1038" s="1">
        <v>10.0</v>
      </c>
      <c r="D1038" s="1" t="s">
        <v>478</v>
      </c>
      <c r="E1038" s="1" t="str">
        <f>IFERROR(__xludf.DUMMYFUNCTION("GOOGLETRANSLATE(D1038,""PT"",""EN"")"),"Differentiated, humanized care, always aims at the best for the cooperative.")</f>
        <v>Differentiated, humanized care, always aims at the best for the cooperative.</v>
      </c>
    </row>
    <row r="1039" ht="14.25" customHeight="1">
      <c r="A1039" s="1">
        <v>100.0</v>
      </c>
      <c r="B1039" s="1" t="s">
        <v>245</v>
      </c>
      <c r="C1039" s="1">
        <v>10.0</v>
      </c>
      <c r="D1039" s="1" t="s">
        <v>6</v>
      </c>
      <c r="E1039" s="1"/>
    </row>
    <row r="1040" ht="14.25" customHeight="1">
      <c r="A1040" s="1">
        <v>100.0</v>
      </c>
      <c r="B1040" s="1" t="s">
        <v>245</v>
      </c>
      <c r="C1040" s="1">
        <v>10.0</v>
      </c>
      <c r="D1040" s="1" t="s">
        <v>479</v>
      </c>
      <c r="E1040" s="1" t="str">
        <f>IFERROR(__xludf.DUMMYFUNCTION("GOOGLETRANSLATE(D1040,""PT"",""EN"")"),"Sicoob makes a difference in people's lives.")</f>
        <v>Sicoob makes a difference in people's lives.</v>
      </c>
    </row>
    <row r="1041" ht="14.25" customHeight="1">
      <c r="A1041" s="1">
        <v>100.0</v>
      </c>
      <c r="B1041" s="1" t="s">
        <v>245</v>
      </c>
      <c r="C1041" s="1">
        <v>10.0</v>
      </c>
      <c r="D1041" s="2" t="s">
        <v>480</v>
      </c>
      <c r="E1041" s="1" t="str">
        <f>IFERROR(__xludf.DUMMYFUNCTION("GOOGLETRANSLATE(D1041,""PT"",""EN"")"),"quality of service is time, are transparent in business is products")</f>
        <v>quality of service is time, are transparent in business is products</v>
      </c>
    </row>
    <row r="1042" ht="14.25" customHeight="1">
      <c r="A1042" s="1">
        <v>66.0</v>
      </c>
      <c r="B1042" s="1" t="s">
        <v>245</v>
      </c>
      <c r="C1042" s="1">
        <v>7.0</v>
      </c>
      <c r="D1042" s="1" t="s">
        <v>6</v>
      </c>
      <c r="E1042" s="1"/>
    </row>
    <row r="1043" ht="14.25" customHeight="1">
      <c r="A1043" s="1">
        <v>66.0</v>
      </c>
      <c r="B1043" s="1" t="s">
        <v>245</v>
      </c>
      <c r="C1043" s="1">
        <v>7.0</v>
      </c>
      <c r="D1043" s="1" t="s">
        <v>6</v>
      </c>
      <c r="E1043" s="1"/>
    </row>
    <row r="1044" ht="14.25" customHeight="1">
      <c r="A1044" s="1">
        <v>100.0</v>
      </c>
      <c r="B1044" s="1" t="s">
        <v>245</v>
      </c>
      <c r="C1044" s="1">
        <v>10.0</v>
      </c>
      <c r="D1044" s="1" t="s">
        <v>6</v>
      </c>
      <c r="E1044" s="1"/>
    </row>
    <row r="1045" ht="14.25" customHeight="1">
      <c r="A1045" s="1">
        <v>100.0</v>
      </c>
      <c r="B1045" s="1" t="s">
        <v>245</v>
      </c>
      <c r="C1045" s="1">
        <v>10.0</v>
      </c>
      <c r="D1045" s="1" t="s">
        <v>6</v>
      </c>
      <c r="E1045" s="1"/>
    </row>
    <row r="1046" ht="14.25" customHeight="1">
      <c r="A1046" s="1">
        <v>66.0</v>
      </c>
      <c r="B1046" s="1" t="s">
        <v>245</v>
      </c>
      <c r="C1046" s="1">
        <v>8.0</v>
      </c>
      <c r="D1046" s="1" t="s">
        <v>481</v>
      </c>
      <c r="E1046" s="1" t="str">
        <f>IFERROR(__xludf.DUMMYFUNCTION("GOOGLETRANSLATE(D1046,""PT"",""EN"")"),"Partnership")</f>
        <v>Partnership</v>
      </c>
    </row>
    <row r="1047" ht="14.25" customHeight="1">
      <c r="A1047" s="1">
        <v>66.0</v>
      </c>
      <c r="B1047" s="1" t="s">
        <v>245</v>
      </c>
      <c r="C1047" s="1">
        <v>7.0</v>
      </c>
      <c r="D1047" s="1" t="s">
        <v>6</v>
      </c>
      <c r="E1047" s="1"/>
    </row>
    <row r="1048" ht="14.25" customHeight="1">
      <c r="A1048" s="1">
        <v>100.0</v>
      </c>
      <c r="B1048" s="1" t="s">
        <v>245</v>
      </c>
      <c r="C1048" s="1">
        <v>10.0</v>
      </c>
      <c r="D1048" s="2" t="s">
        <v>482</v>
      </c>
      <c r="E1048" s="1" t="str">
        <f>IFERROR(__xludf.DUMMYFUNCTION("GOOGLETRANSLATE(D1048,""PT"",""EN"")"),"Good afternoon, I never worked with a bank like that, they are all helpful is there is a note 10.")</f>
        <v>Good afternoon, I never worked with a bank like that, they are all helpful is there is a note 10.</v>
      </c>
    </row>
    <row r="1049" ht="14.25" customHeight="1">
      <c r="A1049" s="1">
        <v>100.0</v>
      </c>
      <c r="B1049" s="1" t="s">
        <v>245</v>
      </c>
      <c r="C1049" s="1">
        <v>10.0</v>
      </c>
      <c r="D1049" s="2" t="s">
        <v>483</v>
      </c>
      <c r="E1049" s="1" t="str">
        <f>IFERROR(__xludf.DUMMYFUNCTION("GOOGLETRANSLATE(D1049,""PT"",""EN"")"),"Easy application of handling unique defect that cannot count on the bank despite being a cooperative I needed I was rescued by Caixa could not")</f>
        <v>Easy application of handling unique defect that cannot count on the bank despite being a cooperative I needed I was rescued by Caixa could not</v>
      </c>
    </row>
    <row r="1050" ht="14.25" customHeight="1">
      <c r="A1050" s="1">
        <v>100.0</v>
      </c>
      <c r="B1050" s="1" t="s">
        <v>245</v>
      </c>
      <c r="C1050" s="1">
        <v>10.0</v>
      </c>
      <c r="D1050" s="1" t="s">
        <v>484</v>
      </c>
      <c r="E1050" s="1" t="str">
        <f>IFERROR(__xludf.DUMMYFUNCTION("GOOGLETRANSLATE(D1050,""PT"",""EN"")"),"Meets the needs of my company")</f>
        <v>Meets the needs of my company</v>
      </c>
    </row>
    <row r="1051" ht="14.25" customHeight="1">
      <c r="A1051" s="1">
        <v>33.0</v>
      </c>
      <c r="B1051" s="1" t="s">
        <v>245</v>
      </c>
      <c r="C1051" s="1">
        <v>4.0</v>
      </c>
      <c r="D1051" s="2" t="s">
        <v>485</v>
      </c>
      <c r="E1051" s="1" t="str">
        <f>IFERROR(__xludf.DUMMYFUNCTION("GOOGLETRANSLATE(D1051,""PT"",""EN"")"),"Many advantages, but in terms of credit, very bad!")</f>
        <v>Many advantages, but in terms of credit, very bad!</v>
      </c>
    </row>
    <row r="1052" ht="14.25" customHeight="1">
      <c r="A1052" s="1">
        <v>100.0</v>
      </c>
      <c r="B1052" s="1" t="s">
        <v>245</v>
      </c>
      <c r="C1052" s="1">
        <v>10.0</v>
      </c>
      <c r="D1052" s="1" t="s">
        <v>6</v>
      </c>
      <c r="E1052" s="1"/>
    </row>
    <row r="1053" ht="14.25" customHeight="1">
      <c r="A1053" s="1">
        <v>100.0</v>
      </c>
      <c r="B1053" s="1" t="s">
        <v>245</v>
      </c>
      <c r="C1053" s="1">
        <v>10.0</v>
      </c>
      <c r="D1053" s="1" t="s">
        <v>486</v>
      </c>
      <c r="E1053" s="1" t="str">
        <f>IFERROR(__xludf.DUMMYFUNCTION("GOOGLETRANSLATE(D1053,""PT"",""EN"")"),"Very good service")</f>
        <v>Very good service</v>
      </c>
    </row>
    <row r="1054" ht="14.25" customHeight="1">
      <c r="A1054" s="1">
        <v>100.0</v>
      </c>
      <c r="B1054" s="1" t="s">
        <v>245</v>
      </c>
      <c r="C1054" s="1">
        <v>10.0</v>
      </c>
      <c r="D1054" s="2" t="s">
        <v>487</v>
      </c>
      <c r="E1054" s="1" t="str">
        <f>IFERROR(__xludf.DUMMYFUNCTION("GOOGLETRANSLATE(D1054,""PT"",""EN"")"),"Cooperative meets all our demands is employees are committed to serving customers well")</f>
        <v>Cooperative meets all our demands is employees are committed to serving customers well</v>
      </c>
    </row>
    <row r="1055" ht="14.25" customHeight="1">
      <c r="A1055" s="1">
        <v>33.0</v>
      </c>
      <c r="B1055" s="1" t="s">
        <v>245</v>
      </c>
      <c r="C1055" s="1">
        <v>0.0</v>
      </c>
      <c r="D1055" s="2" t="s">
        <v>488</v>
      </c>
      <c r="E1055" s="1" t="str">
        <f>IFERROR(__xludf.DUMMYFUNCTION("GOOGLETRANSLATE(D1055,""PT"",""EN"")"),"I made a consortium is I was contemplated through bid, a lot of delay to enter the roles of the purchase of the property I left at the agency 3054 day 30/03/23 for employee Eliziane, I made personal complaint to the agency manager Edson is nothing was res"&amp;"olved, It was only entry almost 1 month later, to this day did not pay the customer with 73 days, because by last employee Eliziane of the agency 3054, digitized documents (contract) missing last Paraá where there is seals of the registry office, causing "&amp;"inconvenience is a lot of delay for Payment of the consortium, I think of closing my legal account of this agency, by disappointment, I complained in the ombudsman by the phone where it answered me by email that was on time, if you are normal for me is no"&amp;"t, I call every day in Brasilia in the area From consortium I follow everything there, where I discovered all this information from my consortium.")</f>
        <v>I made a consortium is I was contemplated through bid, a lot of delay to enter the roles of the purchase of the property I left at the agency 3054 day 30/03/23 for employee Eliziane, I made personal complaint to the agency manager Edson is nothing was resolved, It was only entry almost 1 month later, to this day did not pay the customer with 73 days, because by last employee Eliziane of the agency 3054, digitized documents (contract) missing last Paraá where there is seals of the registry office, causing inconvenience is a lot of delay for Payment of the consortium, I think of closing my legal account of this agency, by disappointment, I complained in the ombudsman by the phone where it answered me by email that was on time, if you are normal for me is not, I call every day in Brasilia in the area From consortium I follow everything there, where I discovered all this information from my consortium.</v>
      </c>
    </row>
    <row r="1056" ht="14.25" customHeight="1">
      <c r="A1056" s="1">
        <v>100.0</v>
      </c>
      <c r="B1056" s="1" t="s">
        <v>245</v>
      </c>
      <c r="C1056" s="1">
        <v>9.0</v>
      </c>
      <c r="D1056" s="2" t="s">
        <v>489</v>
      </c>
      <c r="E1056" s="1" t="str">
        <f>IFERROR(__xludf.DUMMYFUNCTION("GOOGLETRANSLATE(D1056,""PT"",""EN"")"),"We are very well attended, but we can not add the debit cards is credit.")</f>
        <v>We are very well attended, but we can not add the debit cards is credit.</v>
      </c>
    </row>
    <row r="1057" ht="14.25" customHeight="1">
      <c r="A1057" s="1">
        <v>100.0</v>
      </c>
      <c r="B1057" s="1" t="s">
        <v>245</v>
      </c>
      <c r="C1057" s="1">
        <v>10.0</v>
      </c>
      <c r="D1057" s="1" t="s">
        <v>6</v>
      </c>
      <c r="E1057" s="1"/>
    </row>
    <row r="1058" ht="14.25" customHeight="1">
      <c r="A1058" s="1">
        <v>100.0</v>
      </c>
      <c r="B1058" s="1" t="s">
        <v>245</v>
      </c>
      <c r="C1058" s="1">
        <v>10.0</v>
      </c>
      <c r="D1058" s="1" t="s">
        <v>6</v>
      </c>
      <c r="E1058" s="1"/>
    </row>
    <row r="1059" ht="14.25" customHeight="1">
      <c r="A1059" s="1">
        <v>66.0</v>
      </c>
      <c r="B1059" s="1" t="s">
        <v>245</v>
      </c>
      <c r="C1059" s="1">
        <v>8.0</v>
      </c>
      <c r="D1059" s="1" t="s">
        <v>6</v>
      </c>
      <c r="E1059" s="1"/>
    </row>
    <row r="1060" ht="14.25" customHeight="1">
      <c r="A1060" s="1">
        <v>100.0</v>
      </c>
      <c r="B1060" s="1" t="s">
        <v>245</v>
      </c>
      <c r="C1060" s="1">
        <v>10.0</v>
      </c>
      <c r="D1060" s="1" t="s">
        <v>6</v>
      </c>
      <c r="E1060" s="1"/>
    </row>
    <row r="1061" ht="14.25" customHeight="1">
      <c r="A1061" s="1">
        <v>100.0</v>
      </c>
      <c r="B1061" s="1" t="s">
        <v>245</v>
      </c>
      <c r="C1061" s="1">
        <v>10.0</v>
      </c>
      <c r="D1061" s="1" t="s">
        <v>6</v>
      </c>
      <c r="E1061" s="1"/>
    </row>
    <row r="1062" ht="14.25" customHeight="1">
      <c r="A1062" s="1">
        <v>100.0</v>
      </c>
      <c r="B1062" s="1" t="s">
        <v>245</v>
      </c>
      <c r="C1062" s="1">
        <v>10.0</v>
      </c>
      <c r="D1062" s="1" t="s">
        <v>490</v>
      </c>
      <c r="E1062" s="1" t="str">
        <f>IFERROR(__xludf.DUMMYFUNCTION("GOOGLETRANSLATE(D1062,""PT"",""EN"")"),"Everything I needed to this day I was treated with promptness")</f>
        <v>Everything I needed to this day I was treated with promptness</v>
      </c>
    </row>
    <row r="1063" ht="14.25" customHeight="1">
      <c r="A1063" s="1">
        <v>100.0</v>
      </c>
      <c r="B1063" s="1" t="s">
        <v>245</v>
      </c>
      <c r="C1063" s="1">
        <v>10.0</v>
      </c>
      <c r="D1063" s="1" t="s">
        <v>6</v>
      </c>
      <c r="E1063" s="1"/>
    </row>
    <row r="1064" ht="14.25" customHeight="1">
      <c r="A1064" s="1">
        <v>33.0</v>
      </c>
      <c r="B1064" s="1" t="s">
        <v>245</v>
      </c>
      <c r="C1064" s="1">
        <v>5.0</v>
      </c>
      <c r="D1064" s="1" t="s">
        <v>6</v>
      </c>
      <c r="E1064" s="1"/>
    </row>
    <row r="1065" ht="14.25" customHeight="1">
      <c r="A1065" s="1">
        <v>100.0</v>
      </c>
      <c r="B1065" s="1" t="s">
        <v>245</v>
      </c>
      <c r="C1065" s="1">
        <v>10.0</v>
      </c>
      <c r="D1065" s="1" t="s">
        <v>6</v>
      </c>
      <c r="E1065" s="1"/>
    </row>
    <row r="1066" ht="14.25" customHeight="1">
      <c r="A1066" s="1">
        <v>100.0</v>
      </c>
      <c r="B1066" s="1" t="s">
        <v>245</v>
      </c>
      <c r="C1066" s="1">
        <v>10.0</v>
      </c>
      <c r="D1066" s="1" t="s">
        <v>6</v>
      </c>
      <c r="E1066" s="1"/>
    </row>
    <row r="1067" ht="14.25" customHeight="1">
      <c r="A1067" s="1">
        <v>100.0</v>
      </c>
      <c r="B1067" s="1" t="s">
        <v>245</v>
      </c>
      <c r="C1067" s="1">
        <v>10.0</v>
      </c>
      <c r="D1067" s="1" t="s">
        <v>6</v>
      </c>
      <c r="E1067" s="1"/>
    </row>
    <row r="1068" ht="14.25" customHeight="1">
      <c r="A1068" s="1">
        <v>100.0</v>
      </c>
      <c r="B1068" s="1" t="s">
        <v>245</v>
      </c>
      <c r="C1068" s="1">
        <v>9.0</v>
      </c>
      <c r="D1068" s="1" t="s">
        <v>6</v>
      </c>
      <c r="E1068" s="1"/>
    </row>
    <row r="1069" ht="14.25" customHeight="1">
      <c r="A1069" s="1">
        <v>100.0</v>
      </c>
      <c r="B1069" s="1" t="s">
        <v>245</v>
      </c>
      <c r="C1069" s="1">
        <v>10.0</v>
      </c>
      <c r="D1069" s="1" t="s">
        <v>491</v>
      </c>
      <c r="E1069" s="1" t="str">
        <f>IFERROR(__xludf.DUMMYFUNCTION("GOOGLETRANSLATE(D1069,""PT"",""EN"")"),"Excellent service")</f>
        <v>Excellent service</v>
      </c>
    </row>
    <row r="1070" ht="14.25" customHeight="1">
      <c r="A1070" s="1">
        <v>100.0</v>
      </c>
      <c r="B1070" s="1" t="s">
        <v>245</v>
      </c>
      <c r="C1070" s="1">
        <v>10.0</v>
      </c>
      <c r="D1070" s="1" t="s">
        <v>6</v>
      </c>
      <c r="E1070" s="1"/>
    </row>
    <row r="1071" ht="14.25" customHeight="1">
      <c r="A1071" s="1">
        <v>100.0</v>
      </c>
      <c r="B1071" s="1" t="s">
        <v>245</v>
      </c>
      <c r="C1071" s="1">
        <v>10.0</v>
      </c>
      <c r="D1071" s="1" t="s">
        <v>6</v>
      </c>
      <c r="E1071" s="1"/>
    </row>
    <row r="1072" ht="14.25" customHeight="1">
      <c r="A1072" s="1">
        <v>66.0</v>
      </c>
      <c r="B1072" s="1" t="s">
        <v>245</v>
      </c>
      <c r="C1072" s="1">
        <v>8.0</v>
      </c>
      <c r="D1072" s="2" t="s">
        <v>492</v>
      </c>
      <c r="E1072" s="1" t="str">
        <f>IFERROR(__xludf.DUMMYFUNCTION("GOOGLETRANSLATE(D1072,""PT"",""EN"")"),"The great bank but the piranha manager had to be below 0")</f>
        <v>The great bank but the piranha manager had to be below 0</v>
      </c>
    </row>
    <row r="1073" ht="14.25" customHeight="1">
      <c r="A1073" s="1">
        <v>100.0</v>
      </c>
      <c r="B1073" s="1" t="s">
        <v>245</v>
      </c>
      <c r="C1073" s="1">
        <v>9.0</v>
      </c>
      <c r="D1073" s="1" t="s">
        <v>6</v>
      </c>
      <c r="E1073" s="1"/>
    </row>
    <row r="1074" ht="14.25" customHeight="1">
      <c r="A1074" s="1">
        <v>100.0</v>
      </c>
      <c r="B1074" s="1" t="s">
        <v>245</v>
      </c>
      <c r="C1074" s="1">
        <v>10.0</v>
      </c>
      <c r="D1074" s="1" t="s">
        <v>6</v>
      </c>
      <c r="E1074" s="1"/>
    </row>
    <row r="1075" ht="14.25" customHeight="1">
      <c r="A1075" s="1">
        <v>100.0</v>
      </c>
      <c r="B1075" s="1" t="s">
        <v>245</v>
      </c>
      <c r="C1075" s="1">
        <v>9.0</v>
      </c>
      <c r="D1075" s="1" t="s">
        <v>6</v>
      </c>
      <c r="E1075" s="1"/>
    </row>
    <row r="1076" ht="14.25" customHeight="1">
      <c r="A1076" s="1">
        <v>33.0</v>
      </c>
      <c r="B1076" s="1" t="s">
        <v>245</v>
      </c>
      <c r="C1076" s="1">
        <v>0.0</v>
      </c>
      <c r="D1076" s="1" t="s">
        <v>6</v>
      </c>
      <c r="E1076" s="1"/>
    </row>
    <row r="1077" ht="14.25" customHeight="1">
      <c r="A1077" s="1">
        <v>100.0</v>
      </c>
      <c r="B1077" s="1" t="s">
        <v>245</v>
      </c>
      <c r="C1077" s="1">
        <v>10.0</v>
      </c>
      <c r="D1077" s="1" t="s">
        <v>493</v>
      </c>
      <c r="E1077" s="1" t="str">
        <f>IFERROR(__xludf.DUMMYFUNCTION("GOOGLETRANSLATE(D1077,""PT"",""EN"")"),"I am very satisfied! Thanks!")</f>
        <v>I am very satisfied! Thanks!</v>
      </c>
    </row>
    <row r="1078" ht="14.25" customHeight="1">
      <c r="A1078" s="1">
        <v>33.0</v>
      </c>
      <c r="B1078" s="1" t="s">
        <v>245</v>
      </c>
      <c r="C1078" s="1">
        <v>3.0</v>
      </c>
      <c r="D1078" s="2" t="s">
        <v>494</v>
      </c>
      <c r="E1078" s="1" t="str">
        <f>IFERROR(__xludf.DUMMYFUNCTION("GOOGLETRANSLATE(D1078,""PT"",""EN"")"),"All credit operations need guarantors, in addition to interest rates to be more expensive than in paral public banks")</f>
        <v>All credit operations need guarantors, in addition to interest rates to be more expensive than in paral public banks</v>
      </c>
    </row>
    <row r="1079" ht="14.25" customHeight="1">
      <c r="A1079" s="1">
        <v>100.0</v>
      </c>
      <c r="B1079" s="1" t="s">
        <v>245</v>
      </c>
      <c r="C1079" s="1">
        <v>10.0</v>
      </c>
      <c r="D1079" s="1" t="s">
        <v>85</v>
      </c>
      <c r="E1079" s="1" t="str">
        <f>IFERROR(__xludf.DUMMYFUNCTION("GOOGLETRANSLATE(D1079,""PT"",""EN"")"),"Service")</f>
        <v>Service</v>
      </c>
    </row>
    <row r="1080" ht="14.25" customHeight="1">
      <c r="A1080" s="1">
        <v>100.0</v>
      </c>
      <c r="B1080" s="1" t="s">
        <v>245</v>
      </c>
      <c r="C1080" s="1">
        <v>10.0</v>
      </c>
      <c r="D1080" s="1" t="s">
        <v>6</v>
      </c>
      <c r="E1080" s="1"/>
    </row>
    <row r="1081" ht="14.25" customHeight="1">
      <c r="A1081" s="1">
        <v>33.0</v>
      </c>
      <c r="B1081" s="1" t="s">
        <v>245</v>
      </c>
      <c r="C1081" s="1">
        <v>0.0</v>
      </c>
      <c r="D1081" s="1" t="s">
        <v>6</v>
      </c>
      <c r="E1081" s="1"/>
    </row>
    <row r="1082" ht="14.25" customHeight="1">
      <c r="A1082" s="1">
        <v>100.0</v>
      </c>
      <c r="B1082" s="1" t="s">
        <v>245</v>
      </c>
      <c r="C1082" s="1">
        <v>10.0</v>
      </c>
      <c r="D1082" s="1" t="s">
        <v>6</v>
      </c>
      <c r="E1082" s="1"/>
    </row>
    <row r="1083" ht="14.25" customHeight="1">
      <c r="A1083" s="1">
        <v>100.0</v>
      </c>
      <c r="B1083" s="1" t="s">
        <v>245</v>
      </c>
      <c r="C1083" s="1">
        <v>10.0</v>
      </c>
      <c r="D1083" s="1" t="s">
        <v>37</v>
      </c>
      <c r="E1083" s="1" t="str">
        <f>IFERROR(__xludf.DUMMYFUNCTION("GOOGLETRANSLATE(D1083,""PT"",""EN"")"),"Great service")</f>
        <v>Great service</v>
      </c>
    </row>
    <row r="1084" ht="14.25" customHeight="1">
      <c r="A1084" s="1">
        <v>33.0</v>
      </c>
      <c r="B1084" s="1" t="s">
        <v>245</v>
      </c>
      <c r="C1084" s="1">
        <v>6.0</v>
      </c>
      <c r="D1084" s="2" t="s">
        <v>495</v>
      </c>
      <c r="E1084" s="1" t="str">
        <f>IFERROR(__xludf.DUMMYFUNCTION("GOOGLETRANSLATE(D1084,""PT"",""EN"")"),"There are several benefits in associating, however processes are sometimes bureaucratic is slow, it is necessary to perform technological advances to bring agility in resolution of demands, account opening, credit concession, etc.")</f>
        <v>There are several benefits in associating, however processes are sometimes bureaucratic is slow, it is necessary to perform technological advances to bring agility in resolution of demands, account opening, credit concession, etc.</v>
      </c>
    </row>
    <row r="1085" ht="14.25" customHeight="1">
      <c r="A1085" s="1">
        <v>100.0</v>
      </c>
      <c r="B1085" s="1" t="s">
        <v>245</v>
      </c>
      <c r="C1085" s="1">
        <v>10.0</v>
      </c>
      <c r="D1085" s="1" t="s">
        <v>6</v>
      </c>
      <c r="E1085" s="1"/>
    </row>
    <row r="1086" ht="14.25" customHeight="1">
      <c r="A1086" s="1">
        <v>100.0</v>
      </c>
      <c r="B1086" s="1" t="s">
        <v>245</v>
      </c>
      <c r="C1086" s="1">
        <v>9.0</v>
      </c>
      <c r="D1086" s="1" t="s">
        <v>62</v>
      </c>
      <c r="E1086" s="1" t="str">
        <f>IFERROR(__xludf.DUMMYFUNCTION("GOOGLETRANSLATE(D1086,""PT"",""EN"")"),"Good service")</f>
        <v>Good service</v>
      </c>
    </row>
    <row r="1087" ht="14.25" customHeight="1">
      <c r="A1087" s="1">
        <v>100.0</v>
      </c>
      <c r="B1087" s="1" t="s">
        <v>245</v>
      </c>
      <c r="C1087" s="1">
        <v>10.0</v>
      </c>
      <c r="D1087" s="2" t="s">
        <v>496</v>
      </c>
      <c r="E1087" s="1" t="str">
        <f>IFERROR(__xludf.DUMMYFUNCTION("GOOGLETRANSLATE(D1087,""PT"",""EN"")"),"Partner, rates services are others.")</f>
        <v>Partner, rates services are others.</v>
      </c>
    </row>
    <row r="1088" ht="14.25" customHeight="1">
      <c r="A1088" s="1">
        <v>100.0</v>
      </c>
      <c r="B1088" s="1" t="s">
        <v>245</v>
      </c>
      <c r="C1088" s="1">
        <v>10.0</v>
      </c>
      <c r="D1088" s="1" t="s">
        <v>6</v>
      </c>
      <c r="E1088" s="1"/>
    </row>
    <row r="1089" ht="14.25" customHeight="1">
      <c r="A1089" s="1">
        <v>100.0</v>
      </c>
      <c r="B1089" s="1" t="s">
        <v>245</v>
      </c>
      <c r="C1089" s="1">
        <v>10.0</v>
      </c>
      <c r="D1089" s="2" t="s">
        <v>497</v>
      </c>
      <c r="E1089" s="1" t="str">
        <f>IFERROR(__xludf.DUMMYFUNCTION("GOOGLETRANSLATE(D1089,""PT"",""EN"")"),"Ease is good service.")</f>
        <v>Ease is good service.</v>
      </c>
    </row>
    <row r="1090" ht="14.25" customHeight="1">
      <c r="A1090" s="1">
        <v>100.0</v>
      </c>
      <c r="B1090" s="1" t="s">
        <v>245</v>
      </c>
      <c r="C1090" s="1">
        <v>10.0</v>
      </c>
      <c r="D1090" s="1" t="s">
        <v>498</v>
      </c>
      <c r="E1090" s="1" t="str">
        <f>IFERROR(__xludf.DUMMYFUNCTION("GOOGLETRANSLATE(D1090,""PT"",""EN"")"),"I am very well attended by the whole team.")</f>
        <v>I am very well attended by the whole team.</v>
      </c>
    </row>
    <row r="1091" ht="14.25" customHeight="1">
      <c r="A1091" s="1">
        <v>100.0</v>
      </c>
      <c r="B1091" s="1" t="s">
        <v>245</v>
      </c>
      <c r="C1091" s="1">
        <v>10.0</v>
      </c>
      <c r="D1091" s="1" t="s">
        <v>499</v>
      </c>
      <c r="E1091" s="1" t="str">
        <f>IFERROR(__xludf.DUMMYFUNCTION("GOOGLETRANSLATE(D1091,""PT"",""EN"")"),"Bank made to serve all customers without meaning people.")</f>
        <v>Bank made to serve all customers without meaning people.</v>
      </c>
    </row>
    <row r="1092" ht="14.25" customHeight="1">
      <c r="A1092" s="1">
        <v>33.0</v>
      </c>
      <c r="B1092" s="1" t="s">
        <v>245</v>
      </c>
      <c r="C1092" s="1">
        <v>4.0</v>
      </c>
      <c r="D1092" s="1" t="s">
        <v>6</v>
      </c>
      <c r="E1092" s="1"/>
    </row>
    <row r="1093" ht="14.25" customHeight="1">
      <c r="A1093" s="1">
        <v>100.0</v>
      </c>
      <c r="B1093" s="1" t="s">
        <v>245</v>
      </c>
      <c r="C1093" s="1">
        <v>10.0</v>
      </c>
      <c r="D1093" s="1" t="s">
        <v>6</v>
      </c>
      <c r="E1093" s="1"/>
    </row>
    <row r="1094" ht="14.25" customHeight="1">
      <c r="A1094" s="1">
        <v>100.0</v>
      </c>
      <c r="B1094" s="1" t="s">
        <v>245</v>
      </c>
      <c r="C1094" s="1">
        <v>10.0</v>
      </c>
      <c r="D1094" s="1" t="s">
        <v>6</v>
      </c>
      <c r="E1094" s="1"/>
    </row>
    <row r="1095" ht="14.25" customHeight="1">
      <c r="A1095" s="1">
        <v>100.0</v>
      </c>
      <c r="B1095" s="1" t="s">
        <v>245</v>
      </c>
      <c r="C1095" s="1">
        <v>9.0</v>
      </c>
      <c r="D1095" s="1" t="s">
        <v>500</v>
      </c>
      <c r="E1095" s="1" t="str">
        <f>IFERROR(__xludf.DUMMYFUNCTION("GOOGLETRANSLATE(D1095,""PT"",""EN"")"),"I adore")</f>
        <v>I adore</v>
      </c>
    </row>
    <row r="1096" ht="14.25" customHeight="1">
      <c r="A1096" s="1">
        <v>100.0</v>
      </c>
      <c r="B1096" s="1" t="s">
        <v>245</v>
      </c>
      <c r="C1096" s="1">
        <v>10.0</v>
      </c>
      <c r="D1096" s="1" t="s">
        <v>6</v>
      </c>
      <c r="E1096" s="1"/>
    </row>
    <row r="1097" ht="14.25" customHeight="1">
      <c r="A1097" s="1">
        <v>33.0</v>
      </c>
      <c r="B1097" s="1" t="s">
        <v>245</v>
      </c>
      <c r="C1097" s="1">
        <v>5.0</v>
      </c>
      <c r="D1097" s="2" t="s">
        <v>501</v>
      </c>
      <c r="E1097" s="1" t="str">
        <f>IFERROR(__xludf.DUMMYFUNCTION("GOOGLETRANSLATE(D1097,""PT"",""EN"")"),"Very slow the feedback from operations is proposed.")</f>
        <v>Very slow the feedback from operations is proposed.</v>
      </c>
    </row>
    <row r="1098" ht="14.25" customHeight="1">
      <c r="A1098" s="1">
        <v>100.0</v>
      </c>
      <c r="B1098" s="1" t="s">
        <v>245</v>
      </c>
      <c r="C1098" s="1">
        <v>10.0</v>
      </c>
      <c r="D1098" s="2" t="s">
        <v>502</v>
      </c>
      <c r="E1098" s="1" t="str">
        <f>IFERROR(__xludf.DUMMYFUNCTION("GOOGLETRANSLATE(D1098,""PT"",""EN"")"),"I am always very well attended is assisted by the Sicoob Credi Rural team! Only positivity is efficiency! Grateful for everything!")</f>
        <v>I am always very well attended is assisted by the Sicoob Credi Rural team! Only positivity is efficiency! Grateful for everything!</v>
      </c>
    </row>
    <row r="1099" ht="14.25" customHeight="1">
      <c r="A1099" s="1">
        <v>66.0</v>
      </c>
      <c r="B1099" s="1" t="s">
        <v>245</v>
      </c>
      <c r="C1099" s="1">
        <v>8.0</v>
      </c>
      <c r="D1099" s="1" t="s">
        <v>6</v>
      </c>
      <c r="E1099" s="1"/>
    </row>
    <row r="1100" ht="14.25" customHeight="1">
      <c r="A1100" s="1">
        <v>33.0</v>
      </c>
      <c r="B1100" s="1" t="s">
        <v>245</v>
      </c>
      <c r="C1100" s="1">
        <v>0.0</v>
      </c>
      <c r="D1100" s="1" t="s">
        <v>6</v>
      </c>
      <c r="E1100" s="1"/>
    </row>
    <row r="1101" ht="14.25" customHeight="1">
      <c r="A1101" s="1">
        <v>100.0</v>
      </c>
      <c r="B1101" s="1" t="s">
        <v>245</v>
      </c>
      <c r="C1101" s="1">
        <v>10.0</v>
      </c>
      <c r="D1101" s="1" t="s">
        <v>22</v>
      </c>
      <c r="E1101" s="1" t="str">
        <f>IFERROR(__xludf.DUMMYFUNCTION("GOOGLETRANSLATE(D1101,""PT"",""EN"")"),"Excellent service")</f>
        <v>Excellent service</v>
      </c>
    </row>
    <row r="1102" ht="14.25" customHeight="1">
      <c r="A1102" s="1">
        <v>100.0</v>
      </c>
      <c r="B1102" s="1" t="s">
        <v>245</v>
      </c>
      <c r="C1102" s="1">
        <v>9.0</v>
      </c>
      <c r="D1102" s="1" t="s">
        <v>503</v>
      </c>
      <c r="E1102" s="1" t="str">
        <f>IFERROR(__xludf.DUMMYFUNCTION("GOOGLETRANSLATE(D1102,""PT"",""EN"")"),"Differentiated service hours, humanized service")</f>
        <v>Differentiated service hours, humanized service</v>
      </c>
    </row>
    <row r="1103" ht="14.25" customHeight="1">
      <c r="A1103" s="1">
        <v>100.0</v>
      </c>
      <c r="B1103" s="1" t="s">
        <v>245</v>
      </c>
      <c r="C1103" s="1">
        <v>10.0</v>
      </c>
      <c r="D1103" s="1" t="s">
        <v>6</v>
      </c>
      <c r="E1103" s="1"/>
    </row>
    <row r="1104" ht="14.25" customHeight="1">
      <c r="A1104" s="1">
        <v>33.0</v>
      </c>
      <c r="B1104" s="1" t="s">
        <v>245</v>
      </c>
      <c r="C1104" s="1">
        <v>4.0</v>
      </c>
      <c r="D1104" s="2" t="s">
        <v>504</v>
      </c>
      <c r="E1104" s="1" t="str">
        <f>IFERROR(__xludf.DUMMYFUNCTION("GOOGLETRANSLATE(D1104,""PT"",""EN"")"),"Sicoob does not answer when requesting any insurance quote is some other things")</f>
        <v>Sicoob does not answer when requesting any insurance quote is some other things</v>
      </c>
    </row>
    <row r="1105" ht="14.25" customHeight="1">
      <c r="A1105" s="1">
        <v>100.0</v>
      </c>
      <c r="B1105" s="1" t="s">
        <v>245</v>
      </c>
      <c r="C1105" s="1">
        <v>10.0</v>
      </c>
      <c r="D1105" s="1" t="s">
        <v>6</v>
      </c>
      <c r="E1105" s="1"/>
    </row>
    <row r="1106" ht="14.25" customHeight="1">
      <c r="A1106" s="1">
        <v>100.0</v>
      </c>
      <c r="B1106" s="1" t="s">
        <v>245</v>
      </c>
      <c r="C1106" s="1">
        <v>9.0</v>
      </c>
      <c r="D1106" s="1" t="s">
        <v>505</v>
      </c>
      <c r="E1106" s="1" t="str">
        <f>IFERROR(__xludf.DUMMYFUNCTION("GOOGLETRANSLATE(D1106,""PT"",""EN"")"),"9")</f>
        <v>9</v>
      </c>
    </row>
    <row r="1107" ht="14.25" customHeight="1">
      <c r="A1107" s="1">
        <v>100.0</v>
      </c>
      <c r="B1107" s="1" t="s">
        <v>245</v>
      </c>
      <c r="C1107" s="1">
        <v>10.0</v>
      </c>
      <c r="D1107" s="2" t="s">
        <v>506</v>
      </c>
      <c r="E1107" s="1" t="str">
        <f>IFERROR(__xludf.DUMMYFUNCTION("GOOGLETRANSLATE(D1107,""PT"",""EN"")"),"10 I recommend it to everyone who talks")</f>
        <v>10 I recommend it to everyone who talks</v>
      </c>
    </row>
    <row r="1108" ht="14.25" customHeight="1">
      <c r="A1108" s="1">
        <v>100.0</v>
      </c>
      <c r="B1108" s="1" t="s">
        <v>245</v>
      </c>
      <c r="C1108" s="1">
        <v>10.0</v>
      </c>
      <c r="D1108" s="2" t="s">
        <v>507</v>
      </c>
      <c r="E1108" s="1" t="str">
        <f>IFERROR(__xludf.DUMMYFUNCTION("GOOGLETRANSLATE(D1108,""PT"",""EN"")"),"Agility, practicality is technology")</f>
        <v>Agility, practicality is technology</v>
      </c>
    </row>
    <row r="1109" ht="14.25" customHeight="1">
      <c r="A1109" s="1">
        <v>100.0</v>
      </c>
      <c r="B1109" s="1" t="s">
        <v>245</v>
      </c>
      <c r="C1109" s="1">
        <v>10.0</v>
      </c>
      <c r="D1109" s="1" t="s">
        <v>6</v>
      </c>
      <c r="E1109" s="1"/>
    </row>
    <row r="1110" ht="14.25" customHeight="1">
      <c r="A1110" s="1">
        <v>100.0</v>
      </c>
      <c r="B1110" s="1" t="s">
        <v>245</v>
      </c>
      <c r="C1110" s="1">
        <v>10.0</v>
      </c>
      <c r="D1110" s="1" t="s">
        <v>6</v>
      </c>
      <c r="E1110" s="1"/>
    </row>
    <row r="1111" ht="14.25" customHeight="1">
      <c r="A1111" s="1">
        <v>66.0</v>
      </c>
      <c r="B1111" s="1" t="s">
        <v>245</v>
      </c>
      <c r="C1111" s="1">
        <v>7.0</v>
      </c>
      <c r="D1111" s="1" t="s">
        <v>6</v>
      </c>
      <c r="E1111" s="1"/>
    </row>
    <row r="1112" ht="14.25" customHeight="1">
      <c r="A1112" s="1">
        <v>100.0</v>
      </c>
      <c r="B1112" s="1" t="s">
        <v>245</v>
      </c>
      <c r="C1112" s="1">
        <v>10.0</v>
      </c>
      <c r="D1112" s="2" t="s">
        <v>508</v>
      </c>
      <c r="E1112" s="1" t="str">
        <f>IFERROR(__xludf.DUMMYFUNCTION("GOOGLETRANSLATE(D1112,""PT"",""EN"")"),"Good service to my expectations is the help of financial credit every time I needed.")</f>
        <v>Good service to my expectations is the help of financial credit every time I needed.</v>
      </c>
    </row>
    <row r="1113" ht="14.25" customHeight="1">
      <c r="A1113" s="1">
        <v>100.0</v>
      </c>
      <c r="B1113" s="1" t="s">
        <v>245</v>
      </c>
      <c r="C1113" s="1">
        <v>10.0</v>
      </c>
      <c r="D1113" s="1" t="s">
        <v>6</v>
      </c>
      <c r="E1113" s="1"/>
    </row>
    <row r="1114" ht="14.25" customHeight="1">
      <c r="A1114" s="1">
        <v>100.0</v>
      </c>
      <c r="B1114" s="1" t="s">
        <v>245</v>
      </c>
      <c r="C1114" s="1">
        <v>10.0</v>
      </c>
      <c r="D1114" s="2" t="s">
        <v>509</v>
      </c>
      <c r="E1114" s="1" t="str">
        <f>IFERROR(__xludf.DUMMYFUNCTION("GOOGLETRANSLATE(D1114,""PT"",""EN"")"),"Good service is excellent interest rates")</f>
        <v>Good service is excellent interest rates</v>
      </c>
    </row>
    <row r="1115" ht="14.25" customHeight="1">
      <c r="A1115" s="1">
        <v>100.0</v>
      </c>
      <c r="B1115" s="1" t="s">
        <v>245</v>
      </c>
      <c r="C1115" s="1">
        <v>10.0</v>
      </c>
      <c r="D1115" s="2" t="s">
        <v>510</v>
      </c>
      <c r="E1115" s="1" t="str">
        <f>IFERROR(__xludf.DUMMYFUNCTION("GOOGLETRANSLATE(D1115,""PT"",""EN"")"),"The conditions Sicoob offers is the great service!")</f>
        <v>The conditions Sicoob offers is the great service!</v>
      </c>
    </row>
    <row r="1116" ht="14.25" customHeight="1">
      <c r="A1116" s="1">
        <v>66.0</v>
      </c>
      <c r="B1116" s="1" t="s">
        <v>245</v>
      </c>
      <c r="C1116" s="1">
        <v>7.0</v>
      </c>
      <c r="D1116" s="1" t="s">
        <v>6</v>
      </c>
      <c r="E1116" s="1"/>
    </row>
    <row r="1117" ht="14.25" customHeight="1">
      <c r="A1117" s="1">
        <v>66.0</v>
      </c>
      <c r="B1117" s="1" t="s">
        <v>245</v>
      </c>
      <c r="C1117" s="1">
        <v>7.0</v>
      </c>
      <c r="D1117" s="1" t="s">
        <v>6</v>
      </c>
      <c r="E1117" s="1"/>
    </row>
    <row r="1118" ht="14.25" customHeight="1">
      <c r="A1118" s="1">
        <v>100.0</v>
      </c>
      <c r="B1118" s="1" t="s">
        <v>245</v>
      </c>
      <c r="C1118" s="1">
        <v>10.0</v>
      </c>
      <c r="D1118" s="2" t="s">
        <v>511</v>
      </c>
      <c r="E1118" s="1" t="str">
        <f>IFERROR(__xludf.DUMMYFUNCTION("GOOGLETRANSLATE(D1118,""PT"",""EN"")"),"Partnership, service is agility")</f>
        <v>Partnership, service is agility</v>
      </c>
    </row>
    <row r="1119" ht="14.25" customHeight="1">
      <c r="A1119" s="1">
        <v>100.0</v>
      </c>
      <c r="B1119" s="1" t="s">
        <v>245</v>
      </c>
      <c r="C1119" s="1">
        <v>10.0</v>
      </c>
      <c r="D1119" s="1" t="s">
        <v>512</v>
      </c>
      <c r="E1119" s="1" t="str">
        <f>IFERROR(__xludf.DUMMYFUNCTION("GOOGLETRANSLATE(D1119,""PT"",""EN"")"),"Cordiality")</f>
        <v>Cordiality</v>
      </c>
    </row>
    <row r="1120" ht="14.25" customHeight="1">
      <c r="A1120" s="1">
        <v>100.0</v>
      </c>
      <c r="B1120" s="1" t="s">
        <v>245</v>
      </c>
      <c r="C1120" s="1">
        <v>10.0</v>
      </c>
      <c r="D1120" s="2" t="s">
        <v>513</v>
      </c>
      <c r="E1120" s="1" t="str">
        <f>IFERROR(__xludf.DUMMYFUNCTION("GOOGLETRANSLATE(D1120,""PT"",""EN"")"),"Excellent service is great reception.")</f>
        <v>Excellent service is great reception.</v>
      </c>
    </row>
    <row r="1121" ht="14.25" customHeight="1">
      <c r="A1121" s="1">
        <v>100.0</v>
      </c>
      <c r="B1121" s="1" t="s">
        <v>245</v>
      </c>
      <c r="C1121" s="1">
        <v>10.0</v>
      </c>
      <c r="D1121" s="1" t="s">
        <v>514</v>
      </c>
      <c r="E1121" s="1" t="str">
        <f>IFERROR(__xludf.DUMMYFUNCTION("GOOGLETRANSLATE(D1121,""PT"",""EN"")"),"Everything I need my manager solves")</f>
        <v>Everything I need my manager solves</v>
      </c>
    </row>
    <row r="1122" ht="14.25" customHeight="1">
      <c r="A1122" s="1">
        <v>33.0</v>
      </c>
      <c r="B1122" s="1" t="s">
        <v>245</v>
      </c>
      <c r="C1122" s="1">
        <v>0.0</v>
      </c>
      <c r="D1122" s="1" t="s">
        <v>515</v>
      </c>
      <c r="E1122" s="1" t="str">
        <f>IFERROR(__xludf.DUMMYFUNCTION("GOOGLETRANSLATE(D1122,""PT"",""EN"")"),"I never had support at all")</f>
        <v>I never had support at all</v>
      </c>
    </row>
    <row r="1123" ht="14.25" customHeight="1">
      <c r="A1123" s="1">
        <v>100.0</v>
      </c>
      <c r="B1123" s="1" t="s">
        <v>245</v>
      </c>
      <c r="C1123" s="1">
        <v>10.0</v>
      </c>
      <c r="D1123" s="1" t="s">
        <v>516</v>
      </c>
      <c r="E1123" s="1" t="str">
        <f>IFERROR(__xludf.DUMMYFUNCTION("GOOGLETRANSLATE(D1123,""PT"",""EN"")"),"I am very well attended.")</f>
        <v>I am very well attended.</v>
      </c>
    </row>
    <row r="1124" ht="14.25" customHeight="1">
      <c r="A1124" s="1">
        <v>33.0</v>
      </c>
      <c r="B1124" s="1" t="s">
        <v>245</v>
      </c>
      <c r="C1124" s="1">
        <v>1.0</v>
      </c>
      <c r="D1124" s="2" t="s">
        <v>517</v>
      </c>
      <c r="E1124" s="1" t="str">
        <f>IFERROR(__xludf.DUMMYFUNCTION("GOOGLETRANSLATE(D1124,""PT"",""EN"")"),"Without service via landline; Delay in answers; It offers no product, finally, very dissatisfied. Edson")</f>
        <v>Without service via landline; Delay in answers; It offers no product, finally, very dissatisfied. Edson</v>
      </c>
    </row>
    <row r="1125" ht="14.25" customHeight="1">
      <c r="A1125" s="1">
        <v>33.0</v>
      </c>
      <c r="B1125" s="1" t="s">
        <v>245</v>
      </c>
      <c r="C1125" s="1">
        <v>2.0</v>
      </c>
      <c r="D1125" s="1" t="s">
        <v>518</v>
      </c>
      <c r="E1125" s="1" t="str">
        <f>IFERROR(__xludf.DUMMYFUNCTION("GOOGLETRANSLATE(D1125,""PT"",""EN"")"),"Speak of visit, lack of help")</f>
        <v>Speak of visit, lack of help</v>
      </c>
    </row>
    <row r="1126" ht="14.25" customHeight="1">
      <c r="A1126" s="1">
        <v>100.0</v>
      </c>
      <c r="B1126" s="1" t="s">
        <v>245</v>
      </c>
      <c r="C1126" s="1">
        <v>10.0</v>
      </c>
      <c r="D1126" s="1" t="s">
        <v>6</v>
      </c>
      <c r="E1126" s="1"/>
    </row>
    <row r="1127" ht="14.25" customHeight="1">
      <c r="A1127" s="1">
        <v>100.0</v>
      </c>
      <c r="B1127" s="1" t="s">
        <v>245</v>
      </c>
      <c r="C1127" s="1">
        <v>10.0</v>
      </c>
      <c r="D1127" s="2" t="s">
        <v>519</v>
      </c>
      <c r="E1127" s="1" t="str">
        <f>IFERROR(__xludf.DUMMYFUNCTION("GOOGLETRANSLATE(D1127,""PT"",""EN"")"),"Good service is relationship, it is good business rates")</f>
        <v>Good service is relationship, it is good business rates</v>
      </c>
    </row>
    <row r="1128" ht="14.25" customHeight="1">
      <c r="A1128" s="1">
        <v>100.0</v>
      </c>
      <c r="B1128" s="1" t="s">
        <v>245</v>
      </c>
      <c r="C1128" s="1">
        <v>9.0</v>
      </c>
      <c r="D1128" s="2" t="s">
        <v>520</v>
      </c>
      <c r="E1128" s="1" t="str">
        <f>IFERROR(__xludf.DUMMYFUNCTION("GOOGLETRANSLATE(D1128,""PT"",""EN"")"),"As for the service is excellent, I am very pleased! What made it difficult to get a maximum grade was for the sake of car financing, in another bank that I am not even a customer the salesman got a lower rate financing. I couldn't understand, the bank in "&amp;"question was Santander the rate was cheaper ...")</f>
        <v>As for the service is excellent, I am very pleased! What made it difficult to get a maximum grade was for the sake of car financing, in another bank that I am not even a customer the salesman got a lower rate financing. I couldn't understand, the bank in question was Santander the rate was cheaper ...</v>
      </c>
    </row>
    <row r="1129" ht="14.25" customHeight="1">
      <c r="A1129" s="1">
        <v>100.0</v>
      </c>
      <c r="B1129" s="1" t="s">
        <v>245</v>
      </c>
      <c r="C1129" s="1">
        <v>10.0</v>
      </c>
      <c r="D1129" s="1" t="s">
        <v>6</v>
      </c>
      <c r="E1129" s="1"/>
    </row>
    <row r="1130" ht="14.25" customHeight="1">
      <c r="A1130" s="1">
        <v>100.0</v>
      </c>
      <c r="B1130" s="1" t="s">
        <v>245</v>
      </c>
      <c r="C1130" s="1">
        <v>9.0</v>
      </c>
      <c r="D1130" s="2" t="s">
        <v>521</v>
      </c>
      <c r="E1130" s="1" t="str">
        <f>IFERROR(__xludf.DUMMYFUNCTION("GOOGLETRANSLATE(D1130,""PT"",""EN"")"),"Always serve me with a lot of education. Respect is agility!")</f>
        <v>Always serve me with a lot of education. Respect is agility!</v>
      </c>
    </row>
    <row r="1131" ht="14.25" customHeight="1">
      <c r="A1131" s="1">
        <v>100.0</v>
      </c>
      <c r="B1131" s="1" t="s">
        <v>245</v>
      </c>
      <c r="C1131" s="1">
        <v>10.0</v>
      </c>
      <c r="D1131" s="2" t="s">
        <v>522</v>
      </c>
      <c r="E1131" s="1" t="str">
        <f>IFERROR(__xludf.DUMMYFUNCTION("GOOGLETRANSLATE(D1131,""PT"",""EN"")"),"Sicoob has return on interest")</f>
        <v>Sicoob has return on interest</v>
      </c>
    </row>
    <row r="1132" ht="14.25" customHeight="1">
      <c r="A1132" s="1">
        <v>66.0</v>
      </c>
      <c r="B1132" s="1" t="s">
        <v>245</v>
      </c>
      <c r="C1132" s="1">
        <v>8.0</v>
      </c>
      <c r="D1132" s="1" t="s">
        <v>523</v>
      </c>
      <c r="E1132" s="1" t="str">
        <f>IFERROR(__xludf.DUMMYFUNCTION("GOOGLETRANSLATE(D1132,""PT"",""EN"")"),"Because I am always very well attended when I use Sicoob")</f>
        <v>Because I am always very well attended when I use Sicoob</v>
      </c>
    </row>
    <row r="1133" ht="14.25" customHeight="1">
      <c r="A1133" s="1">
        <v>33.0</v>
      </c>
      <c r="B1133" s="1" t="s">
        <v>245</v>
      </c>
      <c r="C1133" s="1">
        <v>0.0</v>
      </c>
      <c r="D1133" s="2" t="s">
        <v>524</v>
      </c>
      <c r="E1133" s="1" t="str">
        <f>IFERROR(__xludf.DUMMYFUNCTION("GOOGLETRANSLATE(D1133,""PT"",""EN"")"),"I don't like service")</f>
        <v>I don't like service</v>
      </c>
    </row>
    <row r="1134" ht="14.25" customHeight="1">
      <c r="A1134" s="1">
        <v>100.0</v>
      </c>
      <c r="B1134" s="1" t="s">
        <v>245</v>
      </c>
      <c r="C1134" s="1">
        <v>10.0</v>
      </c>
      <c r="D1134" s="1" t="s">
        <v>6</v>
      </c>
      <c r="E1134" s="1"/>
    </row>
    <row r="1135" ht="14.25" customHeight="1">
      <c r="A1135" s="1">
        <v>100.0</v>
      </c>
      <c r="B1135" s="1" t="s">
        <v>245</v>
      </c>
      <c r="C1135" s="1">
        <v>10.0</v>
      </c>
      <c r="D1135" s="1" t="s">
        <v>9</v>
      </c>
      <c r="E1135" s="1" t="str">
        <f>IFERROR(__xludf.DUMMYFUNCTION("GOOGLETRANSLATE(D1135,""PT"",""EN"")"),"10")</f>
        <v>10</v>
      </c>
    </row>
    <row r="1136" ht="14.25" customHeight="1">
      <c r="A1136" s="1">
        <v>33.0</v>
      </c>
      <c r="B1136" s="1" t="s">
        <v>245</v>
      </c>
      <c r="C1136" s="1">
        <v>5.0</v>
      </c>
      <c r="D1136" s="1" t="s">
        <v>6</v>
      </c>
      <c r="E1136" s="1"/>
    </row>
    <row r="1137" ht="14.25" customHeight="1">
      <c r="A1137" s="1">
        <v>100.0</v>
      </c>
      <c r="B1137" s="1" t="s">
        <v>245</v>
      </c>
      <c r="C1137" s="1">
        <v>10.0</v>
      </c>
      <c r="D1137" s="1" t="s">
        <v>6</v>
      </c>
      <c r="E1137" s="1"/>
    </row>
    <row r="1138" ht="14.25" customHeight="1">
      <c r="A1138" s="1">
        <v>100.0</v>
      </c>
      <c r="B1138" s="1" t="s">
        <v>245</v>
      </c>
      <c r="C1138" s="1">
        <v>10.0</v>
      </c>
      <c r="D1138" s="1" t="s">
        <v>397</v>
      </c>
      <c r="E1138" s="1" t="str">
        <f>IFERROR(__xludf.DUMMYFUNCTION("GOOGLETRANSLATE(D1138,""PT"",""EN"")"),"All")</f>
        <v>All</v>
      </c>
    </row>
    <row r="1139" ht="14.25" customHeight="1">
      <c r="A1139" s="1">
        <v>100.0</v>
      </c>
      <c r="B1139" s="1" t="s">
        <v>245</v>
      </c>
      <c r="C1139" s="1">
        <v>10.0</v>
      </c>
      <c r="D1139" s="1" t="s">
        <v>62</v>
      </c>
      <c r="E1139" s="1" t="str">
        <f>IFERROR(__xludf.DUMMYFUNCTION("GOOGLETRANSLATE(D1139,""PT"",""EN"")"),"Good service")</f>
        <v>Good service</v>
      </c>
    </row>
    <row r="1140" ht="14.25" customHeight="1">
      <c r="A1140" s="1">
        <v>100.0</v>
      </c>
      <c r="B1140" s="1" t="s">
        <v>245</v>
      </c>
      <c r="C1140" s="1">
        <v>10.0</v>
      </c>
      <c r="D1140" s="1" t="s">
        <v>6</v>
      </c>
      <c r="E1140" s="1"/>
    </row>
    <row r="1141" ht="14.25" customHeight="1">
      <c r="A1141" s="1">
        <v>100.0</v>
      </c>
      <c r="B1141" s="1" t="s">
        <v>245</v>
      </c>
      <c r="C1141" s="1">
        <v>10.0</v>
      </c>
      <c r="D1141" s="1" t="s">
        <v>6</v>
      </c>
      <c r="E1141" s="1"/>
    </row>
    <row r="1142" ht="14.25" customHeight="1">
      <c r="A1142" s="1">
        <v>100.0</v>
      </c>
      <c r="B1142" s="1" t="s">
        <v>245</v>
      </c>
      <c r="C1142" s="1">
        <v>9.0</v>
      </c>
      <c r="D1142" s="2" t="s">
        <v>525</v>
      </c>
      <c r="E1142" s="1" t="str">
        <f>IFERROR(__xludf.DUMMYFUNCTION("GOOGLETRANSLATE(D1142,""PT"",""EN"")"),"I recommend Banco Sicoob without restriction, great bank to get a bank account, cooperative system is other benefits")</f>
        <v>I recommend Banco Sicoob without restriction, great bank to get a bank account, cooperative system is other benefits</v>
      </c>
    </row>
    <row r="1143" ht="14.25" customHeight="1">
      <c r="A1143" s="1">
        <v>33.0</v>
      </c>
      <c r="B1143" s="1" t="s">
        <v>245</v>
      </c>
      <c r="C1143" s="1">
        <v>3.0</v>
      </c>
      <c r="D1143" s="1" t="s">
        <v>6</v>
      </c>
      <c r="E1143" s="1"/>
    </row>
    <row r="1144" ht="14.25" customHeight="1">
      <c r="A1144" s="1">
        <v>33.0</v>
      </c>
      <c r="B1144" s="1" t="s">
        <v>245</v>
      </c>
      <c r="C1144" s="1">
        <v>0.0</v>
      </c>
      <c r="D1144" s="1" t="s">
        <v>526</v>
      </c>
      <c r="E1144" s="1" t="str">
        <f>IFERROR(__xludf.DUMMYFUNCTION("GOOGLETRANSLATE(D1144,""PT"",""EN"")"),"Poor support service in companies (in loco)")</f>
        <v>Poor support service in companies (in loco)</v>
      </c>
    </row>
    <row r="1145" ht="14.25" customHeight="1">
      <c r="A1145" s="1">
        <v>100.0</v>
      </c>
      <c r="B1145" s="1" t="s">
        <v>245</v>
      </c>
      <c r="C1145" s="1">
        <v>9.0</v>
      </c>
      <c r="D1145" s="1" t="s">
        <v>6</v>
      </c>
      <c r="E1145" s="1"/>
    </row>
    <row r="1146" ht="14.25" customHeight="1">
      <c r="A1146" s="1">
        <v>100.0</v>
      </c>
      <c r="B1146" s="1" t="s">
        <v>245</v>
      </c>
      <c r="C1146" s="1">
        <v>9.0</v>
      </c>
      <c r="D1146" s="1" t="s">
        <v>6</v>
      </c>
      <c r="E1146" s="1"/>
    </row>
    <row r="1147" ht="14.25" customHeight="1">
      <c r="A1147" s="1">
        <v>100.0</v>
      </c>
      <c r="B1147" s="1" t="s">
        <v>245</v>
      </c>
      <c r="C1147" s="1">
        <v>10.0</v>
      </c>
      <c r="D1147" s="2" t="s">
        <v>215</v>
      </c>
      <c r="E1147" s="1" t="str">
        <f>IFERROR(__xludf.DUMMYFUNCTION("GOOGLETRANSLATE(D1147,""PT"",""EN"")"),"Excellence")</f>
        <v>Excellence</v>
      </c>
    </row>
    <row r="1148" ht="14.25" customHeight="1">
      <c r="A1148" s="1">
        <v>100.0</v>
      </c>
      <c r="B1148" s="1" t="s">
        <v>245</v>
      </c>
      <c r="C1148" s="1">
        <v>10.0</v>
      </c>
      <c r="D1148" s="2" t="s">
        <v>527</v>
      </c>
      <c r="E1148" s="1" t="str">
        <f>IFERROR(__xludf.DUMMYFUNCTION("GOOGLETRANSLATE(D1148,""PT"",""EN"")"),"Extraordinary team, equal treatment with all customers, efficiency in proposals, organization of the fantastic assembly, congratulations.")</f>
        <v>Extraordinary team, equal treatment with all customers, efficiency in proposals, organization of the fantastic assembly, congratulations.</v>
      </c>
    </row>
    <row r="1149" ht="14.25" customHeight="1">
      <c r="A1149" s="1">
        <v>100.0</v>
      </c>
      <c r="B1149" s="1" t="s">
        <v>245</v>
      </c>
      <c r="C1149" s="1">
        <v>10.0</v>
      </c>
      <c r="D1149" s="1" t="s">
        <v>37</v>
      </c>
      <c r="E1149" s="1" t="str">
        <f>IFERROR(__xludf.DUMMYFUNCTION("GOOGLETRANSLATE(D1149,""PT"",""EN"")"),"Great service")</f>
        <v>Great service</v>
      </c>
    </row>
    <row r="1150" ht="14.25" customHeight="1">
      <c r="A1150" s="1">
        <v>100.0</v>
      </c>
      <c r="B1150" s="1" t="s">
        <v>245</v>
      </c>
      <c r="C1150" s="1">
        <v>9.0</v>
      </c>
      <c r="D1150" s="1" t="s">
        <v>6</v>
      </c>
      <c r="E1150" s="1"/>
    </row>
    <row r="1151" ht="14.25" customHeight="1">
      <c r="A1151" s="1">
        <v>100.0</v>
      </c>
      <c r="B1151" s="1" t="s">
        <v>245</v>
      </c>
      <c r="C1151" s="1">
        <v>10.0</v>
      </c>
      <c r="D1151" s="1" t="s">
        <v>528</v>
      </c>
      <c r="E1151" s="1" t="str">
        <f>IFERROR(__xludf.DUMMYFUNCTION("GOOGLETRANSLATE(D1151,""PT"",""EN"")"),"Friend Bank")</f>
        <v>Friend Bank</v>
      </c>
    </row>
    <row r="1152" ht="14.25" customHeight="1">
      <c r="A1152" s="1">
        <v>66.0</v>
      </c>
      <c r="B1152" s="1" t="s">
        <v>245</v>
      </c>
      <c r="C1152" s="1">
        <v>8.0</v>
      </c>
      <c r="D1152" s="1" t="s">
        <v>529</v>
      </c>
      <c r="E1152" s="1" t="str">
        <f>IFERROR(__xludf.DUMMYFUNCTION("GOOGLETRANSLATE(D1152,""PT"",""EN"")"),"It is very good")</f>
        <v>It is very good</v>
      </c>
    </row>
    <row r="1153" ht="14.25" customHeight="1">
      <c r="A1153" s="1">
        <v>100.0</v>
      </c>
      <c r="B1153" s="1" t="s">
        <v>245</v>
      </c>
      <c r="C1153" s="1">
        <v>10.0</v>
      </c>
      <c r="D1153" s="1" t="s">
        <v>6</v>
      </c>
      <c r="E1153" s="1"/>
    </row>
    <row r="1154" ht="14.25" customHeight="1">
      <c r="A1154" s="1">
        <v>100.0</v>
      </c>
      <c r="B1154" s="1" t="s">
        <v>245</v>
      </c>
      <c r="C1154" s="1">
        <v>10.0</v>
      </c>
      <c r="D1154" s="1" t="s">
        <v>6</v>
      </c>
      <c r="E1154" s="1"/>
    </row>
    <row r="1155" ht="14.25" customHeight="1">
      <c r="A1155" s="1">
        <v>66.0</v>
      </c>
      <c r="B1155" s="1" t="s">
        <v>245</v>
      </c>
      <c r="C1155" s="1">
        <v>8.0</v>
      </c>
      <c r="D1155" s="1" t="s">
        <v>6</v>
      </c>
      <c r="E1155" s="1"/>
    </row>
    <row r="1156" ht="14.25" customHeight="1">
      <c r="A1156" s="1">
        <v>100.0</v>
      </c>
      <c r="B1156" s="1" t="s">
        <v>245</v>
      </c>
      <c r="C1156" s="1">
        <v>10.0</v>
      </c>
      <c r="D1156" s="1" t="s">
        <v>530</v>
      </c>
      <c r="E1156" s="1" t="str">
        <f>IFERROR(__xludf.DUMMYFUNCTION("GOOGLETRANSLATE(D1156,""PT"",""EN"")"),"The practicality, the speed of care.")</f>
        <v>The practicality, the speed of care.</v>
      </c>
    </row>
    <row r="1157" ht="14.25" customHeight="1">
      <c r="A1157" s="1">
        <v>33.0</v>
      </c>
      <c r="B1157" s="1" t="s">
        <v>245</v>
      </c>
      <c r="C1157" s="1">
        <v>5.0</v>
      </c>
      <c r="D1157" s="1" t="s">
        <v>6</v>
      </c>
      <c r="E1157" s="1"/>
    </row>
    <row r="1158" ht="14.25" customHeight="1">
      <c r="A1158" s="1">
        <v>100.0</v>
      </c>
      <c r="B1158" s="1" t="s">
        <v>245</v>
      </c>
      <c r="C1158" s="1">
        <v>9.0</v>
      </c>
      <c r="D1158" s="1" t="s">
        <v>6</v>
      </c>
      <c r="E1158" s="1"/>
    </row>
    <row r="1159" ht="14.25" customHeight="1">
      <c r="A1159" s="1">
        <v>100.0</v>
      </c>
      <c r="B1159" s="1" t="s">
        <v>245</v>
      </c>
      <c r="C1159" s="1">
        <v>10.0</v>
      </c>
      <c r="D1159" s="1" t="s">
        <v>6</v>
      </c>
      <c r="E1159" s="1"/>
    </row>
    <row r="1160" ht="14.25" customHeight="1">
      <c r="A1160" s="1">
        <v>100.0</v>
      </c>
      <c r="B1160" s="1" t="s">
        <v>245</v>
      </c>
      <c r="C1160" s="1">
        <v>10.0</v>
      </c>
      <c r="D1160" s="2" t="s">
        <v>531</v>
      </c>
      <c r="E1160" s="1" t="str">
        <f>IFERROR(__xludf.DUMMYFUNCTION("GOOGLETRANSLATE(D1160,""PT"",""EN"")"),"The opportunities that Sicoob offered us to work. Especially the service of staff is what they offered us as the differentiations of how the bank worked giving opportunities at the right times to each client. Satisfied with the cooperative I am.")</f>
        <v>The opportunities that Sicoob offered us to work. Especially the service of staff is what they offered us as the differentiations of how the bank worked giving opportunities at the right times to each client. Satisfied with the cooperative I am.</v>
      </c>
    </row>
    <row r="1161" ht="14.25" customHeight="1">
      <c r="A1161" s="1">
        <v>100.0</v>
      </c>
      <c r="B1161" s="1" t="s">
        <v>245</v>
      </c>
      <c r="C1161" s="1">
        <v>9.0</v>
      </c>
      <c r="D1161" s="1" t="s">
        <v>6</v>
      </c>
      <c r="E1161" s="1"/>
    </row>
    <row r="1162" ht="14.25" customHeight="1">
      <c r="A1162" s="1">
        <v>100.0</v>
      </c>
      <c r="B1162" s="1" t="s">
        <v>245</v>
      </c>
      <c r="C1162" s="1">
        <v>10.0</v>
      </c>
      <c r="D1162" s="1" t="s">
        <v>532</v>
      </c>
      <c r="E1162" s="1" t="str">
        <f>IFERROR(__xludf.DUMMYFUNCTION("GOOGLETRANSLATE(D1162,""PT"",""EN"")"),"Attention by the facility manager, hours care")</f>
        <v>Attention by the facility manager, hours care</v>
      </c>
    </row>
    <row r="1163" ht="14.25" customHeight="1">
      <c r="A1163" s="1">
        <v>66.0</v>
      </c>
      <c r="B1163" s="1" t="s">
        <v>245</v>
      </c>
      <c r="C1163" s="1">
        <v>7.0</v>
      </c>
      <c r="D1163" s="1" t="s">
        <v>6</v>
      </c>
      <c r="E1163" s="1"/>
    </row>
    <row r="1164" ht="14.25" customHeight="1">
      <c r="A1164" s="1">
        <v>100.0</v>
      </c>
      <c r="B1164" s="1" t="s">
        <v>245</v>
      </c>
      <c r="C1164" s="1">
        <v>10.0</v>
      </c>
      <c r="D1164" s="1" t="s">
        <v>533</v>
      </c>
      <c r="E1164" s="1" t="str">
        <f>IFERROR(__xludf.DUMMYFUNCTION("GOOGLETRANSLATE(D1164,""PT"",""EN"")"),"Meets me what I need.")</f>
        <v>Meets me what I need.</v>
      </c>
    </row>
    <row r="1165" ht="14.25" customHeight="1">
      <c r="A1165" s="1">
        <v>100.0</v>
      </c>
      <c r="B1165" s="1" t="s">
        <v>245</v>
      </c>
      <c r="C1165" s="1">
        <v>10.0</v>
      </c>
      <c r="D1165" s="1" t="s">
        <v>6</v>
      </c>
      <c r="E1165" s="1"/>
    </row>
    <row r="1166" ht="14.25" customHeight="1">
      <c r="A1166" s="1">
        <v>100.0</v>
      </c>
      <c r="B1166" s="1" t="s">
        <v>245</v>
      </c>
      <c r="C1166" s="1">
        <v>9.0</v>
      </c>
      <c r="D1166" s="1" t="s">
        <v>6</v>
      </c>
      <c r="E1166" s="1"/>
    </row>
    <row r="1167" ht="14.25" customHeight="1">
      <c r="A1167" s="1">
        <v>100.0</v>
      </c>
      <c r="B1167" s="1" t="s">
        <v>245</v>
      </c>
      <c r="C1167" s="1">
        <v>10.0</v>
      </c>
      <c r="D1167" s="1" t="s">
        <v>534</v>
      </c>
      <c r="E1167" s="1" t="str">
        <f>IFERROR(__xludf.DUMMYFUNCTION("GOOGLETRANSLATE(D1167,""PT"",""EN"")"),"Reliability")</f>
        <v>Reliability</v>
      </c>
    </row>
    <row r="1168" ht="14.25" customHeight="1">
      <c r="A1168" s="1">
        <v>100.0</v>
      </c>
      <c r="B1168" s="1" t="s">
        <v>245</v>
      </c>
      <c r="C1168" s="1">
        <v>9.0</v>
      </c>
      <c r="D1168" s="1" t="s">
        <v>6</v>
      </c>
      <c r="E1168" s="1"/>
    </row>
    <row r="1169" ht="14.25" customHeight="1">
      <c r="A1169" s="1">
        <v>100.0</v>
      </c>
      <c r="B1169" s="1" t="s">
        <v>245</v>
      </c>
      <c r="C1169" s="1">
        <v>10.0</v>
      </c>
      <c r="D1169" s="1" t="s">
        <v>535</v>
      </c>
      <c r="E1169" s="1" t="str">
        <f>IFERROR(__xludf.DUMMYFUNCTION("GOOGLETRANSLATE(D1169,""PT"",""EN"")"),"All! Sicoob is great in every respect!")</f>
        <v>All! Sicoob is great in every respect!</v>
      </c>
    </row>
    <row r="1170" ht="14.25" customHeight="1">
      <c r="A1170" s="1">
        <v>100.0</v>
      </c>
      <c r="B1170" s="1" t="s">
        <v>245</v>
      </c>
      <c r="C1170" s="1">
        <v>10.0</v>
      </c>
      <c r="D1170" s="1" t="s">
        <v>536</v>
      </c>
      <c r="E1170" s="1" t="str">
        <f>IFERROR(__xludf.DUMMYFUNCTION("GOOGLETRANSLATE(D1170,""PT"",""EN"")"),"I am satisfied with the bank")</f>
        <v>I am satisfied with the bank</v>
      </c>
    </row>
    <row r="1171" ht="14.25" customHeight="1">
      <c r="A1171" s="1">
        <v>100.0</v>
      </c>
      <c r="B1171" s="1" t="s">
        <v>245</v>
      </c>
      <c r="C1171" s="1">
        <v>9.0</v>
      </c>
      <c r="D1171" s="1" t="s">
        <v>6</v>
      </c>
      <c r="E1171" s="1"/>
    </row>
    <row r="1172" ht="14.25" customHeight="1">
      <c r="A1172" s="1">
        <v>100.0</v>
      </c>
      <c r="B1172" s="1" t="s">
        <v>245</v>
      </c>
      <c r="C1172" s="1">
        <v>10.0</v>
      </c>
      <c r="D1172" s="1" t="s">
        <v>6</v>
      </c>
      <c r="E1172" s="1"/>
    </row>
    <row r="1173" ht="14.25" customHeight="1">
      <c r="A1173" s="1">
        <v>100.0</v>
      </c>
      <c r="B1173" s="1" t="s">
        <v>245</v>
      </c>
      <c r="C1173" s="1">
        <v>10.0</v>
      </c>
      <c r="D1173" s="1" t="s">
        <v>537</v>
      </c>
      <c r="E1173" s="1" t="str">
        <f>IFERROR(__xludf.DUMMYFUNCTION("GOOGLETRANSLATE(D1173,""PT"",""EN"")"),"I am very well attended to Banco answers me in every way")</f>
        <v>I am very well attended to Banco answers me in every way</v>
      </c>
    </row>
    <row r="1174" ht="14.25" customHeight="1">
      <c r="A1174" s="1">
        <v>100.0</v>
      </c>
      <c r="B1174" s="1" t="s">
        <v>245</v>
      </c>
      <c r="C1174" s="1">
        <v>10.0</v>
      </c>
      <c r="D1174" s="2" t="s">
        <v>538</v>
      </c>
      <c r="E1174" s="1" t="str">
        <f>IFERROR(__xludf.DUMMYFUNCTION("GOOGLETRANSLATE(D1174,""PT"",""EN"")"),"Agility is good employee service!")</f>
        <v>Agility is good employee service!</v>
      </c>
    </row>
    <row r="1175" ht="14.25" customHeight="1">
      <c r="A1175" s="1">
        <v>100.0</v>
      </c>
      <c r="B1175" s="1" t="s">
        <v>245</v>
      </c>
      <c r="C1175" s="1">
        <v>10.0</v>
      </c>
      <c r="D1175" s="1" t="s">
        <v>6</v>
      </c>
      <c r="E1175" s="1"/>
    </row>
    <row r="1176" ht="14.25" customHeight="1">
      <c r="A1176" s="1">
        <v>66.0</v>
      </c>
      <c r="B1176" s="1" t="s">
        <v>245</v>
      </c>
      <c r="C1176" s="1">
        <v>8.0</v>
      </c>
      <c r="D1176" s="1" t="s">
        <v>6</v>
      </c>
      <c r="E1176" s="1"/>
    </row>
    <row r="1177" ht="14.25" customHeight="1">
      <c r="A1177" s="1">
        <v>100.0</v>
      </c>
      <c r="B1177" s="1" t="s">
        <v>245</v>
      </c>
      <c r="C1177" s="1">
        <v>10.0</v>
      </c>
      <c r="D1177" s="1" t="s">
        <v>539</v>
      </c>
      <c r="E1177" s="1" t="str">
        <f>IFERROR(__xludf.DUMMYFUNCTION("GOOGLETRANSLATE(D1177,""PT"",""EN"")"),"A good service")</f>
        <v>A good service</v>
      </c>
    </row>
    <row r="1178" ht="14.25" customHeight="1">
      <c r="A1178" s="1">
        <v>100.0</v>
      </c>
      <c r="B1178" s="1" t="s">
        <v>245</v>
      </c>
      <c r="C1178" s="1">
        <v>9.0</v>
      </c>
      <c r="D1178" s="2" t="s">
        <v>540</v>
      </c>
      <c r="E1178" s="1" t="str">
        <f>IFERROR(__xludf.DUMMYFUNCTION("GOOGLETRANSLATE(D1178,""PT"",""EN"")"),"Service is agility in requests")</f>
        <v>Service is agility in requests</v>
      </c>
    </row>
    <row r="1179" ht="14.25" customHeight="1">
      <c r="A1179" s="1">
        <v>100.0</v>
      </c>
      <c r="B1179" s="1" t="s">
        <v>245</v>
      </c>
      <c r="C1179" s="1">
        <v>10.0</v>
      </c>
      <c r="D1179" s="1" t="s">
        <v>6</v>
      </c>
      <c r="E1179" s="1"/>
    </row>
    <row r="1180" ht="14.25" customHeight="1">
      <c r="A1180" s="1">
        <v>100.0</v>
      </c>
      <c r="B1180" s="1" t="s">
        <v>245</v>
      </c>
      <c r="C1180" s="1">
        <v>10.0</v>
      </c>
      <c r="D1180" s="1" t="s">
        <v>6</v>
      </c>
      <c r="E1180" s="1"/>
    </row>
    <row r="1181" ht="14.25" customHeight="1">
      <c r="A1181" s="1">
        <v>66.0</v>
      </c>
      <c r="B1181" s="1" t="s">
        <v>245</v>
      </c>
      <c r="C1181" s="1">
        <v>8.0</v>
      </c>
      <c r="D1181" s="1" t="s">
        <v>541</v>
      </c>
      <c r="E1181" s="1" t="str">
        <f>IFERROR(__xludf.DUMMYFUNCTION("GOOGLETRANSLATE(D1181,""PT"",""EN"")"),"Benefits")</f>
        <v>Benefits</v>
      </c>
    </row>
    <row r="1182" ht="14.25" customHeight="1">
      <c r="A1182" s="1">
        <v>100.0</v>
      </c>
      <c r="B1182" s="1" t="s">
        <v>245</v>
      </c>
      <c r="C1182" s="1">
        <v>10.0</v>
      </c>
      <c r="D1182" s="1" t="s">
        <v>542</v>
      </c>
      <c r="E1182" s="1" t="str">
        <f>IFERROR(__xludf.DUMMYFUNCTION("GOOGLETRANSLATE(D1182,""PT"",""EN"")"),"Great service !!! Respond to debts very fast !!!")</f>
        <v>Great service !!! Respond to debts very fast !!!</v>
      </c>
    </row>
    <row r="1183" ht="14.25" customHeight="1">
      <c r="A1183" s="1">
        <v>100.0</v>
      </c>
      <c r="B1183" s="1" t="s">
        <v>245</v>
      </c>
      <c r="C1183" s="1">
        <v>10.0</v>
      </c>
      <c r="D1183" s="1" t="s">
        <v>543</v>
      </c>
      <c r="E1183" s="1" t="str">
        <f>IFERROR(__xludf.DUMMYFUNCTION("GOOGLETRANSLATE(D1183,""PT"",""EN"")"),"Best of the best in the world 💖💖")</f>
        <v>Best of the best in the world 💖💖</v>
      </c>
    </row>
    <row r="1184" ht="14.25" customHeight="1">
      <c r="A1184" s="1">
        <v>100.0</v>
      </c>
      <c r="B1184" s="1" t="s">
        <v>245</v>
      </c>
      <c r="C1184" s="1">
        <v>10.0</v>
      </c>
      <c r="D1184" s="1" t="s">
        <v>456</v>
      </c>
      <c r="E1184" s="1" t="str">
        <f>IFERROR(__xludf.DUMMYFUNCTION("GOOGLETRANSLATE(D1184,""PT"",""EN"")"),"service")</f>
        <v>service</v>
      </c>
    </row>
    <row r="1185" ht="14.25" customHeight="1">
      <c r="A1185" s="1">
        <v>100.0</v>
      </c>
      <c r="B1185" s="1" t="s">
        <v>245</v>
      </c>
      <c r="C1185" s="1">
        <v>10.0</v>
      </c>
      <c r="D1185" s="1" t="s">
        <v>6</v>
      </c>
      <c r="E1185" s="1"/>
    </row>
    <row r="1186" ht="14.25" customHeight="1">
      <c r="A1186" s="1">
        <v>100.0</v>
      </c>
      <c r="B1186" s="1" t="s">
        <v>245</v>
      </c>
      <c r="C1186" s="1">
        <v>10.0</v>
      </c>
      <c r="D1186" s="1" t="s">
        <v>6</v>
      </c>
      <c r="E1186" s="1"/>
    </row>
    <row r="1187" ht="14.25" customHeight="1">
      <c r="A1187" s="1">
        <v>33.0</v>
      </c>
      <c r="B1187" s="1" t="s">
        <v>245</v>
      </c>
      <c r="C1187" s="1">
        <v>0.0</v>
      </c>
      <c r="D1187" s="1" t="s">
        <v>544</v>
      </c>
      <c r="E1187" s="1" t="str">
        <f>IFERROR(__xludf.DUMMYFUNCTION("GOOGLETRANSLATE(D1187,""PT"",""EN"")"),"Poor service, sicoob application bad, especially from the consortium.")</f>
        <v>Poor service, sicoob application bad, especially from the consortium.</v>
      </c>
    </row>
    <row r="1188" ht="14.25" customHeight="1">
      <c r="A1188" s="1">
        <v>100.0</v>
      </c>
      <c r="B1188" s="1" t="s">
        <v>245</v>
      </c>
      <c r="C1188" s="1">
        <v>10.0</v>
      </c>
      <c r="D1188" s="1" t="s">
        <v>545</v>
      </c>
      <c r="E1188" s="1" t="str">
        <f>IFERROR(__xludf.DUMMYFUNCTION("GOOGLETRANSLATE(D1188,""PT"",""EN"")"),"Ease of making all transactions")</f>
        <v>Ease of making all transactions</v>
      </c>
    </row>
    <row r="1189" ht="14.25" customHeight="1">
      <c r="A1189" s="1">
        <v>100.0</v>
      </c>
      <c r="B1189" s="1" t="s">
        <v>245</v>
      </c>
      <c r="C1189" s="1">
        <v>9.0</v>
      </c>
      <c r="D1189" s="1" t="s">
        <v>546</v>
      </c>
      <c r="E1189" s="1" t="str">
        <f>IFERROR(__xludf.DUMMYFUNCTION("GOOGLETRANSLATE(D1189,""PT"",""EN"")"),"Because it is a bank of easy access to the services offered to your customer.")</f>
        <v>Because it is a bank of easy access to the services offered to your customer.</v>
      </c>
    </row>
    <row r="1190" ht="14.25" customHeight="1">
      <c r="A1190" s="1">
        <v>33.0</v>
      </c>
      <c r="B1190" s="1" t="s">
        <v>245</v>
      </c>
      <c r="C1190" s="1">
        <v>3.0</v>
      </c>
      <c r="D1190" s="2" t="s">
        <v>547</v>
      </c>
      <c r="E1190" s="1" t="str">
        <f>IFERROR(__xludf.DUMMYFUNCTION("GOOGLETRANSLATE(D1190,""PT"",""EN"")"),"I made a consortium is I was contemplated through bid, a lot of delay to enter the roles of the purchase of the property I left at the agency 3054 day 30/03/23 for employee Eliziane, I made personal complaint to the agency manager Edson is nothing was res"&amp;"olved, It was only entry almost 1 month later, to this day did not pay the customer with 73 days, because by last employee Eliziane of the agency 3054, digitized documents (contract) missing last Paraá where there is seals of the registry office, causing "&amp;"inconvenience is a lot of delay for Payment of the consortium, I think of closing my legal account of this agency, by disappointment, I complained in the ombudsman by the phone where it answered me by email that was on time, if you are normal for me not, "&amp;"I call every day in Brasilia in the area From consortium I follow everything there, where I discovered all this information from my consortium.")</f>
        <v>I made a consortium is I was contemplated through bid, a lot of delay to enter the roles of the purchase of the property I left at the agency 3054 day 30/03/23 for employee Eliziane, I made personal complaint to the agency manager Edson is nothing was resolved, It was only entry almost 1 month later, to this day did not pay the customer with 73 days, because by last employee Eliziane of the agency 3054, digitized documents (contract) missing last Paraá where there is seals of the registry office, causing inconvenience is a lot of delay for Payment of the consortium, I think of closing my legal account of this agency, by disappointment, I complained in the ombudsman by the phone where it answered me by email that was on time, if you are normal for me not, I call every day in Brasilia in the area From consortium I follow everything there, where I discovered all this information from my consortium.</v>
      </c>
    </row>
    <row r="1191" ht="14.25" customHeight="1">
      <c r="A1191" s="1">
        <v>100.0</v>
      </c>
      <c r="B1191" s="1" t="s">
        <v>245</v>
      </c>
      <c r="C1191" s="1">
        <v>10.0</v>
      </c>
      <c r="D1191" s="1" t="s">
        <v>6</v>
      </c>
      <c r="E1191" s="1"/>
    </row>
    <row r="1192" ht="14.25" customHeight="1">
      <c r="A1192" s="1">
        <v>100.0</v>
      </c>
      <c r="B1192" s="1" t="s">
        <v>245</v>
      </c>
      <c r="C1192" s="1">
        <v>9.0</v>
      </c>
      <c r="D1192" s="1" t="s">
        <v>548</v>
      </c>
      <c r="E1192" s="1" t="str">
        <f>IFERROR(__xludf.DUMMYFUNCTION("GOOGLETRANSLATE(D1192,""PT"",""EN"")"),"Only ATM lacks available after 18:00 hs in the city of Indiara")</f>
        <v>Only ATM lacks available after 18:00 hs in the city of Indiara</v>
      </c>
    </row>
    <row r="1193" ht="14.25" customHeight="1">
      <c r="A1193" s="1">
        <v>33.0</v>
      </c>
      <c r="B1193" s="1" t="s">
        <v>245</v>
      </c>
      <c r="C1193" s="1">
        <v>0.0</v>
      </c>
      <c r="D1193" s="1" t="s">
        <v>549</v>
      </c>
      <c r="E1193" s="1" t="str">
        <f>IFERROR(__xludf.DUMMYFUNCTION("GOOGLETRANSLATE(D1193,""PT"",""EN"")"),"Pio of all banks")</f>
        <v>Pio of all banks</v>
      </c>
    </row>
    <row r="1194" ht="14.25" customHeight="1">
      <c r="A1194" s="1">
        <v>100.0</v>
      </c>
      <c r="B1194" s="1" t="s">
        <v>245</v>
      </c>
      <c r="C1194" s="1">
        <v>10.0</v>
      </c>
      <c r="D1194" s="1" t="s">
        <v>550</v>
      </c>
      <c r="E1194" s="1" t="str">
        <f>IFERROR(__xludf.DUMMYFUNCTION("GOOGLETRANSLATE(D1194,""PT"",""EN"")"),"Service, leftover distribution, honesty")</f>
        <v>Service, leftover distribution, honesty</v>
      </c>
    </row>
    <row r="1195" ht="14.25" customHeight="1">
      <c r="A1195" s="1">
        <v>33.0</v>
      </c>
      <c r="B1195" s="1" t="s">
        <v>245</v>
      </c>
      <c r="C1195" s="1">
        <v>3.0</v>
      </c>
      <c r="D1195" s="2" t="s">
        <v>551</v>
      </c>
      <c r="E1195" s="1" t="str">
        <f>IFERROR(__xludf.DUMMYFUNCTION("GOOGLETRANSLATE(D1195,""PT"",""EN"")"),"Our service at the agency was good now is pesse.")</f>
        <v>Our service at the agency was good now is pesse.</v>
      </c>
    </row>
    <row r="1196" ht="14.25" customHeight="1">
      <c r="A1196" s="1">
        <v>100.0</v>
      </c>
      <c r="B1196" s="1" t="s">
        <v>245</v>
      </c>
      <c r="C1196" s="1">
        <v>10.0</v>
      </c>
      <c r="D1196" s="1" t="s">
        <v>6</v>
      </c>
      <c r="E1196" s="1"/>
    </row>
    <row r="1197" ht="14.25" customHeight="1">
      <c r="A1197" s="1">
        <v>100.0</v>
      </c>
      <c r="B1197" s="1" t="s">
        <v>245</v>
      </c>
      <c r="C1197" s="1">
        <v>10.0</v>
      </c>
      <c r="D1197" s="1" t="s">
        <v>552</v>
      </c>
      <c r="E1197" s="1" t="str">
        <f>IFERROR(__xludf.DUMMYFUNCTION("GOOGLETRANSLATE(D1197,""PT"",""EN"")"),"Dedication in customer service")</f>
        <v>Dedication in customer service</v>
      </c>
    </row>
    <row r="1198" ht="14.25" customHeight="1">
      <c r="A1198" s="1">
        <v>66.0</v>
      </c>
      <c r="B1198" s="1" t="s">
        <v>245</v>
      </c>
      <c r="C1198" s="1">
        <v>8.0</v>
      </c>
      <c r="D1198" s="1" t="s">
        <v>6</v>
      </c>
      <c r="E1198" s="1"/>
    </row>
    <row r="1199" ht="14.25" customHeight="1">
      <c r="A1199" s="1">
        <v>66.0</v>
      </c>
      <c r="B1199" s="1" t="s">
        <v>245</v>
      </c>
      <c r="C1199" s="1">
        <v>8.0</v>
      </c>
      <c r="D1199" s="1" t="s">
        <v>6</v>
      </c>
      <c r="E1199" s="1"/>
    </row>
    <row r="1200" ht="14.25" customHeight="1">
      <c r="A1200" s="1">
        <v>66.0</v>
      </c>
      <c r="B1200" s="1" t="s">
        <v>245</v>
      </c>
      <c r="C1200" s="1">
        <v>7.0</v>
      </c>
      <c r="D1200" s="1" t="s">
        <v>6</v>
      </c>
      <c r="E1200" s="1"/>
    </row>
    <row r="1201" ht="14.25" customHeight="1">
      <c r="A1201" s="1">
        <v>100.0</v>
      </c>
      <c r="B1201" s="1" t="s">
        <v>245</v>
      </c>
      <c r="C1201" s="1">
        <v>10.0</v>
      </c>
      <c r="D1201" s="1" t="s">
        <v>6</v>
      </c>
      <c r="E1201" s="1"/>
    </row>
    <row r="1202" ht="14.25" customHeight="1">
      <c r="A1202" s="1">
        <v>100.0</v>
      </c>
      <c r="B1202" s="1" t="s">
        <v>245</v>
      </c>
      <c r="C1202" s="1">
        <v>10.0</v>
      </c>
      <c r="D1202" s="2" t="s">
        <v>553</v>
      </c>
      <c r="E1202" s="1" t="str">
        <f>IFERROR(__xludf.DUMMYFUNCTION("GOOGLETRANSLATE(D1202,""PT"",""EN"")"),"Fast service is attentive.")</f>
        <v>Fast service is attentive.</v>
      </c>
    </row>
    <row r="1203" ht="14.25" customHeight="1">
      <c r="A1203" s="1">
        <v>100.0</v>
      </c>
      <c r="B1203" s="1" t="s">
        <v>245</v>
      </c>
      <c r="C1203" s="1">
        <v>10.0</v>
      </c>
      <c r="D1203" s="2" t="s">
        <v>554</v>
      </c>
      <c r="E1203" s="1" t="str">
        <f>IFERROR(__xludf.DUMMYFUNCTION("GOOGLETRANSLATE(D1203,""PT"",""EN"")"),"The way cooperativism transforms people's lives is phenomenal is the cooperative has besides the values ​​a justice is warmth that we do not find in other institutions.")</f>
        <v>The way cooperativism transforms people's lives is phenomenal is the cooperative has besides the values ​​a justice is warmth that we do not find in other institutions.</v>
      </c>
    </row>
    <row r="1204" ht="14.25" customHeight="1">
      <c r="A1204" s="1">
        <v>66.0</v>
      </c>
      <c r="B1204" s="1" t="s">
        <v>245</v>
      </c>
      <c r="C1204" s="1">
        <v>7.0</v>
      </c>
      <c r="D1204" s="1" t="s">
        <v>555</v>
      </c>
      <c r="E1204" s="1" t="str">
        <f>IFERROR(__xludf.DUMMYFUNCTION("GOOGLETRANSLATE(D1204,""PT"",""EN"")"),"Great service, but it is very wrapped with financing, costs")</f>
        <v>Great service, but it is very wrapped with financing, costs</v>
      </c>
    </row>
    <row r="1205" ht="14.25" customHeight="1">
      <c r="A1205" s="1">
        <v>33.0</v>
      </c>
      <c r="B1205" s="1" t="s">
        <v>245</v>
      </c>
      <c r="C1205" s="1">
        <v>5.0</v>
      </c>
      <c r="D1205" s="2" t="s">
        <v>556</v>
      </c>
      <c r="E1205" s="1" t="str">
        <f>IFERROR(__xludf.DUMMYFUNCTION("GOOGLETRANSLATE(D1205,""PT"",""EN"")"),"I have no contact with representatives.")</f>
        <v>I have no contact with representatives.</v>
      </c>
    </row>
    <row r="1206" ht="14.25" customHeight="1">
      <c r="A1206" s="1">
        <v>100.0</v>
      </c>
      <c r="B1206" s="1" t="s">
        <v>245</v>
      </c>
      <c r="C1206" s="1">
        <v>9.0</v>
      </c>
      <c r="D1206" s="1" t="s">
        <v>6</v>
      </c>
      <c r="E1206" s="1"/>
    </row>
    <row r="1207" ht="14.25" customHeight="1">
      <c r="A1207" s="1">
        <v>33.0</v>
      </c>
      <c r="B1207" s="1" t="s">
        <v>245</v>
      </c>
      <c r="C1207" s="1">
        <v>3.0</v>
      </c>
      <c r="D1207" s="2" t="s">
        <v>557</v>
      </c>
      <c r="E1207" s="1" t="str">
        <f>IFERROR(__xludf.DUMMYFUNCTION("GOOGLETRANSLATE(D1207,""PT"",""EN"")"),"I can not access my account when I have a mobile network, I have no credit limit as I need, time consuming.")</f>
        <v>I can not access my account when I have a mobile network, I have no credit limit as I need, time consuming.</v>
      </c>
    </row>
    <row r="1208" ht="14.25" customHeight="1">
      <c r="A1208" s="1">
        <v>100.0</v>
      </c>
      <c r="B1208" s="1" t="s">
        <v>245</v>
      </c>
      <c r="C1208" s="1">
        <v>10.0</v>
      </c>
      <c r="D1208" s="2" t="s">
        <v>558</v>
      </c>
      <c r="E1208" s="1" t="str">
        <f>IFERROR(__xludf.DUMMYFUNCTION("GOOGLETRANSLATE(D1208,""PT"",""EN"")"),"Service is partnership")</f>
        <v>Service is partnership</v>
      </c>
    </row>
    <row r="1209" ht="14.25" customHeight="1">
      <c r="A1209" s="1">
        <v>100.0</v>
      </c>
      <c r="B1209" s="1" t="s">
        <v>245</v>
      </c>
      <c r="C1209" s="1">
        <v>10.0</v>
      </c>
      <c r="D1209" s="1" t="s">
        <v>6</v>
      </c>
      <c r="E1209" s="1"/>
    </row>
    <row r="1210" ht="14.25" customHeight="1">
      <c r="A1210" s="1">
        <v>33.0</v>
      </c>
      <c r="B1210" s="1" t="s">
        <v>245</v>
      </c>
      <c r="C1210" s="1">
        <v>2.0</v>
      </c>
      <c r="D1210" s="1" t="s">
        <v>6</v>
      </c>
      <c r="E1210" s="1"/>
    </row>
    <row r="1211" ht="14.25" customHeight="1">
      <c r="A1211" s="1">
        <v>100.0</v>
      </c>
      <c r="B1211" s="1" t="s">
        <v>245</v>
      </c>
      <c r="C1211" s="1">
        <v>10.0</v>
      </c>
      <c r="D1211" s="1" t="s">
        <v>6</v>
      </c>
      <c r="E1211" s="1"/>
    </row>
    <row r="1212" ht="14.25" customHeight="1">
      <c r="A1212" s="1">
        <v>100.0</v>
      </c>
      <c r="B1212" s="1" t="s">
        <v>245</v>
      </c>
      <c r="C1212" s="1">
        <v>9.0</v>
      </c>
      <c r="D1212" s="1" t="s">
        <v>559</v>
      </c>
      <c r="E1212" s="1" t="str">
        <f>IFERROR(__xludf.DUMMYFUNCTION("GOOGLETRANSLATE(D1212,""PT"",""EN"")"),"A good bank but it can improve in some aspects")</f>
        <v>A good bank but it can improve in some aspects</v>
      </c>
    </row>
    <row r="1213" ht="14.25" customHeight="1">
      <c r="A1213" s="1">
        <v>100.0</v>
      </c>
      <c r="B1213" s="1" t="s">
        <v>245</v>
      </c>
      <c r="C1213" s="1">
        <v>9.0</v>
      </c>
      <c r="D1213" s="1" t="s">
        <v>6</v>
      </c>
      <c r="E1213" s="1"/>
    </row>
    <row r="1214" ht="14.25" customHeight="1">
      <c r="A1214" s="1">
        <v>33.0</v>
      </c>
      <c r="B1214" s="1" t="s">
        <v>245</v>
      </c>
      <c r="C1214" s="1">
        <v>5.0</v>
      </c>
      <c r="D1214" s="2" t="s">
        <v>560</v>
      </c>
      <c r="E1214" s="1" t="str">
        <f>IFERROR(__xludf.DUMMYFUNCTION("GOOGLETRANSLATE(D1214,""PT"",""EN"")"),"Because in Sicoob the information does not reach no. Example, I made the request for a card is never warned me if it arrived or not, other small details.")</f>
        <v>Because in Sicoob the information does not reach no. Example, I made the request for a card is never warned me if it arrived or not, other small details.</v>
      </c>
    </row>
    <row r="1215" ht="14.25" customHeight="1">
      <c r="A1215" s="1">
        <v>100.0</v>
      </c>
      <c r="B1215" s="1" t="s">
        <v>245</v>
      </c>
      <c r="C1215" s="1">
        <v>10.0</v>
      </c>
      <c r="D1215" s="1" t="s">
        <v>6</v>
      </c>
      <c r="E1215" s="1"/>
    </row>
    <row r="1216" ht="14.25" customHeight="1">
      <c r="A1216" s="1">
        <v>100.0</v>
      </c>
      <c r="B1216" s="1" t="s">
        <v>245</v>
      </c>
      <c r="C1216" s="1">
        <v>10.0</v>
      </c>
      <c r="D1216" s="1" t="s">
        <v>561</v>
      </c>
      <c r="E1216" s="1" t="str">
        <f>IFERROR(__xludf.DUMMYFUNCTION("GOOGLETRANSLATE(D1216,""PT"",""EN"")"),"Excellent customer service.")</f>
        <v>Excellent customer service.</v>
      </c>
    </row>
    <row r="1217" ht="14.25" customHeight="1">
      <c r="A1217" s="1">
        <v>33.0</v>
      </c>
      <c r="B1217" s="1" t="s">
        <v>245</v>
      </c>
      <c r="C1217" s="1">
        <v>1.0</v>
      </c>
      <c r="D1217" s="1" t="s">
        <v>562</v>
      </c>
      <c r="E1217" s="1" t="str">
        <f>IFERROR(__xludf.DUMMYFUNCTION("GOOGLETRANSLATE(D1217,""PT"",""EN"")"),"The manager never responds WhatsApp or call.")</f>
        <v>The manager never responds WhatsApp or call.</v>
      </c>
    </row>
    <row r="1218" ht="14.25" customHeight="1">
      <c r="A1218" s="1">
        <v>100.0</v>
      </c>
      <c r="B1218" s="1" t="s">
        <v>245</v>
      </c>
      <c r="C1218" s="1">
        <v>9.0</v>
      </c>
      <c r="D1218" s="1" t="s">
        <v>6</v>
      </c>
      <c r="E1218" s="1"/>
    </row>
    <row r="1219" ht="14.25" customHeight="1">
      <c r="A1219" s="1">
        <v>100.0</v>
      </c>
      <c r="B1219" s="1" t="s">
        <v>245</v>
      </c>
      <c r="C1219" s="1">
        <v>10.0</v>
      </c>
      <c r="D1219" s="1" t="s">
        <v>6</v>
      </c>
      <c r="E1219" s="1"/>
    </row>
    <row r="1220" ht="14.25" customHeight="1">
      <c r="A1220" s="1">
        <v>100.0</v>
      </c>
      <c r="B1220" s="1" t="s">
        <v>245</v>
      </c>
      <c r="C1220" s="1">
        <v>10.0</v>
      </c>
      <c r="D1220" s="1" t="s">
        <v>6</v>
      </c>
      <c r="E1220" s="1"/>
    </row>
    <row r="1221" ht="14.25" customHeight="1">
      <c r="A1221" s="1">
        <v>33.0</v>
      </c>
      <c r="B1221" s="1" t="s">
        <v>245</v>
      </c>
      <c r="C1221" s="1">
        <v>2.0</v>
      </c>
      <c r="D1221" s="2" t="s">
        <v>563</v>
      </c>
      <c r="E1221" s="1" t="str">
        <f>IFERROR(__xludf.DUMMYFUNCTION("GOOGLETRANSLATE(D1221,""PT"",""EN"")"),"Does not give morale to small customers")</f>
        <v>Does not give morale to small customers</v>
      </c>
    </row>
    <row r="1222" ht="14.25" customHeight="1">
      <c r="A1222" s="1">
        <v>100.0</v>
      </c>
      <c r="B1222" s="1" t="s">
        <v>245</v>
      </c>
      <c r="C1222" s="1">
        <v>10.0</v>
      </c>
      <c r="D1222" s="2" t="s">
        <v>564</v>
      </c>
      <c r="E1222" s="1" t="str">
        <f>IFERROR(__xludf.DUMMYFUNCTION("GOOGLETRANSLATE(D1222,""PT"",""EN"")"),"Agility is cordiality")</f>
        <v>Agility is cordiality</v>
      </c>
    </row>
    <row r="1223" ht="14.25" customHeight="1">
      <c r="A1223" s="1">
        <v>66.0</v>
      </c>
      <c r="B1223" s="1" t="s">
        <v>245</v>
      </c>
      <c r="C1223" s="1">
        <v>7.0</v>
      </c>
      <c r="D1223" s="1" t="s">
        <v>6</v>
      </c>
      <c r="E1223" s="1"/>
    </row>
    <row r="1224" ht="14.25" customHeight="1">
      <c r="A1224" s="1">
        <v>100.0</v>
      </c>
      <c r="B1224" s="1" t="s">
        <v>245</v>
      </c>
      <c r="C1224" s="1">
        <v>10.0</v>
      </c>
      <c r="D1224" s="1" t="s">
        <v>6</v>
      </c>
      <c r="E1224" s="1"/>
    </row>
    <row r="1225" ht="14.25" customHeight="1">
      <c r="A1225" s="1">
        <v>100.0</v>
      </c>
      <c r="B1225" s="1" t="s">
        <v>245</v>
      </c>
      <c r="C1225" s="1">
        <v>10.0</v>
      </c>
      <c r="D1225" s="1" t="s">
        <v>62</v>
      </c>
      <c r="E1225" s="1" t="str">
        <f>IFERROR(__xludf.DUMMYFUNCTION("GOOGLETRANSLATE(D1225,""PT"",""EN"")"),"Good service")</f>
        <v>Good service</v>
      </c>
    </row>
    <row r="1226" ht="14.25" customHeight="1">
      <c r="A1226" s="1">
        <v>100.0</v>
      </c>
      <c r="B1226" s="1" t="s">
        <v>245</v>
      </c>
      <c r="C1226" s="1">
        <v>10.0</v>
      </c>
      <c r="D1226" s="1" t="s">
        <v>85</v>
      </c>
      <c r="E1226" s="1" t="str">
        <f>IFERROR(__xludf.DUMMYFUNCTION("GOOGLETRANSLATE(D1226,""PT"",""EN"")"),"Service")</f>
        <v>Service</v>
      </c>
    </row>
    <row r="1227" ht="14.25" customHeight="1">
      <c r="A1227" s="1">
        <v>100.0</v>
      </c>
      <c r="B1227" s="1" t="s">
        <v>245</v>
      </c>
      <c r="C1227" s="1">
        <v>10.0</v>
      </c>
      <c r="D1227" s="1" t="s">
        <v>6</v>
      </c>
      <c r="E1227" s="1"/>
    </row>
    <row r="1228" ht="14.25" customHeight="1">
      <c r="A1228" s="1">
        <v>100.0</v>
      </c>
      <c r="B1228" s="1" t="s">
        <v>245</v>
      </c>
      <c r="C1228" s="1">
        <v>10.0</v>
      </c>
      <c r="D1228" s="1" t="s">
        <v>565</v>
      </c>
      <c r="E1228" s="1" t="str">
        <f>IFERROR(__xludf.DUMMYFUNCTION("GOOGLETRANSLATE(D1228,""PT"",""EN"")"),"Good service, absence of rates, capital quota")</f>
        <v>Good service, absence of rates, capital quota</v>
      </c>
    </row>
    <row r="1229" ht="14.25" customHeight="1">
      <c r="A1229" s="1">
        <v>100.0</v>
      </c>
      <c r="B1229" s="1" t="s">
        <v>245</v>
      </c>
      <c r="C1229" s="1">
        <v>10.0</v>
      </c>
      <c r="D1229" s="2" t="s">
        <v>566</v>
      </c>
      <c r="E1229" s="1" t="str">
        <f>IFERROR(__xludf.DUMMYFUNCTION("GOOGLETRANSLATE(D1229,""PT"",""EN"")"),"The Sicoob team is grade 10 in the service.")</f>
        <v>The Sicoob team is grade 10 in the service.</v>
      </c>
    </row>
    <row r="1230" ht="14.25" customHeight="1">
      <c r="A1230" s="1">
        <v>100.0</v>
      </c>
      <c r="B1230" s="1" t="s">
        <v>245</v>
      </c>
      <c r="C1230" s="1">
        <v>10.0</v>
      </c>
      <c r="D1230" s="1" t="s">
        <v>20</v>
      </c>
      <c r="E1230" s="1" t="str">
        <f>IFERROR(__xludf.DUMMYFUNCTION("GOOGLETRANSLATE(D1230,""PT"",""EN"")"),"Very good")</f>
        <v>Very good</v>
      </c>
    </row>
    <row r="1231" ht="14.25" customHeight="1">
      <c r="A1231" s="1">
        <v>100.0</v>
      </c>
      <c r="B1231" s="1" t="s">
        <v>245</v>
      </c>
      <c r="C1231" s="1">
        <v>10.0</v>
      </c>
      <c r="D1231" s="1" t="s">
        <v>6</v>
      </c>
      <c r="E1231" s="1"/>
    </row>
    <row r="1232" ht="14.25" customHeight="1">
      <c r="A1232" s="1">
        <v>100.0</v>
      </c>
      <c r="B1232" s="1" t="s">
        <v>245</v>
      </c>
      <c r="C1232" s="1">
        <v>9.0</v>
      </c>
      <c r="D1232" s="1" t="s">
        <v>567</v>
      </c>
      <c r="E1232" s="1" t="str">
        <f>IFERROR(__xludf.DUMMYFUNCTION("GOOGLETRANSLATE(D1232,""PT"",""EN"")"),"The good service !!!")</f>
        <v>The good service !!!</v>
      </c>
    </row>
    <row r="1233" ht="14.25" customHeight="1">
      <c r="A1233" s="1">
        <v>100.0</v>
      </c>
      <c r="B1233" s="1" t="s">
        <v>245</v>
      </c>
      <c r="C1233" s="1">
        <v>9.0</v>
      </c>
      <c r="D1233" s="1" t="s">
        <v>568</v>
      </c>
      <c r="E1233" s="1" t="str">
        <f>IFERROR(__xludf.DUMMYFUNCTION("GOOGLETRANSLATE(D1233,""PT"",""EN"")"),"I like Sicoob")</f>
        <v>I like Sicoob</v>
      </c>
    </row>
    <row r="1234" ht="14.25" customHeight="1">
      <c r="A1234" s="1">
        <v>100.0</v>
      </c>
      <c r="B1234" s="1" t="s">
        <v>245</v>
      </c>
      <c r="C1234" s="1">
        <v>10.0</v>
      </c>
      <c r="D1234" s="1" t="s">
        <v>569</v>
      </c>
      <c r="E1234" s="1" t="str">
        <f>IFERROR(__xludf.DUMMYFUNCTION("GOOGLETRANSLATE(D1234,""PT"",""EN"")"),"The advantages")</f>
        <v>The advantages</v>
      </c>
    </row>
    <row r="1235" ht="14.25" customHeight="1">
      <c r="A1235" s="1">
        <v>100.0</v>
      </c>
      <c r="B1235" s="1" t="s">
        <v>245</v>
      </c>
      <c r="C1235" s="1">
        <v>10.0</v>
      </c>
      <c r="D1235" s="1" t="s">
        <v>570</v>
      </c>
      <c r="E1235" s="1" t="str">
        <f>IFERROR(__xludf.DUMMYFUNCTION("GOOGLETRANSLATE(D1235,""PT"",""EN"")"),"Excelent reception")</f>
        <v>Excelent reception</v>
      </c>
    </row>
    <row r="1236" ht="14.25" customHeight="1">
      <c r="A1236" s="1">
        <v>66.0</v>
      </c>
      <c r="B1236" s="1" t="s">
        <v>245</v>
      </c>
      <c r="C1236" s="1">
        <v>8.0</v>
      </c>
      <c r="D1236" s="1" t="s">
        <v>571</v>
      </c>
      <c r="E1236" s="1" t="str">
        <f>IFERROR(__xludf.DUMMYFUNCTION("GOOGLETRANSLATE(D1236,""PT"",""EN"")"),"The service")</f>
        <v>The service</v>
      </c>
    </row>
    <row r="1237" ht="14.25" customHeight="1">
      <c r="A1237" s="1">
        <v>100.0</v>
      </c>
      <c r="B1237" s="1" t="s">
        <v>245</v>
      </c>
      <c r="C1237" s="1">
        <v>10.0</v>
      </c>
      <c r="D1237" s="1" t="s">
        <v>572</v>
      </c>
      <c r="E1237" s="1" t="str">
        <f>IFERROR(__xludf.DUMMYFUNCTION("GOOGLETRANSLATE(D1237,""PT"",""EN"")"),"I am satisfied")</f>
        <v>I am satisfied</v>
      </c>
    </row>
    <row r="1238" ht="14.25" customHeight="1">
      <c r="A1238" s="1">
        <v>66.0</v>
      </c>
      <c r="B1238" s="1" t="s">
        <v>245</v>
      </c>
      <c r="C1238" s="1">
        <v>8.0</v>
      </c>
      <c r="D1238" s="1" t="s">
        <v>6</v>
      </c>
      <c r="E1238" s="1"/>
    </row>
    <row r="1239" ht="14.25" customHeight="1">
      <c r="A1239" s="1">
        <v>100.0</v>
      </c>
      <c r="B1239" s="1" t="s">
        <v>245</v>
      </c>
      <c r="C1239" s="1">
        <v>10.0</v>
      </c>
      <c r="D1239" s="2" t="s">
        <v>573</v>
      </c>
      <c r="E1239" s="1" t="str">
        <f>IFERROR(__xludf.DUMMYFUNCTION("GOOGLETRANSLATE(D1239,""PT"",""EN"")"),"The note reflects on the good work of employees available to products with attractive fees is the good relationship with their cooperative.")</f>
        <v>The note reflects on the good work of employees available to products with attractive fees is the good relationship with their cooperative.</v>
      </c>
    </row>
    <row r="1240" ht="14.25" customHeight="1">
      <c r="A1240" s="1">
        <v>66.0</v>
      </c>
      <c r="B1240" s="1" t="s">
        <v>245</v>
      </c>
      <c r="C1240" s="1">
        <v>7.0</v>
      </c>
      <c r="D1240" s="1" t="s">
        <v>6</v>
      </c>
      <c r="E1240" s="1"/>
    </row>
    <row r="1241" ht="14.25" customHeight="1">
      <c r="A1241" s="1">
        <v>33.0</v>
      </c>
      <c r="B1241" s="1" t="s">
        <v>245</v>
      </c>
      <c r="C1241" s="1">
        <v>0.0</v>
      </c>
      <c r="D1241" s="2" t="s">
        <v>574</v>
      </c>
      <c r="E1241" s="1" t="str">
        <f>IFERROR(__xludf.DUMMYFUNCTION("GOOGLETRANSLATE(D1241,""PT"",""EN"")"),"A lot of difficulty solving a problem.")</f>
        <v>A lot of difficulty solving a problem.</v>
      </c>
    </row>
    <row r="1242" ht="14.25" customHeight="1">
      <c r="A1242" s="1">
        <v>33.0</v>
      </c>
      <c r="B1242" s="1" t="s">
        <v>245</v>
      </c>
      <c r="C1242" s="1">
        <v>6.0</v>
      </c>
      <c r="D1242" s="2" t="s">
        <v>575</v>
      </c>
      <c r="E1242" s="1" t="str">
        <f>IFERROR(__xludf.DUMMYFUNCTION("GOOGLETRANSLATE(D1242,""PT"",""EN"")"),"I canceled because the service fell a lot, no one wanted to solve anything in my agency, when I went to cancel the account I didn't get a good day when I entered the agency! They need to improve the relationship with the consumer after it became a rural a"&amp;"gency worsened !!")</f>
        <v>I canceled because the service fell a lot, no one wanted to solve anything in my agency, when I went to cancel the account I didn't get a good day when I entered the agency! They need to improve the relationship with the consumer after it became a rural agency worsened !!</v>
      </c>
    </row>
    <row r="1243" ht="14.25" customHeight="1">
      <c r="A1243" s="1">
        <v>100.0</v>
      </c>
      <c r="B1243" s="1" t="s">
        <v>245</v>
      </c>
      <c r="C1243" s="1">
        <v>10.0</v>
      </c>
      <c r="D1243" s="2" t="s">
        <v>576</v>
      </c>
      <c r="E1243" s="1" t="str">
        <f>IFERROR(__xludf.DUMMYFUNCTION("GOOGLETRANSLATE(D1243,""PT"",""EN"")"),"Service is Bank Efficiency")</f>
        <v>Service is Bank Efficiency</v>
      </c>
    </row>
    <row r="1244" ht="14.25" customHeight="1">
      <c r="A1244" s="1">
        <v>100.0</v>
      </c>
      <c r="B1244" s="1" t="s">
        <v>245</v>
      </c>
      <c r="C1244" s="1">
        <v>10.0</v>
      </c>
      <c r="D1244" s="2" t="s">
        <v>577</v>
      </c>
      <c r="E1244" s="1" t="str">
        <f>IFERROR(__xludf.DUMMYFUNCTION("GOOGLETRANSLATE(D1244,""PT"",""EN"")"),"employee service is speed in the opening work of the company")</f>
        <v>employee service is speed in the opening work of the company</v>
      </c>
    </row>
    <row r="1245" ht="14.25" customHeight="1">
      <c r="A1245" s="1">
        <v>100.0</v>
      </c>
      <c r="B1245" s="1" t="s">
        <v>245</v>
      </c>
      <c r="C1245" s="1">
        <v>10.0</v>
      </c>
      <c r="D1245" s="1" t="s">
        <v>578</v>
      </c>
      <c r="E1245" s="1" t="str">
        <f>IFERROR(__xludf.DUMMYFUNCTION("GOOGLETRANSLATE(D1245,""PT"",""EN"")"),"Professionalism")</f>
        <v>Professionalism</v>
      </c>
    </row>
    <row r="1246" ht="14.25" customHeight="1">
      <c r="A1246" s="1">
        <v>100.0</v>
      </c>
      <c r="B1246" s="1" t="s">
        <v>245</v>
      </c>
      <c r="C1246" s="1">
        <v>10.0</v>
      </c>
      <c r="D1246" s="1" t="s">
        <v>6</v>
      </c>
      <c r="E1246" s="1"/>
    </row>
    <row r="1247" ht="14.25" customHeight="1">
      <c r="A1247" s="1">
        <v>100.0</v>
      </c>
      <c r="B1247" s="1" t="s">
        <v>245</v>
      </c>
      <c r="C1247" s="1">
        <v>9.0</v>
      </c>
      <c r="D1247" s="1" t="s">
        <v>6</v>
      </c>
      <c r="E1247" s="1"/>
    </row>
    <row r="1248" ht="14.25" customHeight="1">
      <c r="A1248" s="1">
        <v>100.0</v>
      </c>
      <c r="B1248" s="1" t="s">
        <v>245</v>
      </c>
      <c r="C1248" s="1">
        <v>10.0</v>
      </c>
      <c r="D1248" s="2" t="s">
        <v>579</v>
      </c>
      <c r="E1248" s="1" t="str">
        <f>IFERROR(__xludf.DUMMYFUNCTION("GOOGLETRANSLATE(D1248,""PT"",""EN"")"),"Confidence is service")</f>
        <v>Confidence is service</v>
      </c>
    </row>
    <row r="1249" ht="14.25" customHeight="1">
      <c r="A1249" s="1">
        <v>100.0</v>
      </c>
      <c r="B1249" s="1" t="s">
        <v>245</v>
      </c>
      <c r="C1249" s="1">
        <v>10.0</v>
      </c>
      <c r="D1249" s="1" t="s">
        <v>6</v>
      </c>
      <c r="E1249" s="1"/>
    </row>
    <row r="1250" ht="14.25" customHeight="1">
      <c r="A1250" s="1">
        <v>33.0</v>
      </c>
      <c r="B1250" s="1" t="s">
        <v>245</v>
      </c>
      <c r="C1250" s="1">
        <v>0.0</v>
      </c>
      <c r="D1250" s="1" t="s">
        <v>6</v>
      </c>
      <c r="E1250" s="1"/>
    </row>
    <row r="1251" ht="14.25" customHeight="1">
      <c r="A1251" s="1">
        <v>100.0</v>
      </c>
      <c r="B1251" s="1" t="s">
        <v>245</v>
      </c>
      <c r="C1251" s="1">
        <v>10.0</v>
      </c>
      <c r="D1251" s="1" t="s">
        <v>62</v>
      </c>
      <c r="E1251" s="1" t="str">
        <f>IFERROR(__xludf.DUMMYFUNCTION("GOOGLETRANSLATE(D1251,""PT"",""EN"")"),"Good service")</f>
        <v>Good service</v>
      </c>
    </row>
    <row r="1252" ht="14.25" customHeight="1">
      <c r="A1252" s="1">
        <v>100.0</v>
      </c>
      <c r="B1252" s="1" t="s">
        <v>245</v>
      </c>
      <c r="C1252" s="1">
        <v>9.0</v>
      </c>
      <c r="D1252" s="1" t="s">
        <v>6</v>
      </c>
      <c r="E1252" s="1"/>
    </row>
    <row r="1253" ht="14.25" customHeight="1">
      <c r="A1253" s="1">
        <v>100.0</v>
      </c>
      <c r="B1253" s="1" t="s">
        <v>245</v>
      </c>
      <c r="C1253" s="1">
        <v>10.0</v>
      </c>
      <c r="D1253" s="1" t="s">
        <v>580</v>
      </c>
      <c r="E1253" s="1" t="str">
        <f>IFERROR(__xludf.DUMMYFUNCTION("GOOGLETRANSLATE(D1253,""PT"",""EN"")"),"Care, it is a cooperative bank, thinks differently, the cooperative. All win, share profit.")</f>
        <v>Care, it is a cooperative bank, thinks differently, the cooperative. All win, share profit.</v>
      </c>
    </row>
    <row r="1254" ht="14.25" customHeight="1">
      <c r="A1254" s="1">
        <v>100.0</v>
      </c>
      <c r="B1254" s="1" t="s">
        <v>245</v>
      </c>
      <c r="C1254" s="1">
        <v>10.0</v>
      </c>
      <c r="D1254" s="1" t="s">
        <v>6</v>
      </c>
      <c r="E1254" s="1"/>
    </row>
    <row r="1255" ht="14.25" customHeight="1">
      <c r="A1255" s="1">
        <v>33.0</v>
      </c>
      <c r="B1255" s="1" t="s">
        <v>245</v>
      </c>
      <c r="C1255" s="1">
        <v>0.0</v>
      </c>
      <c r="D1255" s="1" t="s">
        <v>581</v>
      </c>
      <c r="E1255" s="1" t="str">
        <f>IFERROR(__xludf.DUMMYFUNCTION("GOOGLETRANSLATE(D1255,""PT"",""EN"")"),"Excessive automatic connections")</f>
        <v>Excessive automatic connections</v>
      </c>
    </row>
    <row r="1256" ht="14.25" customHeight="1">
      <c r="A1256" s="1">
        <v>100.0</v>
      </c>
      <c r="B1256" s="1" t="s">
        <v>245</v>
      </c>
      <c r="C1256" s="1">
        <v>10.0</v>
      </c>
      <c r="D1256" s="1" t="s">
        <v>6</v>
      </c>
      <c r="E1256" s="1"/>
    </row>
    <row r="1257" ht="14.25" customHeight="1">
      <c r="A1257" s="1">
        <v>100.0</v>
      </c>
      <c r="B1257" s="1" t="s">
        <v>245</v>
      </c>
      <c r="C1257" s="1">
        <v>10.0</v>
      </c>
      <c r="D1257" s="2" t="s">
        <v>582</v>
      </c>
      <c r="E1257" s="1" t="str">
        <f>IFERROR(__xludf.DUMMYFUNCTION("GOOGLETRANSLATE(D1257,""PT"",""EN"")"),"Service is quick solutions.")</f>
        <v>Service is quick solutions.</v>
      </c>
    </row>
    <row r="1258" ht="14.25" customHeight="1">
      <c r="A1258" s="1">
        <v>100.0</v>
      </c>
      <c r="B1258" s="1" t="s">
        <v>245</v>
      </c>
      <c r="C1258" s="1">
        <v>9.0</v>
      </c>
      <c r="D1258" s="1" t="s">
        <v>583</v>
      </c>
      <c r="E1258" s="1" t="str">
        <f>IFERROR(__xludf.DUMMYFUNCTION("GOOGLETRANSLATE(D1258,""PT"",""EN"")"),"I like Sicoob's service")</f>
        <v>I like Sicoob's service</v>
      </c>
    </row>
    <row r="1259" ht="14.25" customHeight="1">
      <c r="A1259" s="1">
        <v>100.0</v>
      </c>
      <c r="B1259" s="1" t="s">
        <v>245</v>
      </c>
      <c r="C1259" s="1">
        <v>10.0</v>
      </c>
      <c r="D1259" s="1" t="s">
        <v>37</v>
      </c>
      <c r="E1259" s="1" t="str">
        <f>IFERROR(__xludf.DUMMYFUNCTION("GOOGLETRANSLATE(D1259,""PT"",""EN"")"),"Great service")</f>
        <v>Great service</v>
      </c>
    </row>
    <row r="1260" ht="14.25" customHeight="1">
      <c r="A1260" s="1">
        <v>100.0</v>
      </c>
      <c r="B1260" s="1" t="s">
        <v>245</v>
      </c>
      <c r="C1260" s="1">
        <v>10.0</v>
      </c>
      <c r="D1260" s="1" t="s">
        <v>584</v>
      </c>
      <c r="E1260" s="1" t="str">
        <f>IFERROR(__xludf.DUMMYFUNCTION("GOOGLETRANSLATE(D1260,""PT"",""EN"")"),"For satisfaction as a client.")</f>
        <v>For satisfaction as a client.</v>
      </c>
    </row>
    <row r="1261" ht="14.25" customHeight="1">
      <c r="A1261" s="1">
        <v>100.0</v>
      </c>
      <c r="B1261" s="1" t="s">
        <v>245</v>
      </c>
      <c r="C1261" s="1">
        <v>10.0</v>
      </c>
      <c r="D1261" s="1" t="s">
        <v>585</v>
      </c>
      <c r="E1261" s="1" t="str">
        <f>IFERROR(__xludf.DUMMYFUNCTION("GOOGLETRANSLATE(D1261,""PT"",""EN"")"),"Great service recommend")</f>
        <v>Great service recommend</v>
      </c>
    </row>
    <row r="1262" ht="14.25" customHeight="1">
      <c r="A1262" s="1">
        <v>100.0</v>
      </c>
      <c r="B1262" s="1" t="s">
        <v>245</v>
      </c>
      <c r="C1262" s="1">
        <v>9.0</v>
      </c>
      <c r="D1262" s="1" t="s">
        <v>6</v>
      </c>
      <c r="E1262" s="1"/>
    </row>
    <row r="1263" ht="14.25" customHeight="1">
      <c r="A1263" s="1">
        <v>100.0</v>
      </c>
      <c r="B1263" s="1" t="s">
        <v>245</v>
      </c>
      <c r="C1263" s="1">
        <v>10.0</v>
      </c>
      <c r="D1263" s="2" t="s">
        <v>586</v>
      </c>
      <c r="E1263" s="1" t="str">
        <f>IFERROR(__xludf.DUMMYFUNCTION("GOOGLETRANSLATE(D1263,""PT"",""EN"")"),"Reception is commitment")</f>
        <v>Reception is commitment</v>
      </c>
    </row>
    <row r="1264" ht="14.25" customHeight="1">
      <c r="A1264" s="1">
        <v>100.0</v>
      </c>
      <c r="B1264" s="1" t="s">
        <v>245</v>
      </c>
      <c r="C1264" s="1">
        <v>9.0</v>
      </c>
      <c r="D1264" s="1" t="s">
        <v>6</v>
      </c>
      <c r="E1264" s="1"/>
    </row>
    <row r="1265" ht="14.25" customHeight="1">
      <c r="A1265" s="1">
        <v>100.0</v>
      </c>
      <c r="B1265" s="1" t="s">
        <v>245</v>
      </c>
      <c r="C1265" s="1">
        <v>10.0</v>
      </c>
      <c r="D1265" s="2" t="s">
        <v>587</v>
      </c>
      <c r="E1265" s="1" t="str">
        <f>IFERROR(__xludf.DUMMYFUNCTION("GOOGLETRANSLATE(D1265,""PT"",""EN"")"),"Credibility, agility is financial viability!")</f>
        <v>Credibility, agility is financial viability!</v>
      </c>
    </row>
    <row r="1266" ht="14.25" customHeight="1">
      <c r="A1266" s="1">
        <v>100.0</v>
      </c>
      <c r="B1266" s="1" t="s">
        <v>245</v>
      </c>
      <c r="C1266" s="1">
        <v>10.0</v>
      </c>
      <c r="D1266" s="1" t="s">
        <v>9</v>
      </c>
      <c r="E1266" s="1" t="str">
        <f>IFERROR(__xludf.DUMMYFUNCTION("GOOGLETRANSLATE(D1266,""PT"",""EN"")"),"10")</f>
        <v>10</v>
      </c>
    </row>
    <row r="1267" ht="14.25" customHeight="1">
      <c r="A1267" s="1">
        <v>100.0</v>
      </c>
      <c r="B1267" s="1" t="s">
        <v>245</v>
      </c>
      <c r="C1267" s="1">
        <v>10.0</v>
      </c>
      <c r="D1267" s="1" t="s">
        <v>85</v>
      </c>
      <c r="E1267" s="1" t="str">
        <f>IFERROR(__xludf.DUMMYFUNCTION("GOOGLETRANSLATE(D1267,""PT"",""EN"")"),"Service")</f>
        <v>Service</v>
      </c>
    </row>
    <row r="1268" ht="14.25" customHeight="1">
      <c r="A1268" s="1">
        <v>33.0</v>
      </c>
      <c r="B1268" s="1" t="s">
        <v>245</v>
      </c>
      <c r="C1268" s="1">
        <v>2.0</v>
      </c>
      <c r="D1268" s="1" t="s">
        <v>6</v>
      </c>
      <c r="E1268" s="1"/>
    </row>
    <row r="1269" ht="14.25" customHeight="1">
      <c r="A1269" s="1">
        <v>33.0</v>
      </c>
      <c r="B1269" s="1" t="s">
        <v>245</v>
      </c>
      <c r="C1269" s="1">
        <v>0.0</v>
      </c>
      <c r="D1269" s="1" t="s">
        <v>6</v>
      </c>
      <c r="E1269" s="1"/>
    </row>
    <row r="1270" ht="14.25" customHeight="1">
      <c r="A1270" s="1">
        <v>33.0</v>
      </c>
      <c r="B1270" s="1" t="s">
        <v>245</v>
      </c>
      <c r="C1270" s="1">
        <v>6.0</v>
      </c>
      <c r="D1270" s="2" t="s">
        <v>588</v>
      </c>
      <c r="E1270" s="1" t="str">
        <f>IFERROR(__xludf.DUMMYFUNCTION("GOOGLETRANSLATE(D1270,""PT"",""EN"")"),"I don't have many complaints, but I think it could have better income rates is the system lives with instability after the changes at the end of last year")</f>
        <v>I don't have many complaints, but I think it could have better income rates is the system lives with instability after the changes at the end of last year</v>
      </c>
    </row>
    <row r="1271" ht="14.25" customHeight="1">
      <c r="A1271" s="1">
        <v>100.0</v>
      </c>
      <c r="B1271" s="1" t="s">
        <v>245</v>
      </c>
      <c r="C1271" s="1">
        <v>10.0</v>
      </c>
      <c r="D1271" s="2" t="s">
        <v>589</v>
      </c>
      <c r="E1271" s="1" t="str">
        <f>IFERROR(__xludf.DUMMYFUNCTION("GOOGLETRANSLATE(D1271,""PT"",""EN"")"),"Low cost is quality service")</f>
        <v>Low cost is quality service</v>
      </c>
    </row>
    <row r="1272" ht="14.25" customHeight="1">
      <c r="A1272" s="1">
        <v>100.0</v>
      </c>
      <c r="B1272" s="1" t="s">
        <v>245</v>
      </c>
      <c r="C1272" s="1">
        <v>10.0</v>
      </c>
      <c r="D1272" s="1" t="s">
        <v>6</v>
      </c>
      <c r="E1272" s="1"/>
    </row>
    <row r="1273" ht="14.25" customHeight="1">
      <c r="A1273" s="1">
        <v>100.0</v>
      </c>
      <c r="B1273" s="1" t="s">
        <v>245</v>
      </c>
      <c r="C1273" s="1">
        <v>9.0</v>
      </c>
      <c r="D1273" s="1" t="s">
        <v>590</v>
      </c>
      <c r="E1273" s="1" t="str">
        <f>IFERROR(__xludf.DUMMYFUNCTION("GOOGLETRANSLATE(D1273,""PT"",""EN"")"),"Always ready with precise clarification thank you")</f>
        <v>Always ready with precise clarification thank you</v>
      </c>
    </row>
    <row r="1274" ht="14.25" customHeight="1">
      <c r="A1274" s="1">
        <v>33.0</v>
      </c>
      <c r="B1274" s="1" t="s">
        <v>245</v>
      </c>
      <c r="C1274" s="1">
        <v>5.0</v>
      </c>
      <c r="D1274" s="1" t="s">
        <v>6</v>
      </c>
      <c r="E1274" s="1"/>
    </row>
    <row r="1275" ht="14.25" customHeight="1">
      <c r="A1275" s="1">
        <v>66.0</v>
      </c>
      <c r="B1275" s="1" t="s">
        <v>245</v>
      </c>
      <c r="C1275" s="1">
        <v>8.0</v>
      </c>
      <c r="D1275" s="1" t="s">
        <v>6</v>
      </c>
      <c r="E1275" s="1"/>
    </row>
    <row r="1276" ht="14.25" customHeight="1">
      <c r="A1276" s="1">
        <v>100.0</v>
      </c>
      <c r="B1276" s="1" t="s">
        <v>245</v>
      </c>
      <c r="C1276" s="1">
        <v>10.0</v>
      </c>
      <c r="D1276" s="1" t="s">
        <v>591</v>
      </c>
      <c r="E1276" s="1" t="str">
        <f>IFERROR(__xludf.DUMMYFUNCTION("GOOGLETRANSLATE(D1276,""PT"",""EN"")"),"Excellent service, agility")</f>
        <v>Excellent service, agility</v>
      </c>
    </row>
    <row r="1277" ht="14.25" customHeight="1">
      <c r="A1277" s="1">
        <v>100.0</v>
      </c>
      <c r="B1277" s="1" t="s">
        <v>245</v>
      </c>
      <c r="C1277" s="1">
        <v>9.0</v>
      </c>
      <c r="D1277" s="1" t="s">
        <v>6</v>
      </c>
      <c r="E1277" s="1"/>
    </row>
    <row r="1278" ht="14.25" customHeight="1">
      <c r="A1278" s="1">
        <v>100.0</v>
      </c>
      <c r="B1278" s="1" t="s">
        <v>245</v>
      </c>
      <c r="C1278" s="1">
        <v>10.0</v>
      </c>
      <c r="D1278" s="1" t="s">
        <v>6</v>
      </c>
      <c r="E1278" s="1"/>
    </row>
    <row r="1279" ht="14.25" customHeight="1">
      <c r="A1279" s="1">
        <v>100.0</v>
      </c>
      <c r="B1279" s="1" t="s">
        <v>245</v>
      </c>
      <c r="C1279" s="1">
        <v>9.0</v>
      </c>
      <c r="D1279" s="2" t="s">
        <v>592</v>
      </c>
      <c r="E1279" s="1" t="str">
        <f>IFERROR(__xludf.DUMMYFUNCTION("GOOGLETRANSLATE(D1279,""PT"",""EN"")"),"Good credit institution")</f>
        <v>Good credit institution</v>
      </c>
    </row>
    <row r="1280" ht="14.25" customHeight="1">
      <c r="A1280" s="1">
        <v>100.0</v>
      </c>
      <c r="B1280" s="1" t="s">
        <v>245</v>
      </c>
      <c r="C1280" s="1">
        <v>10.0</v>
      </c>
      <c r="D1280" s="1" t="s">
        <v>6</v>
      </c>
      <c r="E1280" s="1"/>
    </row>
    <row r="1281" ht="14.25" customHeight="1">
      <c r="A1281" s="1">
        <v>66.0</v>
      </c>
      <c r="B1281" s="1" t="s">
        <v>245</v>
      </c>
      <c r="C1281" s="1">
        <v>8.0</v>
      </c>
      <c r="D1281" s="1" t="s">
        <v>92</v>
      </c>
      <c r="E1281" s="1" t="str">
        <f>IFERROR(__xludf.DUMMYFUNCTION("GOOGLETRANSLATE(D1281,""PT"",""EN"")"),"Top bank")</f>
        <v>Top bank</v>
      </c>
    </row>
    <row r="1282" ht="14.25" customHeight="1">
      <c r="A1282" s="1">
        <v>100.0</v>
      </c>
      <c r="B1282" s="1" t="s">
        <v>245</v>
      </c>
      <c r="C1282" s="1">
        <v>10.0</v>
      </c>
      <c r="D1282" s="1" t="s">
        <v>6</v>
      </c>
      <c r="E1282" s="1"/>
    </row>
    <row r="1283" ht="14.25" customHeight="1">
      <c r="A1283" s="1">
        <v>100.0</v>
      </c>
      <c r="B1283" s="1" t="s">
        <v>245</v>
      </c>
      <c r="C1283" s="1">
        <v>10.0</v>
      </c>
      <c r="D1283" s="1" t="s">
        <v>6</v>
      </c>
      <c r="E1283" s="1"/>
    </row>
    <row r="1284" ht="14.25" customHeight="1">
      <c r="A1284" s="1">
        <v>100.0</v>
      </c>
      <c r="B1284" s="1" t="s">
        <v>245</v>
      </c>
      <c r="C1284" s="1">
        <v>10.0</v>
      </c>
      <c r="D1284" s="1" t="s">
        <v>6</v>
      </c>
      <c r="E1284" s="1"/>
    </row>
    <row r="1285" ht="14.25" customHeight="1">
      <c r="A1285" s="1">
        <v>66.0</v>
      </c>
      <c r="B1285" s="1" t="s">
        <v>245</v>
      </c>
      <c r="C1285" s="1">
        <v>8.0</v>
      </c>
      <c r="D1285" s="1" t="s">
        <v>6</v>
      </c>
      <c r="E1285" s="1"/>
    </row>
    <row r="1286" ht="14.25" customHeight="1">
      <c r="A1286" s="1">
        <v>100.0</v>
      </c>
      <c r="B1286" s="1" t="s">
        <v>245</v>
      </c>
      <c r="C1286" s="1">
        <v>10.0</v>
      </c>
      <c r="D1286" s="1" t="s">
        <v>62</v>
      </c>
      <c r="E1286" s="1" t="str">
        <f>IFERROR(__xludf.DUMMYFUNCTION("GOOGLETRANSLATE(D1286,""PT"",""EN"")"),"Good service")</f>
        <v>Good service</v>
      </c>
    </row>
    <row r="1287" ht="14.25" customHeight="1">
      <c r="A1287" s="1">
        <v>100.0</v>
      </c>
      <c r="B1287" s="1" t="s">
        <v>245</v>
      </c>
      <c r="C1287" s="1">
        <v>10.0</v>
      </c>
      <c r="D1287" s="2" t="s">
        <v>593</v>
      </c>
      <c r="E1287" s="1" t="str">
        <f>IFERROR(__xludf.DUMMYFUNCTION("GOOGLETRANSLATE(D1287,""PT"",""EN"")"),"great service")</f>
        <v>great service</v>
      </c>
    </row>
    <row r="1288" ht="14.25" customHeight="1">
      <c r="A1288" s="1">
        <v>33.0</v>
      </c>
      <c r="B1288" s="1" t="s">
        <v>245</v>
      </c>
      <c r="C1288" s="1">
        <v>0.0</v>
      </c>
      <c r="D1288" s="2" t="s">
        <v>594</v>
      </c>
      <c r="E1288" s="1" t="str">
        <f>IFERROR(__xludf.DUMMYFUNCTION("GOOGLETRANSLATE(D1288,""PT"",""EN"")"),"I couldn't credit myself because I am dissatisfied")</f>
        <v>I couldn't credit myself because I am dissatisfied</v>
      </c>
    </row>
    <row r="1289" ht="14.25" customHeight="1">
      <c r="A1289" s="1">
        <v>100.0</v>
      </c>
      <c r="B1289" s="1" t="s">
        <v>245</v>
      </c>
      <c r="C1289" s="1">
        <v>10.0</v>
      </c>
      <c r="D1289" s="1" t="s">
        <v>6</v>
      </c>
      <c r="E1289" s="1"/>
    </row>
    <row r="1290" ht="14.25" customHeight="1">
      <c r="A1290" s="1">
        <v>33.0</v>
      </c>
      <c r="B1290" s="1" t="s">
        <v>245</v>
      </c>
      <c r="C1290" s="1">
        <v>0.0</v>
      </c>
      <c r="D1290" s="2" t="s">
        <v>595</v>
      </c>
      <c r="E1290" s="1" t="str">
        <f>IFERROR(__xludf.DUMMYFUNCTION("GOOGLETRANSLATE(D1290,""PT"",""EN"")"),"Change of non -warning account without warning, I am paying credit card annuity without receiving card.")</f>
        <v>Change of non -warning account without warning, I am paying credit card annuity without receiving card.</v>
      </c>
    </row>
    <row r="1291" ht="14.25" customHeight="1">
      <c r="A1291" s="1">
        <v>100.0</v>
      </c>
      <c r="B1291" s="1" t="s">
        <v>245</v>
      </c>
      <c r="C1291" s="1">
        <v>10.0</v>
      </c>
      <c r="D1291" s="1" t="s">
        <v>596</v>
      </c>
      <c r="E1291" s="1" t="str">
        <f>IFERROR(__xludf.DUMMYFUNCTION("GOOGLETRANSLATE(D1291,""PT"",""EN"")"),"Totally satisfied.")</f>
        <v>Totally satisfied.</v>
      </c>
    </row>
    <row r="1292" ht="14.25" customHeight="1">
      <c r="A1292" s="1">
        <v>33.0</v>
      </c>
      <c r="B1292" s="1" t="s">
        <v>245</v>
      </c>
      <c r="C1292" s="1">
        <v>2.0</v>
      </c>
      <c r="D1292" s="2" t="s">
        <v>597</v>
      </c>
      <c r="E1292" s="1" t="str">
        <f>IFERROR(__xludf.DUMMYFUNCTION("GOOGLETRANSLATE(D1292,""PT"",""EN"")"),"I gave this note because my checks are coming back by signature error, I already lowered all the checks but the manager did not want to give me more bead.")</f>
        <v>I gave this note because my checks are coming back by signature error, I already lowered all the checks but the manager did not want to give me more bead.</v>
      </c>
    </row>
    <row r="1293" ht="14.25" customHeight="1">
      <c r="A1293" s="1">
        <v>66.0</v>
      </c>
      <c r="B1293" s="1" t="s">
        <v>245</v>
      </c>
      <c r="C1293" s="1">
        <v>8.0</v>
      </c>
      <c r="D1293" s="1" t="s">
        <v>6</v>
      </c>
      <c r="E1293" s="1"/>
    </row>
    <row r="1294" ht="14.25" customHeight="1">
      <c r="A1294" s="1">
        <v>100.0</v>
      </c>
      <c r="B1294" s="1" t="s">
        <v>245</v>
      </c>
      <c r="C1294" s="1">
        <v>10.0</v>
      </c>
      <c r="D1294" s="2" t="s">
        <v>598</v>
      </c>
      <c r="E1294" s="1" t="str">
        <f>IFERROR(__xludf.DUMMYFUNCTION("GOOGLETRANSLATE(D1294,""PT"",""EN"")"),"Transparency is prompt.")</f>
        <v>Transparency is prompt.</v>
      </c>
    </row>
    <row r="1295" ht="14.25" customHeight="1">
      <c r="A1295" s="1">
        <v>100.0</v>
      </c>
      <c r="B1295" s="1" t="s">
        <v>245</v>
      </c>
      <c r="C1295" s="1">
        <v>10.0</v>
      </c>
      <c r="D1295" s="1" t="s">
        <v>599</v>
      </c>
      <c r="E1295" s="1" t="str">
        <f>IFERROR(__xludf.DUMMYFUNCTION("GOOGLETRANSLATE(D1295,""PT"",""EN"")"),"Best institution I've ever worked, even in a few months.")</f>
        <v>Best institution I've ever worked, even in a few months.</v>
      </c>
    </row>
    <row r="1296" ht="14.25" customHeight="1">
      <c r="A1296" s="1">
        <v>100.0</v>
      </c>
      <c r="B1296" s="1" t="s">
        <v>245</v>
      </c>
      <c r="C1296" s="1">
        <v>9.0</v>
      </c>
      <c r="D1296" s="1" t="s">
        <v>6</v>
      </c>
      <c r="E1296" s="1"/>
    </row>
    <row r="1297" ht="14.25" customHeight="1">
      <c r="A1297" s="1">
        <v>66.0</v>
      </c>
      <c r="B1297" s="1" t="s">
        <v>245</v>
      </c>
      <c r="C1297" s="1">
        <v>7.0</v>
      </c>
      <c r="D1297" s="1" t="s">
        <v>6</v>
      </c>
      <c r="E1297" s="1"/>
    </row>
    <row r="1298" ht="14.25" customHeight="1">
      <c r="A1298" s="1">
        <v>100.0</v>
      </c>
      <c r="B1298" s="1" t="s">
        <v>245</v>
      </c>
      <c r="C1298" s="1">
        <v>10.0</v>
      </c>
      <c r="D1298" s="1" t="s">
        <v>6</v>
      </c>
      <c r="E1298" s="1"/>
    </row>
    <row r="1299" ht="14.25" customHeight="1">
      <c r="A1299" s="1">
        <v>100.0</v>
      </c>
      <c r="B1299" s="1" t="s">
        <v>245</v>
      </c>
      <c r="C1299" s="1">
        <v>10.0</v>
      </c>
      <c r="D1299" s="1" t="s">
        <v>600</v>
      </c>
      <c r="E1299" s="1" t="str">
        <f>IFERROR(__xludf.DUMMYFUNCTION("GOOGLETRANSLATE(D1299,""PT"",""EN"")"),"your service")</f>
        <v>your service</v>
      </c>
    </row>
    <row r="1300" ht="14.25" customHeight="1">
      <c r="A1300" s="1">
        <v>100.0</v>
      </c>
      <c r="B1300" s="1" t="s">
        <v>245</v>
      </c>
      <c r="C1300" s="1">
        <v>10.0</v>
      </c>
      <c r="D1300" s="2" t="s">
        <v>601</v>
      </c>
      <c r="E1300" s="1" t="str">
        <f>IFERROR(__xludf.DUMMYFUNCTION("GOOGLETRANSLATE(D1300,""PT"",""EN"")"),"The great service is the attention they have with the customer, to this day I was very well served")</f>
        <v>The great service is the attention they have with the customer, to this day I was very well served</v>
      </c>
    </row>
    <row r="1301" ht="14.25" customHeight="1">
      <c r="A1301" s="1">
        <v>100.0</v>
      </c>
      <c r="B1301" s="1" t="s">
        <v>245</v>
      </c>
      <c r="C1301" s="1">
        <v>10.0</v>
      </c>
      <c r="D1301" s="1" t="s">
        <v>6</v>
      </c>
      <c r="E1301" s="1"/>
    </row>
    <row r="1302" ht="14.25" customHeight="1">
      <c r="A1302" s="1">
        <v>66.0</v>
      </c>
      <c r="B1302" s="1" t="s">
        <v>245</v>
      </c>
      <c r="C1302" s="1">
        <v>7.0</v>
      </c>
      <c r="D1302" s="1" t="s">
        <v>6</v>
      </c>
      <c r="E1302" s="1"/>
    </row>
    <row r="1303" ht="14.25" customHeight="1">
      <c r="A1303" s="1">
        <v>66.0</v>
      </c>
      <c r="B1303" s="1" t="s">
        <v>245</v>
      </c>
      <c r="C1303" s="1">
        <v>7.0</v>
      </c>
      <c r="D1303" s="1" t="s">
        <v>6</v>
      </c>
      <c r="E1303" s="1"/>
    </row>
    <row r="1304" ht="14.25" customHeight="1">
      <c r="A1304" s="1">
        <v>66.0</v>
      </c>
      <c r="B1304" s="1" t="s">
        <v>245</v>
      </c>
      <c r="C1304" s="1">
        <v>8.0</v>
      </c>
      <c r="D1304" s="1" t="s">
        <v>456</v>
      </c>
      <c r="E1304" s="1" t="str">
        <f>IFERROR(__xludf.DUMMYFUNCTION("GOOGLETRANSLATE(D1304,""PT"",""EN"")"),"service")</f>
        <v>service</v>
      </c>
    </row>
    <row r="1305" ht="14.25" customHeight="1">
      <c r="A1305" s="1">
        <v>66.0</v>
      </c>
      <c r="B1305" s="1" t="s">
        <v>245</v>
      </c>
      <c r="C1305" s="1">
        <v>7.0</v>
      </c>
      <c r="D1305" s="1" t="s">
        <v>6</v>
      </c>
      <c r="E1305" s="1"/>
    </row>
    <row r="1306" ht="14.25" customHeight="1">
      <c r="A1306" s="1">
        <v>33.0</v>
      </c>
      <c r="B1306" s="1" t="s">
        <v>245</v>
      </c>
      <c r="C1306" s="1">
        <v>2.0</v>
      </c>
      <c r="D1306" s="1" t="s">
        <v>602</v>
      </c>
      <c r="E1306" s="1" t="str">
        <f>IFERROR(__xludf.DUMMYFUNCTION("GOOGLETRANSLATE(D1306,""PT"",""EN"")"),"Charges before the scheduled day. Excess rate")</f>
        <v>Charges before the scheduled day. Excess rate</v>
      </c>
    </row>
    <row r="1307" ht="14.25" customHeight="1">
      <c r="A1307" s="1">
        <v>100.0</v>
      </c>
      <c r="B1307" s="1" t="s">
        <v>245</v>
      </c>
      <c r="C1307" s="1">
        <v>10.0</v>
      </c>
      <c r="D1307" s="2" t="s">
        <v>603</v>
      </c>
      <c r="E1307" s="1" t="str">
        <f>IFERROR(__xludf.DUMMYFUNCTION("GOOGLETRANSLATE(D1307,""PT"",""EN"")"),"Credi Rural is top")</f>
        <v>Credi Rural is top</v>
      </c>
    </row>
    <row r="1308" ht="14.25" customHeight="1">
      <c r="A1308" s="1">
        <v>100.0</v>
      </c>
      <c r="B1308" s="1" t="s">
        <v>245</v>
      </c>
      <c r="C1308" s="1">
        <v>10.0</v>
      </c>
      <c r="D1308" s="1" t="s">
        <v>6</v>
      </c>
      <c r="E1308" s="1"/>
    </row>
    <row r="1309" ht="14.25" customHeight="1">
      <c r="A1309" s="1">
        <v>33.0</v>
      </c>
      <c r="B1309" s="1" t="s">
        <v>245</v>
      </c>
      <c r="C1309" s="1">
        <v>0.0</v>
      </c>
      <c r="D1309" s="1" t="s">
        <v>6</v>
      </c>
      <c r="E1309" s="1"/>
    </row>
    <row r="1310" ht="14.25" customHeight="1">
      <c r="A1310" s="1">
        <v>100.0</v>
      </c>
      <c r="B1310" s="1" t="s">
        <v>245</v>
      </c>
      <c r="C1310" s="1">
        <v>10.0</v>
      </c>
      <c r="D1310" s="1" t="s">
        <v>37</v>
      </c>
      <c r="E1310" s="1" t="str">
        <f>IFERROR(__xludf.DUMMYFUNCTION("GOOGLETRANSLATE(D1310,""PT"",""EN"")"),"Great service")</f>
        <v>Great service</v>
      </c>
    </row>
    <row r="1311" ht="14.25" customHeight="1">
      <c r="A1311" s="1">
        <v>100.0</v>
      </c>
      <c r="B1311" s="1" t="s">
        <v>245</v>
      </c>
      <c r="C1311" s="1">
        <v>10.0</v>
      </c>
      <c r="D1311" s="1" t="s">
        <v>604</v>
      </c>
      <c r="E1311" s="1" t="str">
        <f>IFERROR(__xludf.DUMMYFUNCTION("GOOGLETRANSLATE(D1311,""PT"",""EN"")"),"Special service")</f>
        <v>Special service</v>
      </c>
    </row>
    <row r="1312" ht="14.25" customHeight="1">
      <c r="A1312" s="1">
        <v>66.0</v>
      </c>
      <c r="B1312" s="1" t="s">
        <v>245</v>
      </c>
      <c r="C1312" s="1">
        <v>8.0</v>
      </c>
      <c r="D1312" s="2" t="s">
        <v>605</v>
      </c>
      <c r="E1312" s="1" t="str">
        <f>IFERROR(__xludf.DUMMYFUNCTION("GOOGLETRANSLATE(D1312,""PT"",""EN"")"),"It is good but it leaves something to be desired when we ask for check.")</f>
        <v>It is good but it leaves something to be desired when we ask for check.</v>
      </c>
    </row>
    <row r="1313" ht="14.25" customHeight="1">
      <c r="A1313" s="1">
        <v>100.0</v>
      </c>
      <c r="B1313" s="1" t="s">
        <v>245</v>
      </c>
      <c r="C1313" s="1">
        <v>10.0</v>
      </c>
      <c r="D1313" s="1" t="s">
        <v>606</v>
      </c>
      <c r="E1313" s="1" t="str">
        <f>IFERROR(__xludf.DUMMYFUNCTION("GOOGLETRANSLATE(D1313,""PT"",""EN"")"),"We have always been well attended by the cooperative")</f>
        <v>We have always been well attended by the cooperative</v>
      </c>
    </row>
    <row r="1314" ht="14.25" customHeight="1">
      <c r="A1314" s="1">
        <v>100.0</v>
      </c>
      <c r="B1314" s="1" t="s">
        <v>245</v>
      </c>
      <c r="C1314" s="1">
        <v>10.0</v>
      </c>
      <c r="D1314" s="1" t="s">
        <v>37</v>
      </c>
      <c r="E1314" s="1" t="str">
        <f>IFERROR(__xludf.DUMMYFUNCTION("GOOGLETRANSLATE(D1314,""PT"",""EN"")"),"Great service")</f>
        <v>Great service</v>
      </c>
    </row>
    <row r="1315" ht="14.25" customHeight="1">
      <c r="A1315" s="1">
        <v>33.0</v>
      </c>
      <c r="B1315" s="1" t="s">
        <v>245</v>
      </c>
      <c r="C1315" s="1">
        <v>2.0</v>
      </c>
      <c r="D1315" s="2" t="s">
        <v>607</v>
      </c>
      <c r="E1315" s="1" t="str">
        <f>IFERROR(__xludf.DUMMYFUNCTION("GOOGLETRANSLATE(D1315,""PT"",""EN"")"),"Much demand, it is nothing resolves.")</f>
        <v>Much demand, it is nothing resolves.</v>
      </c>
    </row>
    <row r="1316" ht="14.25" customHeight="1">
      <c r="A1316" s="1">
        <v>100.0</v>
      </c>
      <c r="B1316" s="1" t="s">
        <v>245</v>
      </c>
      <c r="C1316" s="1">
        <v>10.0</v>
      </c>
      <c r="D1316" s="1" t="s">
        <v>9</v>
      </c>
      <c r="E1316" s="1" t="str">
        <f>IFERROR(__xludf.DUMMYFUNCTION("GOOGLETRANSLATE(D1316,""PT"",""EN"")"),"10")</f>
        <v>10</v>
      </c>
    </row>
    <row r="1317" ht="14.25" customHeight="1">
      <c r="A1317" s="1">
        <v>33.0</v>
      </c>
      <c r="B1317" s="1" t="s">
        <v>245</v>
      </c>
      <c r="C1317" s="1">
        <v>0.0</v>
      </c>
      <c r="D1317" s="1" t="s">
        <v>608</v>
      </c>
      <c r="E1317" s="1" t="str">
        <f>IFERROR(__xludf.DUMMYFUNCTION("GOOGLETRANSLATE(D1317,""PT"",""EN"")"),"All possible reasons")</f>
        <v>All possible reasons</v>
      </c>
    </row>
    <row r="1318" ht="14.25" customHeight="1">
      <c r="A1318" s="1">
        <v>66.0</v>
      </c>
      <c r="B1318" s="1" t="s">
        <v>245</v>
      </c>
      <c r="C1318" s="1">
        <v>8.0</v>
      </c>
      <c r="D1318" s="1" t="s">
        <v>6</v>
      </c>
      <c r="E1318" s="1"/>
    </row>
    <row r="1319" ht="14.25" customHeight="1">
      <c r="A1319" s="1">
        <v>100.0</v>
      </c>
      <c r="B1319" s="1" t="s">
        <v>245</v>
      </c>
      <c r="C1319" s="1">
        <v>10.0</v>
      </c>
      <c r="D1319" s="1" t="s">
        <v>6</v>
      </c>
      <c r="E1319" s="1"/>
    </row>
    <row r="1320" ht="14.25" customHeight="1">
      <c r="A1320" s="1">
        <v>100.0</v>
      </c>
      <c r="B1320" s="1" t="s">
        <v>245</v>
      </c>
      <c r="C1320" s="1">
        <v>9.0</v>
      </c>
      <c r="D1320" s="2" t="s">
        <v>609</v>
      </c>
      <c r="E1320" s="1" t="str">
        <f>IFERROR(__xludf.DUMMYFUNCTION("GOOGLETRANSLATE(D1320,""PT"",""EN"")"),"Transparent institution, cordial staff is with easily accessible communication channels.")</f>
        <v>Transparent institution, cordial staff is with easily accessible communication channels.</v>
      </c>
    </row>
    <row r="1321" ht="14.25" customHeight="1">
      <c r="A1321" s="1">
        <v>100.0</v>
      </c>
      <c r="B1321" s="1" t="s">
        <v>245</v>
      </c>
      <c r="C1321" s="1">
        <v>10.0</v>
      </c>
      <c r="D1321" s="1" t="s">
        <v>6</v>
      </c>
      <c r="E1321" s="1"/>
    </row>
    <row r="1322" ht="14.25" customHeight="1">
      <c r="A1322" s="1">
        <v>100.0</v>
      </c>
      <c r="B1322" s="1" t="s">
        <v>245</v>
      </c>
      <c r="C1322" s="1">
        <v>10.0</v>
      </c>
      <c r="D1322" s="1" t="s">
        <v>9</v>
      </c>
      <c r="E1322" s="1" t="str">
        <f>IFERROR(__xludf.DUMMYFUNCTION("GOOGLETRANSLATE(D1322,""PT"",""EN"")"),"10")</f>
        <v>10</v>
      </c>
    </row>
    <row r="1323" ht="14.25" customHeight="1">
      <c r="A1323" s="1">
        <v>100.0</v>
      </c>
      <c r="B1323" s="1" t="s">
        <v>245</v>
      </c>
      <c r="C1323" s="1">
        <v>10.0</v>
      </c>
      <c r="D1323" s="1" t="s">
        <v>610</v>
      </c>
      <c r="E1323" s="1" t="str">
        <f>IFERROR(__xludf.DUMMYFUNCTION("GOOGLETRANSLATE(D1323,""PT"",""EN"")"),"Good relationship")</f>
        <v>Good relationship</v>
      </c>
    </row>
    <row r="1324" ht="14.25" customHeight="1">
      <c r="A1324" s="1">
        <v>100.0</v>
      </c>
      <c r="B1324" s="1" t="s">
        <v>245</v>
      </c>
      <c r="C1324" s="1">
        <v>10.0</v>
      </c>
      <c r="D1324" s="1" t="s">
        <v>6</v>
      </c>
      <c r="E1324" s="1"/>
    </row>
    <row r="1325" ht="14.25" customHeight="1">
      <c r="A1325" s="1">
        <v>100.0</v>
      </c>
      <c r="B1325" s="1" t="s">
        <v>245</v>
      </c>
      <c r="C1325" s="1">
        <v>10.0</v>
      </c>
      <c r="D1325" s="1" t="s">
        <v>6</v>
      </c>
      <c r="E1325" s="1"/>
    </row>
    <row r="1326" ht="14.25" customHeight="1">
      <c r="A1326" s="1">
        <v>100.0</v>
      </c>
      <c r="B1326" s="1" t="s">
        <v>245</v>
      </c>
      <c r="C1326" s="1">
        <v>10.0</v>
      </c>
      <c r="D1326" s="1" t="s">
        <v>6</v>
      </c>
      <c r="E1326" s="1"/>
    </row>
    <row r="1327" ht="14.25" customHeight="1">
      <c r="A1327" s="1">
        <v>100.0</v>
      </c>
      <c r="B1327" s="1" t="s">
        <v>245</v>
      </c>
      <c r="C1327" s="1">
        <v>10.0</v>
      </c>
      <c r="D1327" s="1" t="s">
        <v>6</v>
      </c>
      <c r="E1327" s="1"/>
    </row>
    <row r="1328" ht="14.25" customHeight="1">
      <c r="A1328" s="1">
        <v>33.0</v>
      </c>
      <c r="B1328" s="1" t="s">
        <v>245</v>
      </c>
      <c r="C1328" s="1">
        <v>0.0</v>
      </c>
      <c r="D1328" s="1" t="s">
        <v>611</v>
      </c>
      <c r="E1328" s="1" t="str">
        <f>IFERROR(__xludf.DUMMYFUNCTION("GOOGLETRANSLATE(D1328,""PT"",""EN"")"),"Bad experience")</f>
        <v>Bad experience</v>
      </c>
    </row>
    <row r="1329" ht="14.25" customHeight="1">
      <c r="A1329" s="1">
        <v>33.0</v>
      </c>
      <c r="B1329" s="1" t="s">
        <v>245</v>
      </c>
      <c r="C1329" s="1">
        <v>1.0</v>
      </c>
      <c r="D1329" s="1" t="s">
        <v>6</v>
      </c>
      <c r="E1329" s="1"/>
    </row>
    <row r="1330" ht="14.25" customHeight="1">
      <c r="A1330" s="1">
        <v>100.0</v>
      </c>
      <c r="B1330" s="1" t="s">
        <v>245</v>
      </c>
      <c r="C1330" s="1">
        <v>10.0</v>
      </c>
      <c r="D1330" s="1" t="s">
        <v>22</v>
      </c>
      <c r="E1330" s="1" t="str">
        <f>IFERROR(__xludf.DUMMYFUNCTION("GOOGLETRANSLATE(D1330,""PT"",""EN"")"),"Excellent service")</f>
        <v>Excellent service</v>
      </c>
    </row>
    <row r="1331" ht="14.25" customHeight="1">
      <c r="A1331" s="1">
        <v>100.0</v>
      </c>
      <c r="B1331" s="1" t="s">
        <v>245</v>
      </c>
      <c r="C1331" s="1">
        <v>10.0</v>
      </c>
      <c r="D1331" s="2" t="s">
        <v>612</v>
      </c>
      <c r="E1331" s="1" t="str">
        <f>IFERROR(__xludf.DUMMYFUNCTION("GOOGLETRANSLATE(D1331,""PT"",""EN"")"),"Excellence in service, good products is reliability.")</f>
        <v>Excellence in service, good products is reliability.</v>
      </c>
    </row>
    <row r="1332" ht="14.25" customHeight="1">
      <c r="A1332" s="1">
        <v>100.0</v>
      </c>
      <c r="B1332" s="1" t="s">
        <v>245</v>
      </c>
      <c r="C1332" s="1">
        <v>10.0</v>
      </c>
      <c r="D1332" s="1" t="s">
        <v>6</v>
      </c>
      <c r="E1332" s="1"/>
    </row>
    <row r="1333" ht="14.25" customHeight="1">
      <c r="A1333" s="1">
        <v>100.0</v>
      </c>
      <c r="B1333" s="1" t="s">
        <v>245</v>
      </c>
      <c r="C1333" s="1">
        <v>9.0</v>
      </c>
      <c r="D1333" s="1" t="s">
        <v>6</v>
      </c>
      <c r="E1333" s="1"/>
    </row>
    <row r="1334" ht="14.25" customHeight="1">
      <c r="A1334" s="1">
        <v>100.0</v>
      </c>
      <c r="B1334" s="1" t="s">
        <v>245</v>
      </c>
      <c r="C1334" s="1">
        <v>10.0</v>
      </c>
      <c r="D1334" s="1" t="s">
        <v>613</v>
      </c>
      <c r="E1334" s="1" t="str">
        <f>IFERROR(__xludf.DUMMYFUNCTION("GOOGLETRANSLATE(D1334,""PT"",""EN"")"),"credibility.")</f>
        <v>credibility.</v>
      </c>
    </row>
    <row r="1335" ht="14.25" customHeight="1">
      <c r="A1335" s="1">
        <v>100.0</v>
      </c>
      <c r="B1335" s="1" t="s">
        <v>245</v>
      </c>
      <c r="C1335" s="1">
        <v>10.0</v>
      </c>
      <c r="D1335" s="1" t="s">
        <v>614</v>
      </c>
      <c r="E1335" s="1" t="str">
        <f>IFERROR(__xludf.DUMMYFUNCTION("GOOGLETRANSLATE(D1335,""PT"",""EN"")"),"Humanized care, respect for the cooperative.")</f>
        <v>Humanized care, respect for the cooperative.</v>
      </c>
    </row>
    <row r="1336" ht="14.25" customHeight="1">
      <c r="A1336" s="1">
        <v>100.0</v>
      </c>
      <c r="B1336" s="1" t="s">
        <v>245</v>
      </c>
      <c r="C1336" s="1">
        <v>10.0</v>
      </c>
      <c r="D1336" s="2" t="s">
        <v>615</v>
      </c>
      <c r="E1336" s="1" t="str">
        <f>IFERROR(__xludf.DUMMYFUNCTION("GOOGLETRANSLATE(D1336,""PT"",""EN"")"),"Efficiency, quality is complicity this is a reason for being from the Sicoob family")</f>
        <v>Efficiency, quality is complicity this is a reason for being from the Sicoob family</v>
      </c>
    </row>
    <row r="1337" ht="14.25" customHeight="1">
      <c r="A1337" s="1">
        <v>100.0</v>
      </c>
      <c r="B1337" s="1" t="s">
        <v>245</v>
      </c>
      <c r="C1337" s="1">
        <v>10.0</v>
      </c>
      <c r="D1337" s="1" t="s">
        <v>6</v>
      </c>
      <c r="E1337" s="1"/>
    </row>
    <row r="1338" ht="14.25" customHeight="1">
      <c r="A1338" s="1">
        <v>100.0</v>
      </c>
      <c r="B1338" s="1" t="s">
        <v>245</v>
      </c>
      <c r="C1338" s="1">
        <v>9.0</v>
      </c>
      <c r="D1338" s="1" t="s">
        <v>616</v>
      </c>
      <c r="E1338" s="1" t="str">
        <f>IFERROR(__xludf.DUMMYFUNCTION("GOOGLETRANSLATE(D1338,""PT"",""EN"")"),"To face -to -face service, cash service.")</f>
        <v>To face -to -face service, cash service.</v>
      </c>
    </row>
    <row r="1339" ht="14.25" customHeight="1">
      <c r="A1339" s="1">
        <v>33.0</v>
      </c>
      <c r="B1339" s="1" t="s">
        <v>245</v>
      </c>
      <c r="C1339" s="1">
        <v>4.0</v>
      </c>
      <c r="D1339" s="2" t="s">
        <v>617</v>
      </c>
      <c r="E1339" s="1" t="str">
        <f>IFERROR(__xludf.DUMMYFUNCTION("GOOGLETRANSLATE(D1339,""PT"",""EN"")"),"Because of the difficulty in being able to credit. It was even sessimo for small values")</f>
        <v>Because of the difficulty in being able to credit. It was even sessimo for small values</v>
      </c>
    </row>
    <row r="1340" ht="14.25" customHeight="1">
      <c r="A1340" s="1">
        <v>100.0</v>
      </c>
      <c r="B1340" s="1" t="s">
        <v>245</v>
      </c>
      <c r="C1340" s="1">
        <v>10.0</v>
      </c>
      <c r="D1340" s="1" t="s">
        <v>618</v>
      </c>
      <c r="E1340" s="1" t="str">
        <f>IFERROR(__xludf.DUMMYFUNCTION("GOOGLETRANSLATE(D1340,""PT"",""EN"")"),"Excellent agency.")</f>
        <v>Excellent agency.</v>
      </c>
    </row>
    <row r="1341" ht="14.25" customHeight="1">
      <c r="A1341" s="1">
        <v>100.0</v>
      </c>
      <c r="B1341" s="1" t="s">
        <v>245</v>
      </c>
      <c r="C1341" s="1">
        <v>10.0</v>
      </c>
      <c r="D1341" s="1" t="s">
        <v>6</v>
      </c>
      <c r="E1341" s="1"/>
    </row>
    <row r="1342" ht="14.25" customHeight="1">
      <c r="A1342" s="1">
        <v>33.0</v>
      </c>
      <c r="B1342" s="1" t="s">
        <v>245</v>
      </c>
      <c r="C1342" s="1">
        <v>5.0</v>
      </c>
      <c r="D1342" s="1" t="s">
        <v>6</v>
      </c>
      <c r="E1342" s="1"/>
    </row>
    <row r="1343" ht="14.25" customHeight="1">
      <c r="A1343" s="1">
        <v>33.0</v>
      </c>
      <c r="B1343" s="1" t="s">
        <v>245</v>
      </c>
      <c r="C1343" s="1">
        <v>0.0</v>
      </c>
      <c r="D1343" s="1" t="s">
        <v>619</v>
      </c>
      <c r="E1343" s="1" t="str">
        <f>IFERROR(__xludf.DUMMYFUNCTION("GOOGLETRANSLATE(D1343,""PT"",""EN"")"),"Disregard in the service provided to the cooperative, if you happen to want to find out of the case you can contact you!")</f>
        <v>Disregard in the service provided to the cooperative, if you happen to want to find out of the case you can contact you!</v>
      </c>
    </row>
    <row r="1344" ht="14.25" customHeight="1">
      <c r="A1344" s="1">
        <v>33.0</v>
      </c>
      <c r="B1344" s="1" t="s">
        <v>245</v>
      </c>
      <c r="C1344" s="1">
        <v>4.0</v>
      </c>
      <c r="D1344" s="2" t="s">
        <v>620</v>
      </c>
      <c r="E1344" s="1" t="str">
        <f>IFERROR(__xludf.DUMMYFUNCTION("GOOGLETRANSLATE(D1344,""PT"",""EN"")"),"I always paid my loans anyway I don't have access to credits I don't like the capitalization policy")</f>
        <v>I always paid my loans anyway I don't have access to credits I don't like the capitalization policy</v>
      </c>
    </row>
    <row r="1345" ht="14.25" customHeight="1">
      <c r="A1345" s="1">
        <v>100.0</v>
      </c>
      <c r="B1345" s="1" t="s">
        <v>245</v>
      </c>
      <c r="C1345" s="1">
        <v>10.0</v>
      </c>
      <c r="D1345" s="1" t="s">
        <v>6</v>
      </c>
      <c r="E1345" s="1"/>
    </row>
    <row r="1346" ht="14.25" customHeight="1">
      <c r="A1346" s="1">
        <v>100.0</v>
      </c>
      <c r="B1346" s="1" t="s">
        <v>245</v>
      </c>
      <c r="C1346" s="1">
        <v>10.0</v>
      </c>
      <c r="D1346" s="1" t="s">
        <v>9</v>
      </c>
      <c r="E1346" s="1" t="str">
        <f>IFERROR(__xludf.DUMMYFUNCTION("GOOGLETRANSLATE(D1346,""PT"",""EN"")"),"10")</f>
        <v>10</v>
      </c>
    </row>
    <row r="1347" ht="14.25" customHeight="1">
      <c r="A1347" s="1">
        <v>33.0</v>
      </c>
      <c r="B1347" s="1" t="s">
        <v>245</v>
      </c>
      <c r="C1347" s="1">
        <v>6.0</v>
      </c>
      <c r="D1347" s="1" t="s">
        <v>621</v>
      </c>
      <c r="E1347" s="1" t="str">
        <f>IFERROR(__xludf.DUMMYFUNCTION("GOOGLETRANSLATE(D1347,""PT"",""EN"")"),"Treatment as a client.")</f>
        <v>Treatment as a client.</v>
      </c>
    </row>
    <row r="1348" ht="14.25" customHeight="1">
      <c r="A1348" s="1">
        <v>100.0</v>
      </c>
      <c r="B1348" s="1" t="s">
        <v>245</v>
      </c>
      <c r="C1348" s="1">
        <v>9.0</v>
      </c>
      <c r="D1348" s="1" t="s">
        <v>622</v>
      </c>
      <c r="E1348" s="1" t="str">
        <f>IFERROR(__xludf.DUMMYFUNCTION("GOOGLETRANSLATE(D1348,""PT"",""EN"")"),"Good service, good relationship")</f>
        <v>Good service, good relationship</v>
      </c>
    </row>
    <row r="1349" ht="14.25" customHeight="1">
      <c r="A1349" s="1">
        <v>66.0</v>
      </c>
      <c r="B1349" s="1" t="s">
        <v>245</v>
      </c>
      <c r="C1349" s="1">
        <v>8.0</v>
      </c>
      <c r="D1349" s="1" t="s">
        <v>6</v>
      </c>
      <c r="E1349" s="1"/>
    </row>
    <row r="1350" ht="14.25" customHeight="1">
      <c r="A1350" s="1">
        <v>66.0</v>
      </c>
      <c r="B1350" s="1" t="s">
        <v>245</v>
      </c>
      <c r="C1350" s="1">
        <v>8.0</v>
      </c>
      <c r="D1350" s="1" t="s">
        <v>6</v>
      </c>
      <c r="E1350" s="1"/>
    </row>
    <row r="1351" ht="14.25" customHeight="1">
      <c r="A1351" s="1">
        <v>100.0</v>
      </c>
      <c r="B1351" s="1" t="s">
        <v>245</v>
      </c>
      <c r="C1351" s="1">
        <v>10.0</v>
      </c>
      <c r="D1351" s="1" t="s">
        <v>6</v>
      </c>
      <c r="E1351" s="1"/>
    </row>
    <row r="1352" ht="14.25" customHeight="1">
      <c r="A1352" s="1">
        <v>66.0</v>
      </c>
      <c r="B1352" s="1" t="s">
        <v>245</v>
      </c>
      <c r="C1352" s="1">
        <v>8.0</v>
      </c>
      <c r="D1352" s="2" t="s">
        <v>623</v>
      </c>
      <c r="E1352" s="1" t="str">
        <f>IFERROR(__xludf.DUMMYFUNCTION("GOOGLETRANSLATE(D1352,""PT"",""EN"")"),"I am very well attended, helpful staff is ready to listen is to help.")</f>
        <v>I am very well attended, helpful staff is ready to listen is to help.</v>
      </c>
    </row>
    <row r="1353" ht="14.25" customHeight="1">
      <c r="A1353" s="1">
        <v>66.0</v>
      </c>
      <c r="B1353" s="1" t="s">
        <v>245</v>
      </c>
      <c r="C1353" s="1">
        <v>8.0</v>
      </c>
      <c r="D1353" s="1" t="s">
        <v>6</v>
      </c>
      <c r="E1353" s="1"/>
    </row>
    <row r="1354" ht="14.25" customHeight="1">
      <c r="A1354" s="1">
        <v>100.0</v>
      </c>
      <c r="B1354" s="1" t="s">
        <v>245</v>
      </c>
      <c r="C1354" s="1">
        <v>10.0</v>
      </c>
      <c r="D1354" s="1" t="s">
        <v>6</v>
      </c>
      <c r="E1354" s="1"/>
    </row>
    <row r="1355" ht="14.25" customHeight="1">
      <c r="A1355" s="1">
        <v>33.0</v>
      </c>
      <c r="B1355" s="1" t="s">
        <v>245</v>
      </c>
      <c r="C1355" s="1">
        <v>6.0</v>
      </c>
      <c r="D1355" s="2" t="s">
        <v>624</v>
      </c>
      <c r="E1355" s="1" t="str">
        <f>IFERROR(__xludf.DUMMYFUNCTION("GOOGLETRANSLATE(D1355,""PT"",""EN"")"),"For my case, a cooperative bank that only offers consortia. Unlike other banks that movement that offers resources, credit lines is other services.")</f>
        <v>For my case, a cooperative bank that only offers consortia. Unlike other banks that movement that offers resources, credit lines is other services.</v>
      </c>
    </row>
    <row r="1356" ht="14.25" customHeight="1">
      <c r="A1356" s="1">
        <v>66.0</v>
      </c>
      <c r="B1356" s="1" t="s">
        <v>245</v>
      </c>
      <c r="C1356" s="1">
        <v>8.0</v>
      </c>
      <c r="D1356" s="1" t="s">
        <v>6</v>
      </c>
      <c r="E1356" s="1"/>
    </row>
    <row r="1357" ht="14.25" customHeight="1">
      <c r="A1357" s="1">
        <v>100.0</v>
      </c>
      <c r="B1357" s="1" t="s">
        <v>245</v>
      </c>
      <c r="C1357" s="1">
        <v>10.0</v>
      </c>
      <c r="D1357" s="2" t="s">
        <v>625</v>
      </c>
      <c r="E1357" s="1" t="str">
        <f>IFERROR(__xludf.DUMMYFUNCTION("GOOGLETRANSLATE(D1357,""PT"",""EN"")"),"Treatment with people is excellent, treats the rich is the poor in the same way")</f>
        <v>Treatment with people is excellent, treats the rich is the poor in the same way</v>
      </c>
    </row>
    <row r="1358" ht="14.25" customHeight="1">
      <c r="A1358" s="1">
        <v>100.0</v>
      </c>
      <c r="B1358" s="1" t="s">
        <v>245</v>
      </c>
      <c r="C1358" s="1">
        <v>10.0</v>
      </c>
      <c r="D1358" s="1" t="s">
        <v>626</v>
      </c>
      <c r="E1358" s="1" t="str">
        <f>IFERROR(__xludf.DUMMYFUNCTION("GOOGLETRANSLATE(D1358,""PT"",""EN"")"),"Great service.")</f>
        <v>Great service.</v>
      </c>
    </row>
    <row r="1359" ht="14.25" customHeight="1">
      <c r="A1359" s="1">
        <v>66.0</v>
      </c>
      <c r="B1359" s="1" t="s">
        <v>245</v>
      </c>
      <c r="C1359" s="1">
        <v>7.0</v>
      </c>
      <c r="D1359" s="2" t="s">
        <v>627</v>
      </c>
      <c r="E1359" s="1" t="str">
        <f>IFERROR(__xludf.DUMMYFUNCTION("GOOGLETRANSLATE(D1359,""PT"",""EN"")"),"Good bank, for/make payroll loan")</f>
        <v>Good bank, for/make payroll loan</v>
      </c>
    </row>
    <row r="1360" ht="14.25" customHeight="1">
      <c r="A1360" s="1">
        <v>100.0</v>
      </c>
      <c r="B1360" s="1" t="s">
        <v>245</v>
      </c>
      <c r="C1360" s="1">
        <v>9.0</v>
      </c>
      <c r="D1360" s="1" t="s">
        <v>6</v>
      </c>
      <c r="E1360" s="1"/>
    </row>
    <row r="1361" ht="14.25" customHeight="1">
      <c r="A1361" s="1">
        <v>100.0</v>
      </c>
      <c r="B1361" s="1" t="s">
        <v>245</v>
      </c>
      <c r="C1361" s="1">
        <v>10.0</v>
      </c>
      <c r="D1361" s="2" t="s">
        <v>628</v>
      </c>
      <c r="E1361" s="1" t="str">
        <f>IFERROR(__xludf.DUMMYFUNCTION("GOOGLETRANSLATE(D1361,""PT"",""EN"")"),"Great service, it's excellent max")</f>
        <v>Great service, it's excellent max</v>
      </c>
    </row>
    <row r="1362" ht="14.25" customHeight="1">
      <c r="A1362" s="1">
        <v>100.0</v>
      </c>
      <c r="B1362" s="1" t="s">
        <v>245</v>
      </c>
      <c r="C1362" s="1">
        <v>10.0</v>
      </c>
      <c r="D1362" s="1" t="s">
        <v>6</v>
      </c>
      <c r="E1362" s="1"/>
    </row>
    <row r="1363" ht="14.25" customHeight="1">
      <c r="A1363" s="1">
        <v>100.0</v>
      </c>
      <c r="B1363" s="1" t="s">
        <v>245</v>
      </c>
      <c r="C1363" s="1">
        <v>9.0</v>
      </c>
      <c r="D1363" s="2" t="s">
        <v>629</v>
      </c>
      <c r="E1363" s="1" t="str">
        <f>IFERROR(__xludf.DUMMYFUNCTION("GOOGLETRANSLATE(D1363,""PT"",""EN"")"),"Sometimes pix does not work, consortium is financing does not match the values ​​of houses today in Jataí.")</f>
        <v>Sometimes pix does not work, consortium is financing does not match the values ​​of houses today in Jataí.</v>
      </c>
    </row>
    <row r="1364" ht="14.25" customHeight="1">
      <c r="A1364" s="1">
        <v>66.0</v>
      </c>
      <c r="B1364" s="1" t="s">
        <v>245</v>
      </c>
      <c r="C1364" s="1">
        <v>8.0</v>
      </c>
      <c r="D1364" s="1" t="s">
        <v>6</v>
      </c>
      <c r="E1364" s="1"/>
    </row>
    <row r="1365" ht="14.25" customHeight="1">
      <c r="A1365" s="1">
        <v>100.0</v>
      </c>
      <c r="B1365" s="1" t="s">
        <v>245</v>
      </c>
      <c r="C1365" s="1">
        <v>10.0</v>
      </c>
      <c r="D1365" s="2" t="s">
        <v>630</v>
      </c>
      <c r="E1365" s="1" t="str">
        <f>IFERROR(__xludf.DUMMYFUNCTION("GOOGLETRANSLATE(D1365,""PT"",""EN"")"),"A customer partner bank, satisfaction, service is great products.")</f>
        <v>A customer partner bank, satisfaction, service is great products.</v>
      </c>
    </row>
    <row r="1366" ht="14.25" customHeight="1">
      <c r="A1366" s="1">
        <v>100.0</v>
      </c>
      <c r="B1366" s="1" t="s">
        <v>245</v>
      </c>
      <c r="C1366" s="1">
        <v>10.0</v>
      </c>
      <c r="D1366" s="1" t="s">
        <v>631</v>
      </c>
      <c r="E1366" s="1" t="str">
        <f>IFERROR(__xludf.DUMMYFUNCTION("GOOGLETRANSLATE(D1366,""PT"",""EN"")"),"Good service")</f>
        <v>Good service</v>
      </c>
    </row>
    <row r="1367" ht="14.25" customHeight="1">
      <c r="A1367" s="1">
        <v>100.0</v>
      </c>
      <c r="B1367" s="1" t="s">
        <v>245</v>
      </c>
      <c r="C1367" s="1">
        <v>10.0</v>
      </c>
      <c r="D1367" s="1" t="s">
        <v>632</v>
      </c>
      <c r="E1367" s="1" t="str">
        <f>IFERROR(__xludf.DUMMYFUNCTION("GOOGLETRANSLATE(D1367,""PT"",""EN"")"),"at the")</f>
        <v>at the</v>
      </c>
    </row>
    <row r="1368" ht="14.25" customHeight="1">
      <c r="A1368" s="1">
        <v>100.0</v>
      </c>
      <c r="B1368" s="1" t="s">
        <v>245</v>
      </c>
      <c r="C1368" s="1">
        <v>10.0</v>
      </c>
      <c r="D1368" s="2" t="s">
        <v>633</v>
      </c>
      <c r="E1368" s="1" t="str">
        <f>IFERROR(__xludf.DUMMYFUNCTION("GOOGLETRANSLATE(D1368,""PT"",""EN"")"),"Practicality in access is in service.")</f>
        <v>Practicality in access is in service.</v>
      </c>
    </row>
    <row r="1369" ht="14.25" customHeight="1">
      <c r="A1369" s="1">
        <v>100.0</v>
      </c>
      <c r="B1369" s="1" t="s">
        <v>245</v>
      </c>
      <c r="C1369" s="1">
        <v>10.0</v>
      </c>
      <c r="D1369" s="1" t="s">
        <v>6</v>
      </c>
      <c r="E1369" s="1"/>
    </row>
    <row r="1370" ht="14.25" customHeight="1">
      <c r="A1370" s="1">
        <v>33.0</v>
      </c>
      <c r="B1370" s="1" t="s">
        <v>245</v>
      </c>
      <c r="C1370" s="1">
        <v>1.0</v>
      </c>
      <c r="D1370" s="1" t="s">
        <v>6</v>
      </c>
      <c r="E1370" s="1"/>
    </row>
    <row r="1371" ht="14.25" customHeight="1">
      <c r="A1371" s="1">
        <v>33.0</v>
      </c>
      <c r="B1371" s="1" t="s">
        <v>245</v>
      </c>
      <c r="C1371" s="1">
        <v>5.0</v>
      </c>
      <c r="D1371" s="1" t="s">
        <v>6</v>
      </c>
      <c r="E1371" s="1"/>
    </row>
    <row r="1372" ht="14.25" customHeight="1">
      <c r="A1372" s="1">
        <v>33.0</v>
      </c>
      <c r="B1372" s="1" t="s">
        <v>245</v>
      </c>
      <c r="C1372" s="1">
        <v>5.0</v>
      </c>
      <c r="D1372" s="1" t="s">
        <v>6</v>
      </c>
      <c r="E1372" s="1"/>
    </row>
    <row r="1373" ht="14.25" customHeight="1">
      <c r="A1373" s="1">
        <v>100.0</v>
      </c>
      <c r="B1373" s="1" t="s">
        <v>245</v>
      </c>
      <c r="C1373" s="1">
        <v>10.0</v>
      </c>
      <c r="D1373" s="1" t="s">
        <v>6</v>
      </c>
      <c r="E1373" s="1"/>
    </row>
    <row r="1374" ht="14.25" customHeight="1">
      <c r="A1374" s="1">
        <v>100.0</v>
      </c>
      <c r="B1374" s="1" t="s">
        <v>245</v>
      </c>
      <c r="C1374" s="1">
        <v>10.0</v>
      </c>
      <c r="D1374" s="1" t="s">
        <v>9</v>
      </c>
      <c r="E1374" s="1" t="str">
        <f>IFERROR(__xludf.DUMMYFUNCTION("GOOGLETRANSLATE(D1374,""PT"",""EN"")"),"10")</f>
        <v>10</v>
      </c>
    </row>
    <row r="1375" ht="14.25" customHeight="1">
      <c r="A1375" s="1">
        <v>100.0</v>
      </c>
      <c r="B1375" s="1" t="s">
        <v>245</v>
      </c>
      <c r="C1375" s="1">
        <v>10.0</v>
      </c>
      <c r="D1375" s="1" t="s">
        <v>634</v>
      </c>
      <c r="E1375" s="1" t="str">
        <f>IFERROR(__xludf.DUMMYFUNCTION("GOOGLETRANSLATE(D1375,""PT"",""EN"")"),"Excellent professional")</f>
        <v>Excellent professional</v>
      </c>
    </row>
    <row r="1376" ht="14.25" customHeight="1">
      <c r="A1376" s="1">
        <v>100.0</v>
      </c>
      <c r="B1376" s="1" t="s">
        <v>245</v>
      </c>
      <c r="C1376" s="1">
        <v>10.0</v>
      </c>
      <c r="D1376" s="1" t="s">
        <v>6</v>
      </c>
      <c r="E1376" s="1"/>
    </row>
    <row r="1377" ht="14.25" customHeight="1">
      <c r="A1377" s="1">
        <v>100.0</v>
      </c>
      <c r="B1377" s="1" t="s">
        <v>245</v>
      </c>
      <c r="C1377" s="1">
        <v>9.0</v>
      </c>
      <c r="D1377" s="1" t="s">
        <v>6</v>
      </c>
      <c r="E1377" s="1"/>
    </row>
    <row r="1378" ht="14.25" customHeight="1">
      <c r="A1378" s="1">
        <v>33.0</v>
      </c>
      <c r="B1378" s="1" t="s">
        <v>245</v>
      </c>
      <c r="C1378" s="1">
        <v>4.0</v>
      </c>
      <c r="D1378" s="1" t="s">
        <v>635</v>
      </c>
      <c r="E1378" s="1" t="str">
        <f>IFERROR(__xludf.DUMMYFUNCTION("GOOGLETRANSLATE(D1378,""PT"",""EN"")"),"Optimization Difficulty")</f>
        <v>Optimization Difficulty</v>
      </c>
    </row>
    <row r="1379" ht="14.25" customHeight="1">
      <c r="A1379" s="1">
        <v>100.0</v>
      </c>
      <c r="B1379" s="1" t="s">
        <v>245</v>
      </c>
      <c r="C1379" s="1">
        <v>10.0</v>
      </c>
      <c r="D1379" s="1" t="s">
        <v>6</v>
      </c>
      <c r="E1379" s="1"/>
    </row>
    <row r="1380" ht="14.25" customHeight="1">
      <c r="A1380" s="1">
        <v>100.0</v>
      </c>
      <c r="B1380" s="1" t="s">
        <v>245</v>
      </c>
      <c r="C1380" s="1">
        <v>10.0</v>
      </c>
      <c r="D1380" s="1" t="s">
        <v>6</v>
      </c>
      <c r="E1380" s="1"/>
    </row>
    <row r="1381" ht="14.25" customHeight="1">
      <c r="A1381" s="1">
        <v>100.0</v>
      </c>
      <c r="B1381" s="1" t="s">
        <v>245</v>
      </c>
      <c r="C1381" s="1">
        <v>9.0</v>
      </c>
      <c r="D1381" s="2" t="s">
        <v>636</v>
      </c>
      <c r="E1381" s="1" t="str">
        <f>IFERROR(__xludf.DUMMYFUNCTION("GOOGLETRANSLATE(D1381,""PT"",""EN"")"),"Cooperative is the new sustainable financial business model, which supports it is supplied the needs of local society.")</f>
        <v>Cooperative is the new sustainable financial business model, which supports it is supplied the needs of local society.</v>
      </c>
    </row>
    <row r="1382" ht="14.25" customHeight="1">
      <c r="A1382" s="1">
        <v>100.0</v>
      </c>
      <c r="B1382" s="1" t="s">
        <v>245</v>
      </c>
      <c r="C1382" s="1">
        <v>10.0</v>
      </c>
      <c r="D1382" s="1" t="s">
        <v>6</v>
      </c>
      <c r="E1382" s="1"/>
    </row>
    <row r="1383" ht="14.25" customHeight="1">
      <c r="A1383" s="1">
        <v>33.0</v>
      </c>
      <c r="B1383" s="1" t="s">
        <v>245</v>
      </c>
      <c r="C1383" s="1">
        <v>3.0</v>
      </c>
      <c r="D1383" s="2" t="s">
        <v>637</v>
      </c>
      <c r="E1383" s="1" t="str">
        <f>IFERROR(__xludf.DUMMYFUNCTION("GOOGLETRANSLATE(D1383,""PT"",""EN"")"),"extreme bureaucracy, there is no information differences within the bank")</f>
        <v>extreme bureaucracy, there is no information differences within the bank</v>
      </c>
    </row>
    <row r="1384" ht="14.25" customHeight="1">
      <c r="A1384" s="1">
        <v>66.0</v>
      </c>
      <c r="B1384" s="1" t="s">
        <v>245</v>
      </c>
      <c r="C1384" s="1">
        <v>8.0</v>
      </c>
      <c r="D1384" s="2" t="s">
        <v>638</v>
      </c>
      <c r="E1384" s="1" t="str">
        <f>IFERROR(__xludf.DUMMYFUNCTION("GOOGLETRANSLATE(D1384,""PT"",""EN"")"),"Help is good costs")</f>
        <v>Help is good costs</v>
      </c>
    </row>
    <row r="1385" ht="14.25" customHeight="1">
      <c r="A1385" s="1">
        <v>100.0</v>
      </c>
      <c r="B1385" s="1" t="s">
        <v>245</v>
      </c>
      <c r="C1385" s="1">
        <v>10.0</v>
      </c>
      <c r="D1385" s="2" t="s">
        <v>639</v>
      </c>
      <c r="E1385" s="1" t="str">
        <f>IFERROR(__xludf.DUMMYFUNCTION("GOOGLETRANSLATE(D1385,""PT"",""EN"")"),"Such dedication of employees in general is commitment to resolve issues, not in another institution with this unknowing partnership is that motivates us to continue to be cooperated.")</f>
        <v>Such dedication of employees in general is commitment to resolve issues, not in another institution with this unknowing partnership is that motivates us to continue to be cooperated.</v>
      </c>
    </row>
    <row r="1386" ht="14.25" customHeight="1">
      <c r="A1386" s="1">
        <v>100.0</v>
      </c>
      <c r="B1386" s="1" t="s">
        <v>245</v>
      </c>
      <c r="C1386" s="1">
        <v>9.0</v>
      </c>
      <c r="D1386" s="2" t="s">
        <v>640</v>
      </c>
      <c r="E1386" s="1" t="str">
        <f>IFERROR(__xludf.DUMMYFUNCTION("GOOGLETRANSLATE(D1386,""PT"",""EN"")"),"just don't give 10 because the manager deserves a 0")</f>
        <v>just don't give 10 because the manager deserves a 0</v>
      </c>
    </row>
    <row r="1387" ht="14.25" customHeight="1">
      <c r="A1387" s="1">
        <v>100.0</v>
      </c>
      <c r="B1387" s="1" t="s">
        <v>245</v>
      </c>
      <c r="C1387" s="1">
        <v>10.0</v>
      </c>
      <c r="D1387" s="1" t="s">
        <v>6</v>
      </c>
      <c r="E1387" s="1"/>
    </row>
    <row r="1388" ht="14.25" customHeight="1">
      <c r="A1388" s="1">
        <v>100.0</v>
      </c>
      <c r="B1388" s="1" t="s">
        <v>245</v>
      </c>
      <c r="C1388" s="1">
        <v>10.0</v>
      </c>
      <c r="D1388" s="1" t="s">
        <v>641</v>
      </c>
      <c r="E1388" s="1" t="str">
        <f>IFERROR(__xludf.DUMMYFUNCTION("GOOGLETRANSLATE(D1388,""PT"",""EN"")"),"The attention of employees.")</f>
        <v>The attention of employees.</v>
      </c>
    </row>
    <row r="1389" ht="14.25" customHeight="1">
      <c r="A1389" s="1">
        <v>100.0</v>
      </c>
      <c r="B1389" s="1" t="s">
        <v>245</v>
      </c>
      <c r="C1389" s="1">
        <v>10.0</v>
      </c>
      <c r="D1389" s="1" t="s">
        <v>6</v>
      </c>
      <c r="E1389" s="1"/>
    </row>
    <row r="1390" ht="14.25" customHeight="1">
      <c r="A1390" s="1">
        <v>33.0</v>
      </c>
      <c r="B1390" s="1" t="s">
        <v>245</v>
      </c>
      <c r="C1390" s="1">
        <v>2.0</v>
      </c>
      <c r="D1390" s="1" t="s">
        <v>642</v>
      </c>
      <c r="E1390" s="1" t="str">
        <f>IFERROR(__xludf.DUMMYFUNCTION("GOOGLETRANSLATE(D1390,""PT"",""EN"")"),"Negotiation")</f>
        <v>Negotiation</v>
      </c>
    </row>
    <row r="1391" ht="14.25" customHeight="1">
      <c r="A1391" s="1">
        <v>100.0</v>
      </c>
      <c r="B1391" s="1" t="s">
        <v>245</v>
      </c>
      <c r="C1391" s="1">
        <v>9.0</v>
      </c>
      <c r="D1391" s="1" t="s">
        <v>6</v>
      </c>
      <c r="E1391" s="1"/>
    </row>
    <row r="1392" ht="14.25" customHeight="1">
      <c r="A1392" s="1">
        <v>100.0</v>
      </c>
      <c r="B1392" s="1" t="s">
        <v>245</v>
      </c>
      <c r="C1392" s="1">
        <v>10.0</v>
      </c>
      <c r="D1392" s="2" t="s">
        <v>643</v>
      </c>
      <c r="E1392" s="1" t="str">
        <f>IFERROR(__xludf.DUMMYFUNCTION("GOOGLETRANSLATE(D1392,""PT"",""EN"")"),"Excellent service is excellent products")</f>
        <v>Excellent service is excellent products</v>
      </c>
    </row>
    <row r="1393" ht="14.25" customHeight="1">
      <c r="A1393" s="1">
        <v>100.0</v>
      </c>
      <c r="B1393" s="1" t="s">
        <v>245</v>
      </c>
      <c r="C1393" s="1">
        <v>9.0</v>
      </c>
      <c r="D1393" s="1" t="s">
        <v>6</v>
      </c>
      <c r="E1393" s="1"/>
    </row>
    <row r="1394" ht="14.25" customHeight="1">
      <c r="A1394" s="1">
        <v>100.0</v>
      </c>
      <c r="B1394" s="1" t="s">
        <v>245</v>
      </c>
      <c r="C1394" s="1">
        <v>10.0</v>
      </c>
      <c r="D1394" s="2" t="s">
        <v>644</v>
      </c>
      <c r="E1394" s="1" t="str">
        <f>IFERROR(__xludf.DUMMYFUNCTION("GOOGLETRANSLATE(D1394,""PT"",""EN"")"),"Great bank.")</f>
        <v>Great bank.</v>
      </c>
    </row>
    <row r="1395" ht="14.25" customHeight="1">
      <c r="A1395" s="1">
        <v>100.0</v>
      </c>
      <c r="B1395" s="1" t="s">
        <v>245</v>
      </c>
      <c r="C1395" s="1">
        <v>10.0</v>
      </c>
      <c r="D1395" s="1" t="s">
        <v>6</v>
      </c>
      <c r="E1395" s="1"/>
    </row>
    <row r="1396" ht="14.25" customHeight="1">
      <c r="A1396" s="1">
        <v>100.0</v>
      </c>
      <c r="B1396" s="1" t="s">
        <v>245</v>
      </c>
      <c r="C1396" s="1">
        <v>10.0</v>
      </c>
      <c r="D1396" s="1" t="s">
        <v>645</v>
      </c>
      <c r="E1396" s="1" t="str">
        <f>IFERROR(__xludf.DUMMYFUNCTION("GOOGLETRANSLATE(D1396,""PT"",""EN"")"),"Partnership.")</f>
        <v>Partnership.</v>
      </c>
    </row>
    <row r="1397" ht="14.25" customHeight="1">
      <c r="A1397" s="1">
        <v>100.0</v>
      </c>
      <c r="B1397" s="1" t="s">
        <v>245</v>
      </c>
      <c r="C1397" s="1">
        <v>10.0</v>
      </c>
      <c r="D1397" s="1" t="s">
        <v>6</v>
      </c>
      <c r="E1397" s="1"/>
    </row>
    <row r="1398" ht="14.25" customHeight="1">
      <c r="A1398" s="1">
        <v>100.0</v>
      </c>
      <c r="B1398" s="1" t="s">
        <v>245</v>
      </c>
      <c r="C1398" s="1">
        <v>10.0</v>
      </c>
      <c r="D1398" s="1" t="s">
        <v>646</v>
      </c>
      <c r="E1398" s="1" t="str">
        <f>IFERROR(__xludf.DUMMYFUNCTION("GOOGLETRANSLATE(D1398,""PT"",""EN"")"),"special service")</f>
        <v>special service</v>
      </c>
    </row>
    <row r="1399" ht="14.25" customHeight="1">
      <c r="A1399" s="1">
        <v>100.0</v>
      </c>
      <c r="B1399" s="1" t="s">
        <v>245</v>
      </c>
      <c r="C1399" s="1">
        <v>10.0</v>
      </c>
      <c r="D1399" s="1" t="s">
        <v>85</v>
      </c>
      <c r="E1399" s="1" t="str">
        <f>IFERROR(__xludf.DUMMYFUNCTION("GOOGLETRANSLATE(D1399,""PT"",""EN"")"),"Service")</f>
        <v>Service</v>
      </c>
    </row>
    <row r="1400" ht="14.25" customHeight="1">
      <c r="A1400" s="1">
        <v>100.0</v>
      </c>
      <c r="B1400" s="1" t="s">
        <v>245</v>
      </c>
      <c r="C1400" s="1">
        <v>10.0</v>
      </c>
      <c r="D1400" s="1" t="s">
        <v>6</v>
      </c>
      <c r="E1400" s="1"/>
    </row>
    <row r="1401" ht="14.25" customHeight="1">
      <c r="A1401" s="1">
        <v>66.0</v>
      </c>
      <c r="B1401" s="1" t="s">
        <v>245</v>
      </c>
      <c r="C1401" s="1">
        <v>8.0</v>
      </c>
      <c r="D1401" s="1" t="s">
        <v>647</v>
      </c>
      <c r="E1401" s="1" t="str">
        <f>IFERROR(__xludf.DUMMYFUNCTION("GOOGLETRANSLATE(D1401,""PT"",""EN"")"),"Many applications and can be reduced to only one!")</f>
        <v>Many applications and can be reduced to only one!</v>
      </c>
    </row>
    <row r="1402" ht="14.25" customHeight="1">
      <c r="A1402" s="1">
        <v>66.0</v>
      </c>
      <c r="B1402" s="1" t="s">
        <v>245</v>
      </c>
      <c r="C1402" s="1">
        <v>8.0</v>
      </c>
      <c r="D1402" s="1" t="s">
        <v>6</v>
      </c>
      <c r="E1402" s="1"/>
    </row>
    <row r="1403" ht="14.25" customHeight="1">
      <c r="A1403" s="1">
        <v>100.0</v>
      </c>
      <c r="B1403" s="1" t="s">
        <v>245</v>
      </c>
      <c r="C1403" s="1">
        <v>10.0</v>
      </c>
      <c r="D1403" s="2" t="s">
        <v>648</v>
      </c>
      <c r="E1403" s="1" t="str">
        <f>IFERROR(__xludf.DUMMYFUNCTION("GOOGLETRANSLATE(D1403,""PT"",""EN"")"),"Secure cooperative is reliable. with performance in all your negotiations.")</f>
        <v>Secure cooperative is reliable. with performance in all your negotiations.</v>
      </c>
    </row>
    <row r="1404" ht="14.25" customHeight="1">
      <c r="A1404" s="1">
        <v>33.0</v>
      </c>
      <c r="B1404" s="1" t="s">
        <v>245</v>
      </c>
      <c r="C1404" s="1">
        <v>5.0</v>
      </c>
      <c r="D1404" s="2" t="s">
        <v>649</v>
      </c>
      <c r="E1404" s="1" t="str">
        <f>IFERROR(__xludf.DUMMYFUNCTION("GOOGLETRANSLATE(D1404,""PT"",""EN"")"),"Does not offer credit card")</f>
        <v>Does not offer credit card</v>
      </c>
    </row>
    <row r="1405" ht="14.25" customHeight="1">
      <c r="A1405" s="1">
        <v>100.0</v>
      </c>
      <c r="B1405" s="1" t="s">
        <v>245</v>
      </c>
      <c r="C1405" s="1">
        <v>10.0</v>
      </c>
      <c r="D1405" s="2" t="s">
        <v>650</v>
      </c>
      <c r="E1405" s="1" t="str">
        <f>IFERROR(__xludf.DUMMYFUNCTION("GOOGLETRANSLATE(D1405,""PT"",""EN"")"),"Very practical is reliable.")</f>
        <v>Very practical is reliable.</v>
      </c>
    </row>
    <row r="1406" ht="14.25" customHeight="1">
      <c r="A1406" s="1">
        <v>100.0</v>
      </c>
      <c r="B1406" s="1" t="s">
        <v>245</v>
      </c>
      <c r="C1406" s="1">
        <v>10.0</v>
      </c>
      <c r="D1406" s="1" t="s">
        <v>6</v>
      </c>
      <c r="E1406" s="1"/>
    </row>
    <row r="1407" ht="14.25" customHeight="1">
      <c r="A1407" s="1">
        <v>33.0</v>
      </c>
      <c r="B1407" s="1" t="s">
        <v>245</v>
      </c>
      <c r="C1407" s="1">
        <v>6.0</v>
      </c>
      <c r="D1407" s="1" t="s">
        <v>6</v>
      </c>
      <c r="E1407" s="1"/>
    </row>
    <row r="1408" ht="14.25" customHeight="1">
      <c r="A1408" s="1">
        <v>66.0</v>
      </c>
      <c r="B1408" s="1" t="s">
        <v>245</v>
      </c>
      <c r="C1408" s="1">
        <v>7.0</v>
      </c>
      <c r="D1408" s="1" t="s">
        <v>6</v>
      </c>
      <c r="E1408" s="1"/>
    </row>
    <row r="1409" ht="14.25" customHeight="1">
      <c r="A1409" s="1">
        <v>100.0</v>
      </c>
      <c r="B1409" s="1" t="s">
        <v>245</v>
      </c>
      <c r="C1409" s="1">
        <v>10.0</v>
      </c>
      <c r="D1409" s="1" t="s">
        <v>6</v>
      </c>
      <c r="E1409" s="1"/>
    </row>
    <row r="1410" ht="14.25" customHeight="1">
      <c r="A1410" s="1">
        <v>100.0</v>
      </c>
      <c r="B1410" s="1" t="s">
        <v>245</v>
      </c>
      <c r="C1410" s="1">
        <v>10.0</v>
      </c>
      <c r="D1410" s="1" t="s">
        <v>20</v>
      </c>
      <c r="E1410" s="1" t="str">
        <f>IFERROR(__xludf.DUMMYFUNCTION("GOOGLETRANSLATE(D1410,""PT"",""EN"")"),"Very good")</f>
        <v>Very good</v>
      </c>
    </row>
    <row r="1411" ht="14.25" customHeight="1">
      <c r="A1411" s="1">
        <v>33.0</v>
      </c>
      <c r="B1411" s="1" t="s">
        <v>245</v>
      </c>
      <c r="C1411" s="1">
        <v>0.0</v>
      </c>
      <c r="D1411" s="1" t="s">
        <v>651</v>
      </c>
      <c r="E1411" s="1" t="str">
        <f>IFERROR(__xludf.DUMMYFUNCTION("GOOGLETRANSLATE(D1411,""PT"",""EN"")"),"insignificant")</f>
        <v>insignificant</v>
      </c>
    </row>
    <row r="1412" ht="14.25" customHeight="1">
      <c r="A1412" s="1">
        <v>100.0</v>
      </c>
      <c r="B1412" s="1" t="s">
        <v>245</v>
      </c>
      <c r="C1412" s="1">
        <v>10.0</v>
      </c>
      <c r="D1412" s="2" t="s">
        <v>652</v>
      </c>
      <c r="E1412" s="1" t="str">
        <f>IFERROR(__xludf.DUMMYFUNCTION("GOOGLETRANSLATE(D1412,""PT"",""EN"")"),"It has worked perfectly to the present date, serving our interests.")</f>
        <v>It has worked perfectly to the present date, serving our interests.</v>
      </c>
    </row>
    <row r="1413" ht="14.25" customHeight="1">
      <c r="A1413" s="1">
        <v>100.0</v>
      </c>
      <c r="B1413" s="1" t="s">
        <v>245</v>
      </c>
      <c r="C1413" s="1">
        <v>10.0</v>
      </c>
      <c r="D1413" s="1" t="s">
        <v>653</v>
      </c>
      <c r="E1413" s="1" t="str">
        <f>IFERROR(__xludf.DUMMYFUNCTION("GOOGLETRANSLATE(D1413,""PT"",""EN"")"),"I am always well attended.")</f>
        <v>I am always well attended.</v>
      </c>
    </row>
    <row r="1414" ht="14.25" customHeight="1">
      <c r="A1414" s="1">
        <v>100.0</v>
      </c>
      <c r="B1414" s="1" t="s">
        <v>245</v>
      </c>
      <c r="C1414" s="1">
        <v>10.0</v>
      </c>
      <c r="D1414" s="1" t="s">
        <v>6</v>
      </c>
      <c r="E1414" s="1"/>
    </row>
    <row r="1415" ht="14.25" customHeight="1">
      <c r="A1415" s="1">
        <v>100.0</v>
      </c>
      <c r="B1415" s="1" t="s">
        <v>245</v>
      </c>
      <c r="C1415" s="1">
        <v>9.0</v>
      </c>
      <c r="D1415" s="1" t="s">
        <v>6</v>
      </c>
      <c r="E1415" s="1"/>
    </row>
    <row r="1416" ht="14.25" customHeight="1">
      <c r="A1416" s="1">
        <v>100.0</v>
      </c>
      <c r="B1416" s="1" t="s">
        <v>245</v>
      </c>
      <c r="C1416" s="1">
        <v>9.0</v>
      </c>
      <c r="D1416" s="2" t="s">
        <v>654</v>
      </c>
      <c r="E1416" s="1" t="str">
        <f>IFERROR(__xludf.DUMMYFUNCTION("GOOGLETRANSLATE(D1416,""PT"",""EN"")"),"trust")</f>
        <v>trust</v>
      </c>
    </row>
    <row r="1417" ht="14.25" customHeight="1">
      <c r="A1417" s="1">
        <v>100.0</v>
      </c>
      <c r="B1417" s="1" t="s">
        <v>245</v>
      </c>
      <c r="C1417" s="1">
        <v>10.0</v>
      </c>
      <c r="D1417" s="1" t="s">
        <v>6</v>
      </c>
      <c r="E1417" s="1"/>
    </row>
    <row r="1418" ht="14.25" customHeight="1">
      <c r="A1418" s="1">
        <v>100.0</v>
      </c>
      <c r="B1418" s="1" t="s">
        <v>245</v>
      </c>
      <c r="C1418" s="1">
        <v>10.0</v>
      </c>
      <c r="D1418" s="1" t="s">
        <v>6</v>
      </c>
      <c r="E1418" s="1"/>
    </row>
    <row r="1419" ht="14.25" customHeight="1">
      <c r="A1419" s="1">
        <v>100.0</v>
      </c>
      <c r="B1419" s="1" t="s">
        <v>245</v>
      </c>
      <c r="C1419" s="1">
        <v>10.0</v>
      </c>
      <c r="D1419" s="2" t="s">
        <v>655</v>
      </c>
      <c r="E1419" s="1" t="str">
        <f>IFERROR(__xludf.DUMMYFUNCTION("GOOGLETRANSLATE(D1419,""PT"",""EN"")"),"Great indicate")</f>
        <v>Great indicate</v>
      </c>
    </row>
    <row r="1420" ht="14.25" customHeight="1">
      <c r="A1420" s="1">
        <v>100.0</v>
      </c>
      <c r="B1420" s="1" t="s">
        <v>245</v>
      </c>
      <c r="C1420" s="1">
        <v>10.0</v>
      </c>
      <c r="D1420" s="1" t="s">
        <v>656</v>
      </c>
      <c r="E1420" s="1" t="str">
        <f>IFERROR(__xludf.DUMMYFUNCTION("GOOGLETRANSLATE(D1420,""PT"",""EN"")"),"Very attentive staff")</f>
        <v>Very attentive staff</v>
      </c>
    </row>
    <row r="1421" ht="14.25" customHeight="1">
      <c r="A1421" s="1">
        <v>33.0</v>
      </c>
      <c r="B1421" s="1" t="s">
        <v>245</v>
      </c>
      <c r="C1421" s="1">
        <v>5.0</v>
      </c>
      <c r="D1421" s="1" t="s">
        <v>657</v>
      </c>
      <c r="E1421" s="1" t="str">
        <f>IFERROR(__xludf.DUMMYFUNCTION("GOOGLETRANSLATE(D1421,""PT"",""EN"")"),"Poor service")</f>
        <v>Poor service</v>
      </c>
    </row>
    <row r="1422" ht="14.25" customHeight="1">
      <c r="A1422" s="1">
        <v>100.0</v>
      </c>
      <c r="B1422" s="1" t="s">
        <v>245</v>
      </c>
      <c r="C1422" s="1">
        <v>10.0</v>
      </c>
      <c r="D1422" s="2" t="s">
        <v>658</v>
      </c>
      <c r="E1422" s="1" t="str">
        <f>IFERROR(__xludf.DUMMYFUNCTION("GOOGLETRANSLATE(D1422,""PT"",""EN"")"),"Great service is worrying about each cooperative")</f>
        <v>Great service is worrying about each cooperative</v>
      </c>
    </row>
    <row r="1423" ht="14.25" customHeight="1">
      <c r="A1423" s="1">
        <v>100.0</v>
      </c>
      <c r="B1423" s="1" t="s">
        <v>245</v>
      </c>
      <c r="C1423" s="1">
        <v>10.0</v>
      </c>
      <c r="D1423" s="1" t="s">
        <v>659</v>
      </c>
      <c r="E1423" s="1" t="str">
        <f>IFERROR(__xludf.DUMMYFUNCTION("GOOGLETRANSLATE(D1423,""PT"",""EN"")"),"Good service.")</f>
        <v>Good service.</v>
      </c>
    </row>
    <row r="1424" ht="14.25" customHeight="1">
      <c r="A1424" s="1">
        <v>100.0</v>
      </c>
      <c r="B1424" s="1" t="s">
        <v>245</v>
      </c>
      <c r="C1424" s="1">
        <v>10.0</v>
      </c>
      <c r="D1424" s="1" t="s">
        <v>660</v>
      </c>
      <c r="E1424" s="1" t="str">
        <f>IFERROR(__xludf.DUMMYFUNCTION("GOOGLETRANSLATE(D1424,""PT"",""EN"")"),"Ensures the objectives")</f>
        <v>Ensures the objectives</v>
      </c>
    </row>
    <row r="1425" ht="14.25" customHeight="1">
      <c r="A1425" s="1">
        <v>66.0</v>
      </c>
      <c r="B1425" s="1" t="s">
        <v>245</v>
      </c>
      <c r="C1425" s="1">
        <v>8.0</v>
      </c>
      <c r="D1425" s="2" t="s">
        <v>661</v>
      </c>
      <c r="E1425" s="1" t="str">
        <f>IFERROR(__xludf.DUMMYFUNCTION("GOOGLETRANSLATE(D1425,""PT"",""EN"")"),"Reliability is comfort")</f>
        <v>Reliability is comfort</v>
      </c>
    </row>
    <row r="1426" ht="14.25" customHeight="1">
      <c r="A1426" s="1">
        <v>100.0</v>
      </c>
      <c r="B1426" s="1" t="s">
        <v>245</v>
      </c>
      <c r="C1426" s="1">
        <v>10.0</v>
      </c>
      <c r="D1426" s="1" t="s">
        <v>6</v>
      </c>
      <c r="E1426" s="1"/>
    </row>
    <row r="1427" ht="14.25" customHeight="1">
      <c r="A1427" s="1">
        <v>100.0</v>
      </c>
      <c r="B1427" s="1" t="s">
        <v>245</v>
      </c>
      <c r="C1427" s="1">
        <v>10.0</v>
      </c>
      <c r="D1427" s="1" t="s">
        <v>6</v>
      </c>
      <c r="E1427" s="1"/>
    </row>
    <row r="1428" ht="14.25" customHeight="1">
      <c r="A1428" s="1">
        <v>100.0</v>
      </c>
      <c r="B1428" s="1" t="s">
        <v>245</v>
      </c>
      <c r="C1428" s="1">
        <v>10.0</v>
      </c>
      <c r="D1428" s="1" t="s">
        <v>37</v>
      </c>
      <c r="E1428" s="1" t="str">
        <f>IFERROR(__xludf.DUMMYFUNCTION("GOOGLETRANSLATE(D1428,""PT"",""EN"")"),"Great service")</f>
        <v>Great service</v>
      </c>
    </row>
    <row r="1429" ht="14.25" customHeight="1">
      <c r="A1429" s="1">
        <v>100.0</v>
      </c>
      <c r="B1429" s="1" t="s">
        <v>245</v>
      </c>
      <c r="C1429" s="1">
        <v>10.0</v>
      </c>
      <c r="D1429" s="2" t="s">
        <v>662</v>
      </c>
      <c r="E1429" s="1" t="str">
        <f>IFERROR(__xludf.DUMMYFUNCTION("GOOGLETRANSLATE(D1429,""PT"",""EN"")"),"Sicoob Credi Rural, solid cooperative is the return of capital is show !!!")</f>
        <v>Sicoob Credi Rural, solid cooperative is the return of capital is show !!!</v>
      </c>
    </row>
    <row r="1430" ht="14.25" customHeight="1">
      <c r="A1430" s="1">
        <v>33.0</v>
      </c>
      <c r="B1430" s="1" t="s">
        <v>245</v>
      </c>
      <c r="C1430" s="1">
        <v>4.0</v>
      </c>
      <c r="D1430" s="1" t="s">
        <v>6</v>
      </c>
      <c r="E1430" s="1"/>
    </row>
    <row r="1431" ht="14.25" customHeight="1">
      <c r="A1431" s="1">
        <v>100.0</v>
      </c>
      <c r="B1431" s="1" t="s">
        <v>245</v>
      </c>
      <c r="C1431" s="1">
        <v>10.0</v>
      </c>
      <c r="D1431" s="1" t="s">
        <v>6</v>
      </c>
      <c r="E1431" s="1"/>
    </row>
    <row r="1432" ht="14.25" customHeight="1">
      <c r="A1432" s="1">
        <v>100.0</v>
      </c>
      <c r="B1432" s="1" t="s">
        <v>245</v>
      </c>
      <c r="C1432" s="1">
        <v>10.0</v>
      </c>
      <c r="D1432" s="1" t="s">
        <v>663</v>
      </c>
      <c r="E1432" s="1" t="str">
        <f>IFERROR(__xludf.DUMMYFUNCTION("GOOGLETRANSLATE(D1432,""PT"",""EN"")"),"Happy with the service")</f>
        <v>Happy with the service</v>
      </c>
    </row>
    <row r="1433" ht="14.25" customHeight="1">
      <c r="A1433" s="1">
        <v>100.0</v>
      </c>
      <c r="B1433" s="1" t="s">
        <v>245</v>
      </c>
      <c r="C1433" s="1">
        <v>10.0</v>
      </c>
      <c r="D1433" s="2" t="s">
        <v>664</v>
      </c>
      <c r="E1433" s="1" t="str">
        <f>IFERROR(__xludf.DUMMYFUNCTION("GOOGLETRANSLATE(D1433,""PT"",""EN"")"),"The Sicoob Credi-Rural Cooperative has years in the financial market, one of the best cooperatives within the cooperative line, besides its results is highlights.")</f>
        <v>The Sicoob Credi-Rural Cooperative has years in the financial market, one of the best cooperatives within the cooperative line, besides its results is highlights.</v>
      </c>
    </row>
    <row r="1434" ht="14.25" customHeight="1">
      <c r="A1434" s="1">
        <v>100.0</v>
      </c>
      <c r="B1434" s="1" t="s">
        <v>245</v>
      </c>
      <c r="C1434" s="1">
        <v>10.0</v>
      </c>
      <c r="D1434" s="1" t="s">
        <v>6</v>
      </c>
      <c r="E1434" s="1"/>
    </row>
    <row r="1435" ht="14.25" customHeight="1">
      <c r="A1435" s="1">
        <v>33.0</v>
      </c>
      <c r="B1435" s="1" t="s">
        <v>245</v>
      </c>
      <c r="C1435" s="1">
        <v>0.0</v>
      </c>
      <c r="D1435" s="1" t="s">
        <v>6</v>
      </c>
      <c r="E1435" s="1"/>
    </row>
    <row r="1436" ht="14.25" customHeight="1">
      <c r="A1436" s="1">
        <v>33.0</v>
      </c>
      <c r="B1436" s="1" t="s">
        <v>245</v>
      </c>
      <c r="C1436" s="1">
        <v>1.0</v>
      </c>
      <c r="D1436" s="1" t="s">
        <v>665</v>
      </c>
      <c r="E1436" s="1" t="str">
        <f>IFERROR(__xludf.DUMMYFUNCTION("GOOGLETRANSLATE(D1436,""PT"",""EN"")"),"DDSD")</f>
        <v>DDSD</v>
      </c>
    </row>
    <row r="1437" ht="14.25" customHeight="1">
      <c r="A1437" s="1">
        <v>100.0</v>
      </c>
      <c r="B1437" s="1" t="s">
        <v>245</v>
      </c>
      <c r="C1437" s="1">
        <v>10.0</v>
      </c>
      <c r="D1437" s="1" t="s">
        <v>6</v>
      </c>
      <c r="E1437" s="1"/>
    </row>
    <row r="1438" ht="14.25" customHeight="1">
      <c r="A1438" s="1">
        <v>100.0</v>
      </c>
      <c r="B1438" s="1" t="s">
        <v>245</v>
      </c>
      <c r="C1438" s="1">
        <v>10.0</v>
      </c>
      <c r="D1438" s="1" t="s">
        <v>6</v>
      </c>
      <c r="E1438" s="1"/>
    </row>
    <row r="1439" ht="14.25" customHeight="1">
      <c r="A1439" s="1">
        <v>66.0</v>
      </c>
      <c r="B1439" s="1" t="s">
        <v>245</v>
      </c>
      <c r="C1439" s="1">
        <v>7.0</v>
      </c>
      <c r="D1439" s="1" t="s">
        <v>6</v>
      </c>
      <c r="E1439" s="1"/>
    </row>
    <row r="1440" ht="14.25" customHeight="1">
      <c r="A1440" s="1">
        <v>100.0</v>
      </c>
      <c r="B1440" s="1" t="s">
        <v>245</v>
      </c>
      <c r="C1440" s="1">
        <v>10.0</v>
      </c>
      <c r="D1440" s="1" t="s">
        <v>6</v>
      </c>
      <c r="E1440" s="1"/>
    </row>
    <row r="1441" ht="14.25" customHeight="1">
      <c r="A1441" s="1">
        <v>100.0</v>
      </c>
      <c r="B1441" s="1" t="s">
        <v>245</v>
      </c>
      <c r="C1441" s="1">
        <v>10.0</v>
      </c>
      <c r="D1441" s="1" t="s">
        <v>666</v>
      </c>
      <c r="E1441" s="1" t="str">
        <f>IFERROR(__xludf.DUMMYFUNCTION("GOOGLETRANSLATE(D1441,""PT"",""EN"")"),"Advantages, exclusivity")</f>
        <v>Advantages, exclusivity</v>
      </c>
    </row>
    <row r="1442" ht="14.25" customHeight="1">
      <c r="A1442" s="1">
        <v>100.0</v>
      </c>
      <c r="B1442" s="1" t="s">
        <v>245</v>
      </c>
      <c r="C1442" s="1">
        <v>10.0</v>
      </c>
      <c r="D1442" s="1" t="s">
        <v>6</v>
      </c>
      <c r="E1442" s="1"/>
    </row>
    <row r="1443" ht="14.25" customHeight="1">
      <c r="A1443" s="1">
        <v>100.0</v>
      </c>
      <c r="B1443" s="1" t="s">
        <v>245</v>
      </c>
      <c r="C1443" s="1">
        <v>10.0</v>
      </c>
      <c r="D1443" s="2" t="s">
        <v>667</v>
      </c>
      <c r="E1443" s="1" t="str">
        <f>IFERROR(__xludf.DUMMYFUNCTION("GOOGLETRANSLATE(D1443,""PT"",""EN"")"),"Because every time we look for a Sicoob attendant the problem is solved.")</f>
        <v>Because every time we look for a Sicoob attendant the problem is solved.</v>
      </c>
    </row>
    <row r="1444" ht="14.25" customHeight="1">
      <c r="A1444" s="1">
        <v>66.0</v>
      </c>
      <c r="B1444" s="1" t="s">
        <v>245</v>
      </c>
      <c r="C1444" s="1">
        <v>8.0</v>
      </c>
      <c r="D1444" s="2" t="s">
        <v>668</v>
      </c>
      <c r="E1444" s="1" t="str">
        <f>IFERROR(__xludf.DUMMYFUNCTION("GOOGLETRANSLATE(D1444,""PT"",""EN"")"),"In general great bank, I'm a customer for about 10 years, sometimes the system has some instability, there was a change that generated me many setbacks, but I recommend it a lot!")</f>
        <v>In general great bank, I'm a customer for about 10 years, sometimes the system has some instability, there was a change that generated me many setbacks, but I recommend it a lot!</v>
      </c>
    </row>
    <row r="1445" ht="14.25" customHeight="1">
      <c r="A1445" s="1">
        <v>100.0</v>
      </c>
      <c r="B1445" s="1" t="s">
        <v>245</v>
      </c>
      <c r="C1445" s="1">
        <v>10.0</v>
      </c>
      <c r="D1445" s="1" t="s">
        <v>6</v>
      </c>
      <c r="E1445" s="1"/>
    </row>
    <row r="1446" ht="14.25" customHeight="1">
      <c r="A1446" s="1">
        <v>100.0</v>
      </c>
      <c r="B1446" s="1" t="s">
        <v>245</v>
      </c>
      <c r="C1446" s="1">
        <v>10.0</v>
      </c>
      <c r="D1446" s="1" t="s">
        <v>6</v>
      </c>
      <c r="E1446" s="1"/>
    </row>
    <row r="1447" ht="14.25" customHeight="1">
      <c r="A1447" s="1">
        <v>100.0</v>
      </c>
      <c r="B1447" s="1" t="s">
        <v>245</v>
      </c>
      <c r="C1447" s="1">
        <v>10.0</v>
      </c>
      <c r="D1447" s="2" t="s">
        <v>669</v>
      </c>
      <c r="E1447" s="1" t="str">
        <f>IFERROR(__xludf.DUMMYFUNCTION("GOOGLETRANSLATE(D1447,""PT"",""EN"")"),"Attention is consideration in service at all levels of the institution.")</f>
        <v>Attention is consideration in service at all levels of the institution.</v>
      </c>
    </row>
    <row r="1448" ht="14.25" customHeight="1">
      <c r="A1448" s="1">
        <v>100.0</v>
      </c>
      <c r="B1448" s="1" t="s">
        <v>245</v>
      </c>
      <c r="C1448" s="1">
        <v>10.0</v>
      </c>
      <c r="D1448" s="1" t="s">
        <v>6</v>
      </c>
      <c r="E1448" s="1"/>
    </row>
    <row r="1449" ht="14.25" customHeight="1">
      <c r="A1449" s="1">
        <v>100.0</v>
      </c>
      <c r="B1449" s="1" t="s">
        <v>245</v>
      </c>
      <c r="C1449" s="1">
        <v>10.0</v>
      </c>
      <c r="D1449" s="2" t="s">
        <v>670</v>
      </c>
      <c r="E1449" s="1" t="str">
        <f>IFERROR(__xludf.DUMMYFUNCTION("GOOGLETRANSLATE(D1449,""PT"",""EN"")"),"service, times is speed")</f>
        <v>service, times is speed</v>
      </c>
    </row>
    <row r="1450" ht="14.25" customHeight="1">
      <c r="A1450" s="1">
        <v>100.0</v>
      </c>
      <c r="B1450" s="1" t="s">
        <v>245</v>
      </c>
      <c r="C1450" s="1">
        <v>10.0</v>
      </c>
      <c r="D1450" s="2" t="s">
        <v>671</v>
      </c>
      <c r="E1450" s="1" t="str">
        <f>IFERROR(__xludf.DUMMYFUNCTION("GOOGLETRANSLATE(D1450,""PT"",""EN"")"),"It has always met my needs efficiently.")</f>
        <v>It has always met my needs efficiently.</v>
      </c>
    </row>
    <row r="1451" ht="14.25" customHeight="1">
      <c r="A1451" s="1">
        <v>100.0</v>
      </c>
      <c r="B1451" s="1" t="s">
        <v>245</v>
      </c>
      <c r="C1451" s="1">
        <v>9.0</v>
      </c>
      <c r="D1451" s="1" t="s">
        <v>6</v>
      </c>
      <c r="E1451" s="1"/>
    </row>
    <row r="1452" ht="14.25" customHeight="1">
      <c r="A1452" s="1">
        <v>100.0</v>
      </c>
      <c r="B1452" s="1" t="s">
        <v>245</v>
      </c>
      <c r="C1452" s="1">
        <v>10.0</v>
      </c>
      <c r="D1452" s="1" t="s">
        <v>6</v>
      </c>
      <c r="E1452" s="1"/>
    </row>
    <row r="1453" ht="14.25" customHeight="1">
      <c r="A1453" s="1">
        <v>66.0</v>
      </c>
      <c r="B1453" s="1" t="s">
        <v>245</v>
      </c>
      <c r="C1453" s="1">
        <v>8.0</v>
      </c>
      <c r="D1453" s="1" t="s">
        <v>6</v>
      </c>
      <c r="E1453" s="1"/>
    </row>
    <row r="1454" ht="14.25" customHeight="1">
      <c r="A1454" s="1">
        <v>66.0</v>
      </c>
      <c r="B1454" s="1" t="s">
        <v>245</v>
      </c>
      <c r="C1454" s="1">
        <v>7.0</v>
      </c>
      <c r="D1454" s="2" t="s">
        <v>672</v>
      </c>
      <c r="E1454" s="1" t="str">
        <f>IFERROR(__xludf.DUMMYFUNCTION("GOOGLETRANSLATE(D1454,""PT"",""EN"")"),"I find it very complicated to solve simple problems like my consortium that has been more than 15 days since I've been contemplated is so far I couldn't get my vehicle, a lot of bureaucracy is a lack of information, information such as vehicle use time th"&amp;"at is different from what reported at the time of contemplation.")</f>
        <v>I find it very complicated to solve simple problems like my consortium that has been more than 15 days since I've been contemplated is so far I couldn't get my vehicle, a lot of bureaucracy is a lack of information, information such as vehicle use time that is different from what reported at the time of contemplation.</v>
      </c>
    </row>
    <row r="1455" ht="14.25" customHeight="1">
      <c r="A1455" s="1">
        <v>100.0</v>
      </c>
      <c r="B1455" s="1" t="s">
        <v>245</v>
      </c>
      <c r="C1455" s="1">
        <v>10.0</v>
      </c>
      <c r="D1455" s="1" t="s">
        <v>6</v>
      </c>
      <c r="E1455" s="1"/>
    </row>
    <row r="1456" ht="14.25" customHeight="1">
      <c r="A1456" s="1">
        <v>100.0</v>
      </c>
      <c r="B1456" s="1" t="s">
        <v>245</v>
      </c>
      <c r="C1456" s="1">
        <v>10.0</v>
      </c>
      <c r="D1456" s="2" t="s">
        <v>673</v>
      </c>
      <c r="E1456" s="1" t="str">
        <f>IFERROR(__xludf.DUMMYFUNCTION("GOOGLETRANSLATE(D1456,""PT"",""EN"")"),"You're attending well while")</f>
        <v>You're attending well while</v>
      </c>
    </row>
    <row r="1457" ht="14.25" customHeight="1">
      <c r="A1457" s="1">
        <v>100.0</v>
      </c>
      <c r="B1457" s="1" t="s">
        <v>245</v>
      </c>
      <c r="C1457" s="1">
        <v>10.0</v>
      </c>
      <c r="D1457" s="1" t="s">
        <v>674</v>
      </c>
      <c r="E1457" s="1" t="str">
        <f>IFERROR(__xludf.DUMMYFUNCTION("GOOGLETRANSLATE(D1457,""PT"",""EN"")"),"All services performed by Sicoob are excellent")</f>
        <v>All services performed by Sicoob are excellent</v>
      </c>
    </row>
    <row r="1458" ht="14.25" customHeight="1">
      <c r="A1458" s="1">
        <v>33.0</v>
      </c>
      <c r="B1458" s="1" t="s">
        <v>245</v>
      </c>
      <c r="C1458" s="1">
        <v>3.0</v>
      </c>
      <c r="D1458" s="2" t="s">
        <v>675</v>
      </c>
      <c r="E1458" s="1" t="str">
        <f>IFERROR(__xludf.DUMMYFUNCTION("GOOGLETRANSLATE(D1458,""PT"",""EN"")"),"My last service was pesse. The employee did not even know about the Sicoob website that I use 5 years to issue slips. And it's not the first time.")</f>
        <v>My last service was pesse. The employee did not even know about the Sicoob website that I use 5 years to issue slips. And it's not the first time.</v>
      </c>
    </row>
    <row r="1459" ht="14.25" customHeight="1">
      <c r="A1459" s="1">
        <v>100.0</v>
      </c>
      <c r="B1459" s="1" t="s">
        <v>245</v>
      </c>
      <c r="C1459" s="1">
        <v>10.0</v>
      </c>
      <c r="D1459" s="2" t="s">
        <v>676</v>
      </c>
      <c r="E1459" s="1" t="str">
        <f>IFERROR(__xludf.DUMMYFUNCTION("GOOGLETRANSLATE(D1459,""PT"",""EN"")"),"Complete cooperative is committed to its customers")</f>
        <v>Complete cooperative is committed to its customers</v>
      </c>
    </row>
    <row r="1460" ht="14.25" customHeight="1">
      <c r="A1460" s="1">
        <v>100.0</v>
      </c>
      <c r="B1460" s="1" t="s">
        <v>245</v>
      </c>
      <c r="C1460" s="1">
        <v>10.0</v>
      </c>
      <c r="D1460" s="1" t="s">
        <v>6</v>
      </c>
      <c r="E1460" s="1"/>
    </row>
    <row r="1461" ht="14.25" customHeight="1">
      <c r="A1461" s="1">
        <v>33.0</v>
      </c>
      <c r="B1461" s="1" t="s">
        <v>245</v>
      </c>
      <c r="C1461" s="1">
        <v>0.0</v>
      </c>
      <c r="D1461" s="1" t="s">
        <v>6</v>
      </c>
      <c r="E1461" s="1"/>
    </row>
    <row r="1462" ht="14.25" customHeight="1">
      <c r="A1462" s="1">
        <v>100.0</v>
      </c>
      <c r="B1462" s="1" t="s">
        <v>245</v>
      </c>
      <c r="C1462" s="1">
        <v>10.0</v>
      </c>
      <c r="D1462" s="1" t="s">
        <v>9</v>
      </c>
      <c r="E1462" s="1" t="str">
        <f>IFERROR(__xludf.DUMMYFUNCTION("GOOGLETRANSLATE(D1462,""PT"",""EN"")"),"10")</f>
        <v>10</v>
      </c>
    </row>
    <row r="1463" ht="14.25" customHeight="1">
      <c r="A1463" s="1">
        <v>100.0</v>
      </c>
      <c r="B1463" s="1" t="s">
        <v>245</v>
      </c>
      <c r="C1463" s="1">
        <v>10.0</v>
      </c>
      <c r="D1463" s="1" t="s">
        <v>677</v>
      </c>
      <c r="E1463" s="1" t="str">
        <f>IFERROR(__xludf.DUMMYFUNCTION("GOOGLETRANSLATE(D1463,""PT"",""EN"")"),"SPECIAL SERVICE")</f>
        <v>SPECIAL SERVICE</v>
      </c>
    </row>
    <row r="1464" ht="14.25" customHeight="1">
      <c r="A1464" s="1">
        <v>100.0</v>
      </c>
      <c r="B1464" s="1" t="s">
        <v>245</v>
      </c>
      <c r="C1464" s="1">
        <v>9.0</v>
      </c>
      <c r="D1464" s="1" t="s">
        <v>6</v>
      </c>
      <c r="E1464" s="1"/>
    </row>
    <row r="1465" ht="14.25" customHeight="1">
      <c r="A1465" s="1">
        <v>100.0</v>
      </c>
      <c r="B1465" s="1" t="s">
        <v>245</v>
      </c>
      <c r="C1465" s="1">
        <v>9.0</v>
      </c>
      <c r="D1465" s="1" t="s">
        <v>6</v>
      </c>
      <c r="E1465" s="1"/>
    </row>
    <row r="1466" ht="14.25" customHeight="1">
      <c r="A1466" s="1">
        <v>100.0</v>
      </c>
      <c r="B1466" s="1" t="s">
        <v>245</v>
      </c>
      <c r="C1466" s="1">
        <v>9.0</v>
      </c>
      <c r="D1466" s="2" t="s">
        <v>678</v>
      </c>
      <c r="E1466" s="1" t="str">
        <f>IFERROR(__xludf.DUMMYFUNCTION("GOOGLETRANSLATE(D1466,""PT"",""EN"")"),"Personality! At the Caiaponia agency the collaborators are excellent, competent, cordial is urban.")</f>
        <v>Personality! At the Caiaponia agency the collaborators are excellent, competent, cordial is urban.</v>
      </c>
    </row>
    <row r="1467" ht="14.25" customHeight="1">
      <c r="A1467" s="1">
        <v>100.0</v>
      </c>
      <c r="B1467" s="1" t="s">
        <v>245</v>
      </c>
      <c r="C1467" s="1">
        <v>10.0</v>
      </c>
      <c r="D1467" s="1" t="s">
        <v>6</v>
      </c>
      <c r="E1467" s="1"/>
    </row>
    <row r="1468" ht="14.25" customHeight="1">
      <c r="A1468" s="1">
        <v>100.0</v>
      </c>
      <c r="B1468" s="1" t="s">
        <v>245</v>
      </c>
      <c r="C1468" s="1">
        <v>10.0</v>
      </c>
      <c r="D1468" s="2" t="s">
        <v>679</v>
      </c>
      <c r="E1468" s="1" t="str">
        <f>IFERROR(__xludf.DUMMYFUNCTION("GOOGLETRANSLATE(D1468,""PT"",""EN"")"),"Practicality is prompt")</f>
        <v>Practicality is prompt</v>
      </c>
    </row>
    <row r="1469" ht="14.25" customHeight="1">
      <c r="A1469" s="1">
        <v>100.0</v>
      </c>
      <c r="B1469" s="1" t="s">
        <v>245</v>
      </c>
      <c r="C1469" s="1">
        <v>9.0</v>
      </c>
      <c r="D1469" s="1" t="s">
        <v>6</v>
      </c>
      <c r="E1469" s="1"/>
    </row>
    <row r="1470" ht="14.25" customHeight="1">
      <c r="A1470" s="1">
        <v>33.0</v>
      </c>
      <c r="B1470" s="1" t="s">
        <v>245</v>
      </c>
      <c r="C1470" s="1">
        <v>3.0</v>
      </c>
      <c r="D1470" s="2" t="s">
        <v>680</v>
      </c>
      <c r="E1470" s="1" t="str">
        <f>IFERROR(__xludf.DUMMYFUNCTION("GOOGLETRANSLATE(D1470,""PT"",""EN"")"),"Missing improvement in the care of some fun")</f>
        <v>Missing improvement in the care of some fun</v>
      </c>
    </row>
    <row r="1471" ht="14.25" customHeight="1">
      <c r="A1471" s="1">
        <v>100.0</v>
      </c>
      <c r="B1471" s="1" t="s">
        <v>245</v>
      </c>
      <c r="C1471" s="1">
        <v>10.0</v>
      </c>
      <c r="D1471" s="1" t="s">
        <v>6</v>
      </c>
      <c r="E1471" s="1"/>
    </row>
    <row r="1472" ht="14.25" customHeight="1">
      <c r="A1472" s="1">
        <v>66.0</v>
      </c>
      <c r="B1472" s="1" t="s">
        <v>245</v>
      </c>
      <c r="C1472" s="1">
        <v>8.0</v>
      </c>
      <c r="D1472" s="2" t="s">
        <v>681</v>
      </c>
      <c r="E1472" s="1" t="str">
        <f>IFERROR(__xludf.DUMMYFUNCTION("GOOGLETRANSLATE(D1472,""PT"",""EN"")"),"Agility is good service.")</f>
        <v>Agility is good service.</v>
      </c>
    </row>
    <row r="1473" ht="14.25" customHeight="1">
      <c r="A1473" s="1">
        <v>100.0</v>
      </c>
      <c r="B1473" s="1" t="s">
        <v>245</v>
      </c>
      <c r="C1473" s="1">
        <v>10.0</v>
      </c>
      <c r="D1473" s="2" t="s">
        <v>682</v>
      </c>
      <c r="E1473" s="1" t="str">
        <f>IFERROR(__xludf.DUMMYFUNCTION("GOOGLETRANSLATE(D1473,""PT"",""EN"")"),"Best cooperative that exist !!")</f>
        <v>Best cooperative that exist !!</v>
      </c>
    </row>
    <row r="1474" ht="14.25" customHeight="1">
      <c r="A1474" s="1">
        <v>100.0</v>
      </c>
      <c r="B1474" s="1" t="s">
        <v>245</v>
      </c>
      <c r="C1474" s="1">
        <v>9.0</v>
      </c>
      <c r="D1474" s="1" t="s">
        <v>112</v>
      </c>
      <c r="E1474" s="1" t="str">
        <f>IFERROR(__xludf.DUMMYFUNCTION("GOOGLETRANSLATE(D1474,""PT"",""EN"")"),"Practicality")</f>
        <v>Practicality</v>
      </c>
    </row>
    <row r="1475" ht="14.25" customHeight="1">
      <c r="A1475" s="1">
        <v>100.0</v>
      </c>
      <c r="B1475" s="1" t="s">
        <v>245</v>
      </c>
      <c r="C1475" s="1">
        <v>10.0</v>
      </c>
      <c r="D1475" s="1" t="s">
        <v>9</v>
      </c>
      <c r="E1475" s="1" t="str">
        <f>IFERROR(__xludf.DUMMYFUNCTION("GOOGLETRANSLATE(D1475,""PT"",""EN"")"),"10")</f>
        <v>10</v>
      </c>
    </row>
    <row r="1476" ht="14.25" customHeight="1">
      <c r="A1476" s="1">
        <v>100.0</v>
      </c>
      <c r="B1476" s="1" t="s">
        <v>245</v>
      </c>
      <c r="C1476" s="1">
        <v>10.0</v>
      </c>
      <c r="D1476" s="2" t="s">
        <v>683</v>
      </c>
      <c r="E1476" s="1" t="str">
        <f>IFERROR(__xludf.DUMMYFUNCTION("GOOGLETRANSLATE(D1476,""PT"",""EN"")"),"It is a family cooperative")</f>
        <v>It is a family cooperative</v>
      </c>
    </row>
    <row r="1477" ht="14.25" customHeight="1">
      <c r="A1477" s="1">
        <v>100.0</v>
      </c>
      <c r="B1477" s="1" t="s">
        <v>245</v>
      </c>
      <c r="C1477" s="1">
        <v>9.0</v>
      </c>
      <c r="D1477" s="1" t="s">
        <v>62</v>
      </c>
      <c r="E1477" s="1" t="str">
        <f>IFERROR(__xludf.DUMMYFUNCTION("GOOGLETRANSLATE(D1477,""PT"",""EN"")"),"Good service")</f>
        <v>Good service</v>
      </c>
    </row>
    <row r="1478" ht="14.25" customHeight="1">
      <c r="A1478" s="1">
        <v>100.0</v>
      </c>
      <c r="B1478" s="1" t="s">
        <v>245</v>
      </c>
      <c r="C1478" s="1">
        <v>10.0</v>
      </c>
      <c r="D1478" s="1" t="s">
        <v>6</v>
      </c>
      <c r="E1478" s="1"/>
    </row>
    <row r="1479" ht="14.25" customHeight="1">
      <c r="A1479" s="1">
        <v>100.0</v>
      </c>
      <c r="B1479" s="1" t="s">
        <v>245</v>
      </c>
      <c r="C1479" s="1">
        <v>10.0</v>
      </c>
      <c r="D1479" s="2" t="s">
        <v>684</v>
      </c>
      <c r="E1479" s="1" t="str">
        <f>IFERROR(__xludf.DUMMYFUNCTION("GOOGLETRANSLATE(D1479,""PT"",""EN"")"),"Super good even humble in everything")</f>
        <v>Super good even humble in everything</v>
      </c>
    </row>
    <row r="1480" ht="14.25" customHeight="1">
      <c r="A1480" s="1">
        <v>100.0</v>
      </c>
      <c r="B1480" s="1" t="s">
        <v>245</v>
      </c>
      <c r="C1480" s="1">
        <v>10.0</v>
      </c>
      <c r="D1480" s="1" t="s">
        <v>6</v>
      </c>
      <c r="E1480" s="1"/>
    </row>
    <row r="1481" ht="14.25" customHeight="1">
      <c r="A1481" s="1">
        <v>100.0</v>
      </c>
      <c r="B1481" s="1" t="s">
        <v>245</v>
      </c>
      <c r="C1481" s="1">
        <v>10.0</v>
      </c>
      <c r="D1481" s="2" t="s">
        <v>685</v>
      </c>
      <c r="E1481" s="1" t="str">
        <f>IFERROR(__xludf.DUMMYFUNCTION("GOOGLETRANSLATE(D1481,""PT"",""EN"")"),"Easy access is speed in service")</f>
        <v>Easy access is speed in service</v>
      </c>
    </row>
    <row r="1482" ht="14.25" customHeight="1">
      <c r="A1482" s="1">
        <v>100.0</v>
      </c>
      <c r="B1482" s="1" t="s">
        <v>245</v>
      </c>
      <c r="C1482" s="1">
        <v>10.0</v>
      </c>
      <c r="D1482" s="1" t="s">
        <v>6</v>
      </c>
      <c r="E1482" s="1"/>
    </row>
    <row r="1483" ht="14.25" customHeight="1">
      <c r="A1483" s="1">
        <v>100.0</v>
      </c>
      <c r="B1483" s="1" t="s">
        <v>245</v>
      </c>
      <c r="C1483" s="1">
        <v>9.0</v>
      </c>
      <c r="D1483" s="1" t="s">
        <v>6</v>
      </c>
      <c r="E1483" s="1"/>
    </row>
    <row r="1484" ht="14.25" customHeight="1">
      <c r="A1484" s="1">
        <v>100.0</v>
      </c>
      <c r="B1484" s="1" t="s">
        <v>245</v>
      </c>
      <c r="C1484" s="1">
        <v>10.0</v>
      </c>
      <c r="D1484" s="2" t="s">
        <v>686</v>
      </c>
      <c r="E1484" s="1" t="str">
        <f>IFERROR(__xludf.DUMMYFUNCTION("GOOGLETRANSLATE(D1484,""PT"",""EN"")"),"Agility is personality in service is relationship")</f>
        <v>Agility is personality in service is relationship</v>
      </c>
    </row>
    <row r="1485" ht="14.25" customHeight="1">
      <c r="A1485" s="1">
        <v>33.0</v>
      </c>
      <c r="B1485" s="1" t="s">
        <v>687</v>
      </c>
      <c r="C1485" s="1">
        <v>0.0</v>
      </c>
      <c r="D1485" s="2" t="s">
        <v>688</v>
      </c>
      <c r="E1485" s="1" t="str">
        <f>IFERROR(__xludf.DUMMYFUNCTION("GOOGLETRANSLATE(D1485,""PT"",""EN"")"),"I asked to end the account is not closed ...")</f>
        <v>I asked to end the account is not closed ...</v>
      </c>
    </row>
    <row r="1486" ht="14.25" customHeight="1">
      <c r="A1486" s="1">
        <v>100.0</v>
      </c>
      <c r="B1486" s="1" t="s">
        <v>245</v>
      </c>
      <c r="C1486" s="1">
        <v>10.0</v>
      </c>
      <c r="D1486" s="1" t="s">
        <v>689</v>
      </c>
      <c r="E1486" s="1" t="str">
        <f>IFERROR(__xludf.DUMMYFUNCTION("GOOGLETRANSLATE(D1486,""PT"",""EN"")"),"Always very well attended")</f>
        <v>Always very well attended</v>
      </c>
    </row>
    <row r="1487" ht="14.25" customHeight="1">
      <c r="A1487" s="1">
        <v>33.0</v>
      </c>
      <c r="B1487" s="1" t="s">
        <v>687</v>
      </c>
      <c r="C1487" s="1">
        <v>0.0</v>
      </c>
      <c r="D1487" s="2" t="s">
        <v>690</v>
      </c>
      <c r="E1487" s="1" t="str">
        <f>IFERROR(__xludf.DUMMYFUNCTION("GOOGLETRANSLATE(D1487,""PT"",""EN"")"),"Lack of transparency, it is charging fees by episode. Pure slutty")</f>
        <v>Lack of transparency, it is charging fees by episode. Pure slutty</v>
      </c>
    </row>
    <row r="1488" ht="14.25" customHeight="1">
      <c r="A1488" s="1">
        <v>100.0</v>
      </c>
      <c r="B1488" s="1" t="s">
        <v>687</v>
      </c>
      <c r="C1488" s="1">
        <v>10.0</v>
      </c>
      <c r="D1488" s="1" t="s">
        <v>6</v>
      </c>
      <c r="E1488" s="1"/>
    </row>
    <row r="1489" ht="14.25" customHeight="1">
      <c r="A1489" s="1">
        <v>100.0</v>
      </c>
      <c r="B1489" s="1" t="s">
        <v>687</v>
      </c>
      <c r="C1489" s="1">
        <v>10.0</v>
      </c>
      <c r="D1489" s="1" t="s">
        <v>691</v>
      </c>
      <c r="E1489" s="1" t="str">
        <f>IFERROR(__xludf.DUMMYFUNCTION("GOOGLETRANSLATE(D1489,""PT"",""EN"")"),"Excellent bank in service!")</f>
        <v>Excellent bank in service!</v>
      </c>
    </row>
    <row r="1490" ht="14.25" customHeight="1">
      <c r="A1490" s="1">
        <v>100.0</v>
      </c>
      <c r="B1490" s="1" t="s">
        <v>687</v>
      </c>
      <c r="C1490" s="1">
        <v>10.0</v>
      </c>
      <c r="D1490" s="1" t="s">
        <v>692</v>
      </c>
      <c r="E1490" s="1" t="str">
        <f>IFERROR(__xludf.DUMMYFUNCTION("GOOGLETRANSLATE(D1490,""PT"",""EN"")"),"Very pleased with the cooperative always met the needs of my company.")</f>
        <v>Very pleased with the cooperative always met the needs of my company.</v>
      </c>
    </row>
    <row r="1491" ht="14.25" customHeight="1">
      <c r="A1491" s="1">
        <v>100.0</v>
      </c>
      <c r="B1491" s="1" t="s">
        <v>687</v>
      </c>
      <c r="C1491" s="1">
        <v>10.0</v>
      </c>
      <c r="D1491" s="1" t="s">
        <v>693</v>
      </c>
      <c r="E1491" s="1" t="str">
        <f>IFERROR(__xludf.DUMMYFUNCTION("GOOGLETRANSLATE(D1491,""PT"",""EN"")"),"Low interest")</f>
        <v>Low interest</v>
      </c>
    </row>
    <row r="1492" ht="14.25" customHeight="1">
      <c r="A1492" s="1">
        <v>100.0</v>
      </c>
      <c r="B1492" s="1" t="s">
        <v>687</v>
      </c>
      <c r="C1492" s="1">
        <v>10.0</v>
      </c>
      <c r="D1492" s="1" t="s">
        <v>6</v>
      </c>
      <c r="E1492" s="1"/>
    </row>
    <row r="1493" ht="14.25" customHeight="1">
      <c r="A1493" s="1">
        <v>100.0</v>
      </c>
      <c r="B1493" s="1" t="s">
        <v>687</v>
      </c>
      <c r="C1493" s="1">
        <v>9.0</v>
      </c>
      <c r="D1493" s="1" t="s">
        <v>6</v>
      </c>
      <c r="E1493" s="1"/>
    </row>
    <row r="1494" ht="14.25" customHeight="1">
      <c r="A1494" s="1">
        <v>100.0</v>
      </c>
      <c r="B1494" s="1" t="s">
        <v>687</v>
      </c>
      <c r="C1494" s="1">
        <v>10.0</v>
      </c>
      <c r="D1494" s="1" t="s">
        <v>694</v>
      </c>
      <c r="E1494" s="1" t="str">
        <f>IFERROR(__xludf.DUMMYFUNCTION("GOOGLETRANSLATE(D1494,""PT"",""EN"")"),"All the best")</f>
        <v>All the best</v>
      </c>
    </row>
    <row r="1495" ht="14.25" customHeight="1">
      <c r="A1495" s="1">
        <v>100.0</v>
      </c>
      <c r="B1495" s="1" t="s">
        <v>687</v>
      </c>
      <c r="C1495" s="1">
        <v>10.0</v>
      </c>
      <c r="D1495" s="1" t="s">
        <v>6</v>
      </c>
      <c r="E1495" s="1"/>
    </row>
    <row r="1496" ht="14.25" customHeight="1">
      <c r="A1496" s="1">
        <v>33.0</v>
      </c>
      <c r="B1496" s="1" t="s">
        <v>687</v>
      </c>
      <c r="C1496" s="1">
        <v>5.0</v>
      </c>
      <c r="D1496" s="1" t="s">
        <v>6</v>
      </c>
      <c r="E1496" s="1"/>
    </row>
    <row r="1497" ht="14.25" customHeight="1">
      <c r="A1497" s="1">
        <v>100.0</v>
      </c>
      <c r="B1497" s="1" t="s">
        <v>687</v>
      </c>
      <c r="C1497" s="1">
        <v>10.0</v>
      </c>
      <c r="D1497" s="2" t="s">
        <v>695</v>
      </c>
      <c r="E1497" s="1" t="str">
        <f>IFERROR(__xludf.DUMMYFUNCTION("GOOGLETRANSLATE(D1497,""PT"",""EN"")"),"I was always very well attended to my agency")</f>
        <v>I was always very well attended to my agency</v>
      </c>
    </row>
    <row r="1498" ht="14.25" customHeight="1">
      <c r="A1498" s="1">
        <v>100.0</v>
      </c>
      <c r="B1498" s="1" t="s">
        <v>687</v>
      </c>
      <c r="C1498" s="1">
        <v>9.0</v>
      </c>
      <c r="D1498" s="2" t="s">
        <v>696</v>
      </c>
      <c r="E1498" s="1" t="str">
        <f>IFERROR(__xludf.DUMMYFUNCTION("GOOGLETRANSLATE(D1498,""PT"",""EN"")"),"More humanized service, low cost today fully meets me.")</f>
        <v>More humanized service, low cost today fully meets me.</v>
      </c>
    </row>
    <row r="1499" ht="14.25" customHeight="1">
      <c r="A1499" s="1">
        <v>100.0</v>
      </c>
      <c r="B1499" s="1" t="s">
        <v>687</v>
      </c>
      <c r="C1499" s="1">
        <v>10.0</v>
      </c>
      <c r="D1499" s="2" t="s">
        <v>697</v>
      </c>
      <c r="E1499" s="1" t="str">
        <f>IFERROR(__xludf.DUMMYFUNCTION("GOOGLETRANSLATE(D1499,""PT"",""EN"")"),"Very good I really liked this bank")</f>
        <v>Very good I really liked this bank</v>
      </c>
    </row>
    <row r="1500" ht="14.25" customHeight="1">
      <c r="A1500" s="1">
        <v>33.0</v>
      </c>
      <c r="B1500" s="1" t="s">
        <v>687</v>
      </c>
      <c r="C1500" s="1">
        <v>2.0</v>
      </c>
      <c r="D1500" s="2" t="s">
        <v>698</v>
      </c>
      <c r="E1500" s="1" t="str">
        <f>IFERROR(__xludf.DUMMYFUNCTION("GOOGLETRANSLATE(D1500,""PT"",""EN"")"),"Lack of empathy with client, no cooperativism is not the congruence employee very bad skilled")</f>
        <v>Lack of empathy with client, no cooperativism is not the congruence employee very bad skilled</v>
      </c>
    </row>
    <row r="1501" ht="14.25" customHeight="1">
      <c r="A1501" s="1">
        <v>100.0</v>
      </c>
      <c r="B1501" s="1" t="s">
        <v>687</v>
      </c>
      <c r="C1501" s="1">
        <v>10.0</v>
      </c>
      <c r="D1501" s="1" t="s">
        <v>6</v>
      </c>
      <c r="E1501" s="1"/>
    </row>
    <row r="1502" ht="14.25" customHeight="1">
      <c r="A1502" s="1">
        <v>100.0</v>
      </c>
      <c r="B1502" s="1" t="s">
        <v>687</v>
      </c>
      <c r="C1502" s="1">
        <v>9.0</v>
      </c>
      <c r="D1502" s="1" t="s">
        <v>85</v>
      </c>
      <c r="E1502" s="1" t="str">
        <f>IFERROR(__xludf.DUMMYFUNCTION("GOOGLETRANSLATE(D1502,""PT"",""EN"")"),"Service")</f>
        <v>Service</v>
      </c>
    </row>
    <row r="1503" ht="14.25" customHeight="1">
      <c r="A1503" s="1">
        <v>33.0</v>
      </c>
      <c r="B1503" s="1" t="s">
        <v>687</v>
      </c>
      <c r="C1503" s="1">
        <v>0.0</v>
      </c>
      <c r="D1503" s="2" t="s">
        <v>699</v>
      </c>
      <c r="E1503" s="1" t="str">
        <f>IFERROR(__xludf.DUMMYFUNCTION("GOOGLETRANSLATE(D1503,""PT"",""EN"")"),"All very slow, there is no agility, I ask for a credit takes weeks is me that I have to go after the answers, management is only in blah blah blah we are in the 21st century")</f>
        <v>All very slow, there is no agility, I ask for a credit takes weeks is me that I have to go after the answers, management is only in blah blah blah we are in the 21st century</v>
      </c>
    </row>
    <row r="1504" ht="14.25" customHeight="1">
      <c r="A1504" s="1">
        <v>100.0</v>
      </c>
      <c r="B1504" s="1" t="s">
        <v>687</v>
      </c>
      <c r="C1504" s="1">
        <v>10.0</v>
      </c>
      <c r="D1504" s="2" t="s">
        <v>700</v>
      </c>
      <c r="E1504" s="1" t="str">
        <f>IFERROR(__xludf.DUMMYFUNCTION("GOOGLETRANSLATE(D1504,""PT"",""EN"")"),"Always meets me well is with transparency")</f>
        <v>Always meets me well is with transparency</v>
      </c>
    </row>
    <row r="1505" ht="14.25" customHeight="1">
      <c r="A1505" s="1">
        <v>100.0</v>
      </c>
      <c r="B1505" s="1" t="s">
        <v>687</v>
      </c>
      <c r="C1505" s="1">
        <v>10.0</v>
      </c>
      <c r="D1505" s="1" t="s">
        <v>85</v>
      </c>
      <c r="E1505" s="1" t="str">
        <f>IFERROR(__xludf.DUMMYFUNCTION("GOOGLETRANSLATE(D1505,""PT"",""EN"")"),"Service")</f>
        <v>Service</v>
      </c>
    </row>
    <row r="1506" ht="14.25" customHeight="1">
      <c r="A1506" s="1">
        <v>100.0</v>
      </c>
      <c r="B1506" s="1" t="s">
        <v>687</v>
      </c>
      <c r="C1506" s="1">
        <v>10.0</v>
      </c>
      <c r="D1506" s="1" t="s">
        <v>6</v>
      </c>
      <c r="E1506" s="1"/>
    </row>
    <row r="1507" ht="14.25" customHeight="1">
      <c r="A1507" s="1">
        <v>100.0</v>
      </c>
      <c r="B1507" s="1" t="s">
        <v>687</v>
      </c>
      <c r="C1507" s="1">
        <v>10.0</v>
      </c>
      <c r="D1507" s="2" t="s">
        <v>701</v>
      </c>
      <c r="E1507" s="1" t="str">
        <f>IFERROR(__xludf.DUMMYFUNCTION("GOOGLETRANSLATE(D1507,""PT"",""EN"")"),"Very reliable, we always recommend that we can work for the growth of the cooperative.")</f>
        <v>Very reliable, we always recommend that we can work for the growth of the cooperative.</v>
      </c>
    </row>
    <row r="1508" ht="14.25" customHeight="1">
      <c r="A1508" s="1">
        <v>100.0</v>
      </c>
      <c r="B1508" s="1" t="s">
        <v>687</v>
      </c>
      <c r="C1508" s="1">
        <v>9.0</v>
      </c>
      <c r="D1508" s="1" t="s">
        <v>6</v>
      </c>
      <c r="E1508" s="1"/>
    </row>
    <row r="1509" ht="14.25" customHeight="1">
      <c r="A1509" s="1">
        <v>100.0</v>
      </c>
      <c r="B1509" s="1" t="s">
        <v>687</v>
      </c>
      <c r="C1509" s="1">
        <v>10.0</v>
      </c>
      <c r="D1509" s="1" t="s">
        <v>702</v>
      </c>
      <c r="E1509" s="1" t="str">
        <f>IFERROR(__xludf.DUMMYFUNCTION("GOOGLETRANSLATE(D1509,""PT"",""EN"")"),"very helpful,")</f>
        <v>very helpful,</v>
      </c>
    </row>
    <row r="1510" ht="14.25" customHeight="1">
      <c r="A1510" s="1">
        <v>100.0</v>
      </c>
      <c r="B1510" s="1" t="s">
        <v>687</v>
      </c>
      <c r="C1510" s="1">
        <v>10.0</v>
      </c>
      <c r="D1510" s="1" t="s">
        <v>6</v>
      </c>
      <c r="E1510" s="1"/>
    </row>
    <row r="1511" ht="14.25" customHeight="1">
      <c r="A1511" s="1">
        <v>100.0</v>
      </c>
      <c r="B1511" s="1" t="s">
        <v>687</v>
      </c>
      <c r="C1511" s="1">
        <v>10.0</v>
      </c>
      <c r="D1511" s="1" t="s">
        <v>6</v>
      </c>
      <c r="E1511" s="1"/>
    </row>
    <row r="1512" ht="14.25" customHeight="1">
      <c r="A1512" s="1">
        <v>100.0</v>
      </c>
      <c r="B1512" s="1" t="s">
        <v>687</v>
      </c>
      <c r="C1512" s="1">
        <v>10.0</v>
      </c>
      <c r="D1512" s="1" t="s">
        <v>703</v>
      </c>
      <c r="E1512" s="1" t="str">
        <f>IFERROR(__xludf.DUMMYFUNCTION("GOOGLETRANSLATE(D1512,""PT"",""EN"")"),"Banco Friend, understand your needs")</f>
        <v>Banco Friend, understand your needs</v>
      </c>
    </row>
    <row r="1513" ht="14.25" customHeight="1">
      <c r="A1513" s="1">
        <v>100.0</v>
      </c>
      <c r="B1513" s="1" t="s">
        <v>687</v>
      </c>
      <c r="C1513" s="1">
        <v>10.0</v>
      </c>
      <c r="D1513" s="1" t="s">
        <v>704</v>
      </c>
      <c r="E1513" s="1" t="str">
        <f>IFERROR(__xludf.DUMMYFUNCTION("GOOGLETRANSLATE(D1513,""PT"",""EN"")"),"Convenience, service web tools.")</f>
        <v>Convenience, service web tools.</v>
      </c>
    </row>
    <row r="1514" ht="14.25" customHeight="1">
      <c r="A1514" s="1">
        <v>100.0</v>
      </c>
      <c r="B1514" s="1" t="s">
        <v>687</v>
      </c>
      <c r="C1514" s="1">
        <v>10.0</v>
      </c>
      <c r="D1514" s="2" t="s">
        <v>705</v>
      </c>
      <c r="E1514" s="1" t="str">
        <f>IFERROR(__xludf.DUMMYFUNCTION("GOOGLETRANSLATE(D1514,""PT"",""EN"")"),"For the faithfulness that Sicoob has with its customers")</f>
        <v>For the faithfulness that Sicoob has with its customers</v>
      </c>
    </row>
    <row r="1515" ht="14.25" customHeight="1">
      <c r="A1515" s="1">
        <v>100.0</v>
      </c>
      <c r="B1515" s="1" t="s">
        <v>687</v>
      </c>
      <c r="C1515" s="1">
        <v>10.0</v>
      </c>
      <c r="D1515" s="1" t="s">
        <v>706</v>
      </c>
      <c r="E1515" s="1" t="str">
        <f>IFERROR(__xludf.DUMMYFUNCTION("GOOGLETRANSLATE(D1515,""PT"",""EN"")"),"The best financial institution to work with.")</f>
        <v>The best financial institution to work with.</v>
      </c>
    </row>
    <row r="1516" ht="14.25" customHeight="1">
      <c r="A1516" s="1">
        <v>100.0</v>
      </c>
      <c r="B1516" s="1" t="s">
        <v>687</v>
      </c>
      <c r="C1516" s="1">
        <v>10.0</v>
      </c>
      <c r="D1516" s="1" t="s">
        <v>707</v>
      </c>
      <c r="E1516" s="1" t="str">
        <f>IFERROR(__xludf.DUMMYFUNCTION("GOOGLETRANSLATE(D1516,""PT"",""EN"")"),"Very cordial, attentive staff, with great availability")</f>
        <v>Very cordial, attentive staff, with great availability</v>
      </c>
    </row>
    <row r="1517" ht="14.25" customHeight="1">
      <c r="A1517" s="1">
        <v>100.0</v>
      </c>
      <c r="B1517" s="1" t="s">
        <v>687</v>
      </c>
      <c r="C1517" s="1">
        <v>10.0</v>
      </c>
      <c r="D1517" s="1" t="s">
        <v>6</v>
      </c>
      <c r="E1517" s="1"/>
    </row>
    <row r="1518" ht="14.25" customHeight="1">
      <c r="A1518" s="1">
        <v>100.0</v>
      </c>
      <c r="B1518" s="1" t="s">
        <v>687</v>
      </c>
      <c r="C1518" s="1">
        <v>10.0</v>
      </c>
      <c r="D1518" s="1" t="s">
        <v>166</v>
      </c>
      <c r="E1518" s="1" t="str">
        <f>IFERROR(__xludf.DUMMYFUNCTION("GOOGLETRANSLATE(D1518,""PT"",""EN"")"),"Excellent service.")</f>
        <v>Excellent service.</v>
      </c>
    </row>
    <row r="1519" ht="14.25" customHeight="1">
      <c r="A1519" s="1">
        <v>100.0</v>
      </c>
      <c r="B1519" s="1" t="s">
        <v>687</v>
      </c>
      <c r="C1519" s="1">
        <v>10.0</v>
      </c>
      <c r="D1519" s="1" t="s">
        <v>6</v>
      </c>
      <c r="E1519" s="1"/>
    </row>
    <row r="1520" ht="14.25" customHeight="1">
      <c r="A1520" s="1">
        <v>100.0</v>
      </c>
      <c r="B1520" s="1" t="s">
        <v>687</v>
      </c>
      <c r="C1520" s="1">
        <v>10.0</v>
      </c>
      <c r="D1520" s="1" t="s">
        <v>37</v>
      </c>
      <c r="E1520" s="1" t="str">
        <f>IFERROR(__xludf.DUMMYFUNCTION("GOOGLETRANSLATE(D1520,""PT"",""EN"")"),"Great service")</f>
        <v>Great service</v>
      </c>
    </row>
    <row r="1521" ht="14.25" customHeight="1">
      <c r="A1521" s="1">
        <v>33.0</v>
      </c>
      <c r="B1521" s="1" t="s">
        <v>687</v>
      </c>
      <c r="C1521" s="1">
        <v>2.0</v>
      </c>
      <c r="D1521" s="2" t="s">
        <v>708</v>
      </c>
      <c r="E1521" s="1" t="str">
        <f>IFERROR(__xludf.DUMMYFUNCTION("GOOGLETRANSLATE(D1521,""PT"",""EN"")"),"I was not well received by the bank")</f>
        <v>I was not well received by the bank</v>
      </c>
    </row>
    <row r="1522" ht="14.25" customHeight="1">
      <c r="A1522" s="1">
        <v>100.0</v>
      </c>
      <c r="B1522" s="1" t="s">
        <v>687</v>
      </c>
      <c r="C1522" s="1">
        <v>10.0</v>
      </c>
      <c r="D1522" s="1" t="s">
        <v>709</v>
      </c>
      <c r="E1522" s="1" t="str">
        <f>IFERROR(__xludf.DUMMYFUNCTION("GOOGLETRANSLATE(D1522,""PT"",""EN"")"),"Excellent manager")</f>
        <v>Excellent manager</v>
      </c>
    </row>
    <row r="1523" ht="14.25" customHeight="1">
      <c r="A1523" s="1">
        <v>100.0</v>
      </c>
      <c r="B1523" s="1" t="s">
        <v>687</v>
      </c>
      <c r="C1523" s="1">
        <v>10.0</v>
      </c>
      <c r="D1523" s="1" t="s">
        <v>6</v>
      </c>
      <c r="E1523" s="1"/>
    </row>
    <row r="1524" ht="14.25" customHeight="1">
      <c r="A1524" s="1">
        <v>100.0</v>
      </c>
      <c r="B1524" s="1" t="s">
        <v>687</v>
      </c>
      <c r="C1524" s="1">
        <v>10.0</v>
      </c>
      <c r="D1524" s="1" t="s">
        <v>6</v>
      </c>
      <c r="E1524" s="1"/>
    </row>
    <row r="1525" ht="14.25" customHeight="1">
      <c r="A1525" s="1">
        <v>33.0</v>
      </c>
      <c r="B1525" s="1" t="s">
        <v>687</v>
      </c>
      <c r="C1525" s="1">
        <v>4.0</v>
      </c>
      <c r="D1525" s="1" t="s">
        <v>6</v>
      </c>
      <c r="E1525" s="1"/>
    </row>
    <row r="1526" ht="14.25" customHeight="1">
      <c r="A1526" s="1">
        <v>100.0</v>
      </c>
      <c r="B1526" s="1" t="s">
        <v>687</v>
      </c>
      <c r="C1526" s="1">
        <v>10.0</v>
      </c>
      <c r="D1526" s="1" t="s">
        <v>6</v>
      </c>
      <c r="E1526" s="1"/>
    </row>
    <row r="1527" ht="14.25" customHeight="1">
      <c r="A1527" s="1">
        <v>33.0</v>
      </c>
      <c r="B1527" s="1" t="s">
        <v>687</v>
      </c>
      <c r="C1527" s="1">
        <v>0.0</v>
      </c>
      <c r="D1527" s="2" t="s">
        <v>710</v>
      </c>
      <c r="E1527" s="1" t="str">
        <f>IFERROR(__xludf.DUMMYFUNCTION("GOOGLETRANSLATE(D1527,""PT"",""EN"")"),"Does not respect your customers, sell a product but not time for delivery requires a lot of things that have not been punctuated on sale. Bank shit.")</f>
        <v>Does not respect your customers, sell a product but not time for delivery requires a lot of things that have not been punctuated on sale. Bank shit.</v>
      </c>
    </row>
    <row r="1528" ht="14.25" customHeight="1">
      <c r="A1528" s="1">
        <v>100.0</v>
      </c>
      <c r="B1528" s="1" t="s">
        <v>687</v>
      </c>
      <c r="C1528" s="1">
        <v>10.0</v>
      </c>
      <c r="D1528" s="1" t="s">
        <v>6</v>
      </c>
      <c r="E1528" s="1"/>
    </row>
    <row r="1529" ht="14.25" customHeight="1">
      <c r="A1529" s="1">
        <v>33.0</v>
      </c>
      <c r="B1529" s="1" t="s">
        <v>687</v>
      </c>
      <c r="C1529" s="1">
        <v>2.0</v>
      </c>
      <c r="D1529" s="1" t="s">
        <v>6</v>
      </c>
      <c r="E1529" s="1"/>
    </row>
    <row r="1530" ht="14.25" customHeight="1">
      <c r="A1530" s="1">
        <v>100.0</v>
      </c>
      <c r="B1530" s="1" t="s">
        <v>687</v>
      </c>
      <c r="C1530" s="1">
        <v>10.0</v>
      </c>
      <c r="D1530" s="1" t="s">
        <v>6</v>
      </c>
      <c r="E1530" s="1"/>
    </row>
    <row r="1531" ht="14.25" customHeight="1">
      <c r="A1531" s="1">
        <v>100.0</v>
      </c>
      <c r="B1531" s="1" t="s">
        <v>687</v>
      </c>
      <c r="C1531" s="1">
        <v>10.0</v>
      </c>
      <c r="D1531" s="1" t="s">
        <v>6</v>
      </c>
      <c r="E1531" s="1"/>
    </row>
    <row r="1532" ht="14.25" customHeight="1">
      <c r="A1532" s="1">
        <v>33.0</v>
      </c>
      <c r="B1532" s="1" t="s">
        <v>687</v>
      </c>
      <c r="C1532" s="1">
        <v>2.0</v>
      </c>
      <c r="D1532" s="2" t="s">
        <v>711</v>
      </c>
      <c r="E1532" s="1" t="str">
        <f>IFERROR(__xludf.DUMMYFUNCTION("GOOGLETRANSLATE(D1532,""PT"",""EN"")"),"Lack of benefits for us, I took my extract to another bank gave me a good account limit is very good credit card, now Sicoob never gave me any card of 200 reais! So because I only have about 6 years of account until I stopped moving my account")</f>
        <v>Lack of benefits for us, I took my extract to another bank gave me a good account limit is very good credit card, now Sicoob never gave me any card of 200 reais! So because I only have about 6 years of account until I stopped moving my account</v>
      </c>
    </row>
    <row r="1533" ht="14.25" customHeight="1">
      <c r="A1533" s="1">
        <v>100.0</v>
      </c>
      <c r="B1533" s="1" t="s">
        <v>687</v>
      </c>
      <c r="C1533" s="1">
        <v>10.0</v>
      </c>
      <c r="D1533" s="1" t="s">
        <v>712</v>
      </c>
      <c r="E1533" s="1" t="str">
        <f>IFERROR(__xludf.DUMMYFUNCTION("GOOGLETRANSLATE(D1533,""PT"",""EN"")"),"Ten")</f>
        <v>Ten</v>
      </c>
    </row>
    <row r="1534" ht="14.25" customHeight="1">
      <c r="A1534" s="1">
        <v>100.0</v>
      </c>
      <c r="B1534" s="1" t="s">
        <v>687</v>
      </c>
      <c r="C1534" s="1">
        <v>10.0</v>
      </c>
      <c r="D1534" s="2" t="s">
        <v>700</v>
      </c>
      <c r="E1534" s="1" t="str">
        <f>IFERROR(__xludf.DUMMYFUNCTION("GOOGLETRANSLATE(D1534,""PT"",""EN"")"),"Always meets me well is with transparency")</f>
        <v>Always meets me well is with transparency</v>
      </c>
    </row>
    <row r="1535" ht="14.25" customHeight="1">
      <c r="A1535" s="1">
        <v>33.0</v>
      </c>
      <c r="B1535" s="1" t="s">
        <v>687</v>
      </c>
      <c r="C1535" s="1">
        <v>1.0</v>
      </c>
      <c r="D1535" s="1" t="s">
        <v>713</v>
      </c>
      <c r="E1535" s="1" t="str">
        <f>IFERROR(__xludf.DUMMYFUNCTION("GOOGLETRANSLATE(D1535,""PT"",""EN"")"),"Bad manager!")</f>
        <v>Bad manager!</v>
      </c>
    </row>
    <row r="1536" ht="14.25" customHeight="1">
      <c r="A1536" s="1">
        <v>100.0</v>
      </c>
      <c r="B1536" s="1" t="s">
        <v>687</v>
      </c>
      <c r="C1536" s="1">
        <v>10.0</v>
      </c>
      <c r="D1536" s="1" t="s">
        <v>6</v>
      </c>
      <c r="E1536" s="1"/>
    </row>
    <row r="1537" ht="14.25" customHeight="1">
      <c r="A1537" s="1">
        <v>100.0</v>
      </c>
      <c r="B1537" s="1" t="s">
        <v>687</v>
      </c>
      <c r="C1537" s="1">
        <v>10.0</v>
      </c>
      <c r="D1537" s="1" t="s">
        <v>6</v>
      </c>
      <c r="E1537" s="1"/>
    </row>
    <row r="1538" ht="14.25" customHeight="1">
      <c r="A1538" s="1">
        <v>33.0</v>
      </c>
      <c r="B1538" s="1" t="s">
        <v>687</v>
      </c>
      <c r="C1538" s="1">
        <v>5.0</v>
      </c>
      <c r="D1538" s="2" t="s">
        <v>714</v>
      </c>
      <c r="E1538" s="1" t="str">
        <f>IFERROR(__xludf.DUMMYFUNCTION("GOOGLETRANSLATE(D1538,""PT"",""EN"")"),"Bad service")</f>
        <v>Bad service</v>
      </c>
    </row>
    <row r="1539" ht="14.25" customHeight="1">
      <c r="A1539" s="1">
        <v>100.0</v>
      </c>
      <c r="B1539" s="1" t="s">
        <v>687</v>
      </c>
      <c r="C1539" s="1">
        <v>10.0</v>
      </c>
      <c r="D1539" s="2" t="s">
        <v>715</v>
      </c>
      <c r="E1539" s="1" t="str">
        <f>IFERROR(__xludf.DUMMYFUNCTION("GOOGLETRANSLATE(D1539,""PT"",""EN"")"),"Kindness is understanding")</f>
        <v>Kindness is understanding</v>
      </c>
    </row>
    <row r="1540" ht="14.25" customHeight="1">
      <c r="A1540" s="1">
        <v>66.0</v>
      </c>
      <c r="B1540" s="1" t="s">
        <v>687</v>
      </c>
      <c r="C1540" s="1">
        <v>8.0</v>
      </c>
      <c r="D1540" s="1" t="s">
        <v>716</v>
      </c>
      <c r="E1540" s="1" t="str">
        <f>IFERROR(__xludf.DUMMYFUNCTION("GOOGLETRANSLATE(D1540,""PT"",""EN"")"),"The good relationship with the customer")</f>
        <v>The good relationship with the customer</v>
      </c>
    </row>
    <row r="1541" ht="14.25" customHeight="1">
      <c r="A1541" s="1">
        <v>33.0</v>
      </c>
      <c r="B1541" s="1" t="s">
        <v>687</v>
      </c>
      <c r="C1541" s="1">
        <v>0.0</v>
      </c>
      <c r="D1541" s="2" t="s">
        <v>717</v>
      </c>
      <c r="E1541" s="1" t="str">
        <f>IFERROR(__xludf.DUMMYFUNCTION("GOOGLETRANSLATE(D1541,""PT"",""EN"")"),"Attendant in my city of Itapuranga was pessimal, in addition to hiding information about consortium")</f>
        <v>Attendant in my city of Itapuranga was pessimal, in addition to hiding information about consortium</v>
      </c>
    </row>
    <row r="1542" ht="14.25" customHeight="1">
      <c r="A1542" s="1">
        <v>100.0</v>
      </c>
      <c r="B1542" s="1" t="s">
        <v>687</v>
      </c>
      <c r="C1542" s="1">
        <v>9.0</v>
      </c>
      <c r="D1542" s="1" t="s">
        <v>718</v>
      </c>
      <c r="E1542" s="1" t="str">
        <f>IFERROR(__xludf.DUMMYFUNCTION("GOOGLETRANSLATE(D1542,""PT"",""EN"")"),"agility")</f>
        <v>agility</v>
      </c>
    </row>
    <row r="1543" ht="14.25" customHeight="1">
      <c r="A1543" s="1">
        <v>100.0</v>
      </c>
      <c r="B1543" s="1" t="s">
        <v>687</v>
      </c>
      <c r="C1543" s="1">
        <v>10.0</v>
      </c>
      <c r="D1543" s="1" t="s">
        <v>6</v>
      </c>
      <c r="E1543" s="1"/>
    </row>
    <row r="1544" ht="14.25" customHeight="1">
      <c r="A1544" s="1">
        <v>100.0</v>
      </c>
      <c r="B1544" s="1" t="s">
        <v>687</v>
      </c>
      <c r="C1544" s="1">
        <v>10.0</v>
      </c>
      <c r="D1544" s="1" t="s">
        <v>9</v>
      </c>
      <c r="E1544" s="1" t="str">
        <f>IFERROR(__xludf.DUMMYFUNCTION("GOOGLETRANSLATE(D1544,""PT"",""EN"")"),"10")</f>
        <v>10</v>
      </c>
    </row>
    <row r="1545" ht="14.25" customHeight="1">
      <c r="A1545" s="1">
        <v>100.0</v>
      </c>
      <c r="B1545" s="1" t="s">
        <v>687</v>
      </c>
      <c r="C1545" s="1">
        <v>10.0</v>
      </c>
      <c r="D1545" s="1" t="s">
        <v>6</v>
      </c>
      <c r="E1545" s="1"/>
    </row>
    <row r="1546" ht="14.25" customHeight="1">
      <c r="A1546" s="1">
        <v>100.0</v>
      </c>
      <c r="B1546" s="1" t="s">
        <v>687</v>
      </c>
      <c r="C1546" s="1">
        <v>10.0</v>
      </c>
      <c r="D1546" s="1" t="s">
        <v>6</v>
      </c>
      <c r="E1546" s="1"/>
    </row>
    <row r="1547" ht="14.25" customHeight="1">
      <c r="A1547" s="1">
        <v>100.0</v>
      </c>
      <c r="B1547" s="1" t="s">
        <v>687</v>
      </c>
      <c r="C1547" s="1">
        <v>10.0</v>
      </c>
      <c r="D1547" s="1" t="s">
        <v>6</v>
      </c>
      <c r="E1547" s="1"/>
    </row>
    <row r="1548" ht="14.25" customHeight="1">
      <c r="A1548" s="1">
        <v>100.0</v>
      </c>
      <c r="B1548" s="1" t="s">
        <v>687</v>
      </c>
      <c r="C1548" s="1">
        <v>10.0</v>
      </c>
      <c r="D1548" s="1" t="s">
        <v>85</v>
      </c>
      <c r="E1548" s="1" t="str">
        <f>IFERROR(__xludf.DUMMYFUNCTION("GOOGLETRANSLATE(D1548,""PT"",""EN"")"),"Service")</f>
        <v>Service</v>
      </c>
    </row>
    <row r="1549" ht="14.25" customHeight="1">
      <c r="A1549" s="1">
        <v>100.0</v>
      </c>
      <c r="B1549" s="1" t="s">
        <v>687</v>
      </c>
      <c r="C1549" s="1">
        <v>10.0</v>
      </c>
      <c r="D1549" s="1" t="s">
        <v>165</v>
      </c>
      <c r="E1549" s="1" t="str">
        <f>IFERROR(__xludf.DUMMYFUNCTION("GOOGLETRANSLATE(D1549,""PT"",""EN"")"),"excellent service")</f>
        <v>excellent service</v>
      </c>
    </row>
    <row r="1550" ht="14.25" customHeight="1">
      <c r="A1550" s="1">
        <v>100.0</v>
      </c>
      <c r="B1550" s="1" t="s">
        <v>687</v>
      </c>
      <c r="C1550" s="1">
        <v>9.0</v>
      </c>
      <c r="D1550" s="1" t="s">
        <v>62</v>
      </c>
      <c r="E1550" s="1" t="str">
        <f>IFERROR(__xludf.DUMMYFUNCTION("GOOGLETRANSLATE(D1550,""PT"",""EN"")"),"Good service")</f>
        <v>Good service</v>
      </c>
    </row>
    <row r="1551" ht="14.25" customHeight="1">
      <c r="A1551" s="1">
        <v>100.0</v>
      </c>
      <c r="B1551" s="1" t="s">
        <v>687</v>
      </c>
      <c r="C1551" s="1">
        <v>10.0</v>
      </c>
      <c r="D1551" s="1" t="s">
        <v>719</v>
      </c>
      <c r="E1551" s="1" t="str">
        <f>IFERROR(__xludf.DUMMYFUNCTION("GOOGLETRANSLATE(D1551,""PT"",""EN"")"),"Good service sicoob")</f>
        <v>Good service sicoob</v>
      </c>
    </row>
    <row r="1552" ht="14.25" customHeight="1">
      <c r="A1552" s="1">
        <v>33.0</v>
      </c>
      <c r="B1552" s="1" t="s">
        <v>687</v>
      </c>
      <c r="C1552" s="1">
        <v>4.0</v>
      </c>
      <c r="D1552" s="2" t="s">
        <v>720</v>
      </c>
      <c r="E1552" s="1" t="str">
        <f>IFERROR(__xludf.DUMMYFUNCTION("GOOGLETRANSLATE(D1552,""PT"",""EN"")"),"I haven't used it yet")</f>
        <v>I haven't used it yet</v>
      </c>
    </row>
    <row r="1553" ht="14.25" customHeight="1">
      <c r="A1553" s="1">
        <v>100.0</v>
      </c>
      <c r="B1553" s="1" t="s">
        <v>687</v>
      </c>
      <c r="C1553" s="1">
        <v>10.0</v>
      </c>
      <c r="D1553" s="1" t="s">
        <v>6</v>
      </c>
      <c r="E1553" s="1"/>
    </row>
    <row r="1554" ht="14.25" customHeight="1">
      <c r="A1554" s="1">
        <v>100.0</v>
      </c>
      <c r="B1554" s="1" t="s">
        <v>687</v>
      </c>
      <c r="C1554" s="1">
        <v>10.0</v>
      </c>
      <c r="D1554" s="1" t="s">
        <v>6</v>
      </c>
      <c r="E1554" s="1"/>
    </row>
    <row r="1555" ht="14.25" customHeight="1">
      <c r="A1555" s="1">
        <v>100.0</v>
      </c>
      <c r="B1555" s="1" t="s">
        <v>687</v>
      </c>
      <c r="C1555" s="1">
        <v>10.0</v>
      </c>
      <c r="D1555" s="1" t="s">
        <v>721</v>
      </c>
      <c r="E1555" s="1" t="str">
        <f>IFERROR(__xludf.DUMMYFUNCTION("GOOGLETRANSLATE(D1555,""PT"",""EN"")"),"For service")</f>
        <v>For service</v>
      </c>
    </row>
    <row r="1556" ht="14.25" customHeight="1">
      <c r="A1556" s="1">
        <v>33.0</v>
      </c>
      <c r="B1556" s="1" t="s">
        <v>687</v>
      </c>
      <c r="C1556" s="1">
        <v>3.0</v>
      </c>
      <c r="D1556" s="2" t="s">
        <v>722</v>
      </c>
      <c r="E1556" s="1" t="str">
        <f>IFERROR(__xludf.DUMMYFUNCTION("GOOGLETRANSLATE(D1556,""PT"",""EN"")"),"It is not very good to release limit on the card")</f>
        <v>It is not very good to release limit on the card</v>
      </c>
    </row>
    <row r="1557" ht="14.25" customHeight="1">
      <c r="A1557" s="1">
        <v>100.0</v>
      </c>
      <c r="B1557" s="1" t="s">
        <v>687</v>
      </c>
      <c r="C1557" s="1">
        <v>10.0</v>
      </c>
      <c r="D1557" s="1" t="s">
        <v>6</v>
      </c>
      <c r="E1557" s="1"/>
    </row>
    <row r="1558" ht="14.25" customHeight="1">
      <c r="A1558" s="1">
        <v>100.0</v>
      </c>
      <c r="B1558" s="1" t="s">
        <v>687</v>
      </c>
      <c r="C1558" s="1">
        <v>10.0</v>
      </c>
      <c r="D1558" s="2" t="s">
        <v>723</v>
      </c>
      <c r="E1558" s="1" t="str">
        <f>IFERROR(__xludf.DUMMYFUNCTION("GOOGLETRANSLATE(D1558,""PT"",""EN"")"),"Quality service, egalitarian is fast.")</f>
        <v>Quality service, egalitarian is fast.</v>
      </c>
    </row>
    <row r="1559" ht="14.25" customHeight="1">
      <c r="A1559" s="1">
        <v>100.0</v>
      </c>
      <c r="B1559" s="1" t="s">
        <v>687</v>
      </c>
      <c r="C1559" s="1">
        <v>10.0</v>
      </c>
      <c r="D1559" s="2" t="s">
        <v>724</v>
      </c>
      <c r="E1559" s="1" t="str">
        <f>IFERROR(__xludf.DUMMYFUNCTION("GOOGLETRANSLATE(D1559,""PT"",""EN"")"),"Everything I needed worked")</f>
        <v>Everything I needed worked</v>
      </c>
    </row>
    <row r="1560" ht="14.25" customHeight="1">
      <c r="A1560" s="1">
        <v>100.0</v>
      </c>
      <c r="B1560" s="1" t="s">
        <v>687</v>
      </c>
      <c r="C1560" s="1">
        <v>9.0</v>
      </c>
      <c r="D1560" s="1" t="s">
        <v>725</v>
      </c>
      <c r="E1560" s="1" t="str">
        <f>IFERROR(__xludf.DUMMYFUNCTION("GOOGLETRANSLATE(D1560,""PT"",""EN"")"),"I'm treated as a family at my Sicoob agency")</f>
        <v>I'm treated as a family at my Sicoob agency</v>
      </c>
    </row>
    <row r="1561" ht="14.25" customHeight="1">
      <c r="A1561" s="1">
        <v>100.0</v>
      </c>
      <c r="B1561" s="1" t="s">
        <v>687</v>
      </c>
      <c r="C1561" s="1">
        <v>10.0</v>
      </c>
      <c r="D1561" s="2" t="s">
        <v>726</v>
      </c>
      <c r="E1561" s="1" t="str">
        <f>IFERROR(__xludf.DUMMYFUNCTION("GOOGLETRANSLATE(D1561,""PT"",""EN"")"),"Good service, quick problem solving is attention; reception")</f>
        <v>Good service, quick problem solving is attention; reception</v>
      </c>
    </row>
    <row r="1562" ht="14.25" customHeight="1">
      <c r="A1562" s="1">
        <v>100.0</v>
      </c>
      <c r="B1562" s="1" t="s">
        <v>687</v>
      </c>
      <c r="C1562" s="1">
        <v>10.0</v>
      </c>
      <c r="D1562" s="2" t="s">
        <v>727</v>
      </c>
      <c r="E1562" s="1" t="str">
        <f>IFERROR(__xludf.DUMMYFUNCTION("GOOGLETRANSLATE(D1562,""PT"",""EN"")"),"Great professionals fast service")</f>
        <v>Great professionals fast service</v>
      </c>
    </row>
    <row r="1563" ht="14.25" customHeight="1">
      <c r="A1563" s="1">
        <v>33.0</v>
      </c>
      <c r="B1563" s="1" t="s">
        <v>687</v>
      </c>
      <c r="C1563" s="1">
        <v>2.0</v>
      </c>
      <c r="D1563" s="1" t="s">
        <v>6</v>
      </c>
      <c r="E1563" s="1"/>
    </row>
    <row r="1564" ht="14.25" customHeight="1">
      <c r="A1564" s="1">
        <v>100.0</v>
      </c>
      <c r="B1564" s="1" t="s">
        <v>687</v>
      </c>
      <c r="C1564" s="1">
        <v>10.0</v>
      </c>
      <c r="D1564" s="1" t="s">
        <v>728</v>
      </c>
      <c r="E1564" s="1" t="str">
        <f>IFERROR(__xludf.DUMMYFUNCTION("GOOGLETRANSLATE(D1564,""PT"",""EN"")"),"Just work with him")</f>
        <v>Just work with him</v>
      </c>
    </row>
    <row r="1565" ht="14.25" customHeight="1">
      <c r="A1565" s="1">
        <v>100.0</v>
      </c>
      <c r="B1565" s="1" t="s">
        <v>687</v>
      </c>
      <c r="C1565" s="1">
        <v>10.0</v>
      </c>
      <c r="D1565" s="1" t="s">
        <v>6</v>
      </c>
      <c r="E1565" s="1"/>
    </row>
    <row r="1566" ht="14.25" customHeight="1">
      <c r="A1566" s="1">
        <v>33.0</v>
      </c>
      <c r="B1566" s="1" t="s">
        <v>687</v>
      </c>
      <c r="C1566" s="1">
        <v>1.0</v>
      </c>
      <c r="D1566" s="1" t="s">
        <v>6</v>
      </c>
      <c r="E1566" s="1"/>
    </row>
    <row r="1567" ht="14.25" customHeight="1">
      <c r="A1567" s="1">
        <v>33.0</v>
      </c>
      <c r="B1567" s="1" t="s">
        <v>687</v>
      </c>
      <c r="C1567" s="1">
        <v>0.0</v>
      </c>
      <c r="D1567" s="1" t="s">
        <v>6</v>
      </c>
      <c r="E1567" s="1"/>
    </row>
    <row r="1568" ht="14.25" customHeight="1">
      <c r="A1568" s="1">
        <v>33.0</v>
      </c>
      <c r="B1568" s="1" t="s">
        <v>687</v>
      </c>
      <c r="C1568" s="1">
        <v>0.0</v>
      </c>
      <c r="D1568" s="1" t="s">
        <v>6</v>
      </c>
      <c r="E1568" s="1"/>
    </row>
    <row r="1569" ht="14.25" customHeight="1">
      <c r="A1569" s="1">
        <v>100.0</v>
      </c>
      <c r="B1569" s="1" t="s">
        <v>687</v>
      </c>
      <c r="C1569" s="1">
        <v>10.0</v>
      </c>
      <c r="D1569" s="1" t="s">
        <v>6</v>
      </c>
      <c r="E1569" s="1"/>
    </row>
    <row r="1570" ht="14.25" customHeight="1">
      <c r="A1570" s="1">
        <v>100.0</v>
      </c>
      <c r="B1570" s="1" t="s">
        <v>687</v>
      </c>
      <c r="C1570" s="1">
        <v>10.0</v>
      </c>
      <c r="D1570" s="1" t="s">
        <v>6</v>
      </c>
      <c r="E1570" s="1"/>
    </row>
    <row r="1571" ht="14.25" customHeight="1">
      <c r="A1571" s="1">
        <v>100.0</v>
      </c>
      <c r="B1571" s="1" t="s">
        <v>687</v>
      </c>
      <c r="C1571" s="1">
        <v>10.0</v>
      </c>
      <c r="D1571" s="1" t="s">
        <v>6</v>
      </c>
      <c r="E1571" s="1"/>
    </row>
    <row r="1572" ht="14.25" customHeight="1">
      <c r="A1572" s="1">
        <v>100.0</v>
      </c>
      <c r="B1572" s="1" t="s">
        <v>687</v>
      </c>
      <c r="C1572" s="1">
        <v>9.0</v>
      </c>
      <c r="D1572" s="1" t="s">
        <v>631</v>
      </c>
      <c r="E1572" s="1" t="str">
        <f>IFERROR(__xludf.DUMMYFUNCTION("GOOGLETRANSLATE(D1572,""PT"",""EN"")"),"Good service")</f>
        <v>Good service</v>
      </c>
    </row>
    <row r="1573" ht="14.25" customHeight="1">
      <c r="A1573" s="1">
        <v>100.0</v>
      </c>
      <c r="B1573" s="1" t="s">
        <v>687</v>
      </c>
      <c r="C1573" s="1">
        <v>10.0</v>
      </c>
      <c r="D1573" s="1" t="s">
        <v>9</v>
      </c>
      <c r="E1573" s="1" t="str">
        <f>IFERROR(__xludf.DUMMYFUNCTION("GOOGLETRANSLATE(D1573,""PT"",""EN"")"),"10")</f>
        <v>10</v>
      </c>
    </row>
    <row r="1574" ht="14.25" customHeight="1">
      <c r="A1574" s="1">
        <v>33.0</v>
      </c>
      <c r="B1574" s="1" t="s">
        <v>687</v>
      </c>
      <c r="C1574" s="1">
        <v>3.0</v>
      </c>
      <c r="D1574" s="1" t="s">
        <v>6</v>
      </c>
      <c r="E1574" s="1"/>
    </row>
    <row r="1575" ht="14.25" customHeight="1">
      <c r="A1575" s="1">
        <v>100.0</v>
      </c>
      <c r="B1575" s="1" t="s">
        <v>687</v>
      </c>
      <c r="C1575" s="1">
        <v>10.0</v>
      </c>
      <c r="D1575" s="2" t="s">
        <v>729</v>
      </c>
      <c r="E1575" s="1" t="str">
        <f>IFERROR(__xludf.DUMMYFUNCTION("GOOGLETRANSLATE(D1575,""PT"",""EN"")"),"Good service from Banco Sicoob in Itapuranga, the attendants are very attentive.")</f>
        <v>Good service from Banco Sicoob in Itapuranga, the attendants are very attentive.</v>
      </c>
    </row>
    <row r="1576" ht="14.25" customHeight="1">
      <c r="A1576" s="1">
        <v>100.0</v>
      </c>
      <c r="B1576" s="1" t="s">
        <v>687</v>
      </c>
      <c r="C1576" s="1">
        <v>10.0</v>
      </c>
      <c r="D1576" s="1" t="s">
        <v>6</v>
      </c>
      <c r="E1576" s="1"/>
    </row>
    <row r="1577" ht="14.25" customHeight="1">
      <c r="A1577" s="1">
        <v>100.0</v>
      </c>
      <c r="B1577" s="1" t="s">
        <v>687</v>
      </c>
      <c r="C1577" s="1">
        <v>10.0</v>
      </c>
      <c r="D1577" s="1" t="s">
        <v>9</v>
      </c>
      <c r="E1577" s="1" t="str">
        <f>IFERROR(__xludf.DUMMYFUNCTION("GOOGLETRANSLATE(D1577,""PT"",""EN"")"),"10")</f>
        <v>10</v>
      </c>
    </row>
    <row r="1578" ht="14.25" customHeight="1">
      <c r="A1578" s="1">
        <v>100.0</v>
      </c>
      <c r="B1578" s="1" t="s">
        <v>687</v>
      </c>
      <c r="C1578" s="1">
        <v>10.0</v>
      </c>
      <c r="D1578" s="2" t="s">
        <v>730</v>
      </c>
      <c r="E1578" s="1" t="str">
        <f>IFERROR(__xludf.DUMMYFUNCTION("GOOGLETRANSLATE(D1578,""PT"",""EN"")"),"The service is agility !!")</f>
        <v>The service is agility !!</v>
      </c>
    </row>
    <row r="1579" ht="14.25" customHeight="1">
      <c r="A1579" s="1">
        <v>66.0</v>
      </c>
      <c r="B1579" s="1" t="s">
        <v>687</v>
      </c>
      <c r="C1579" s="1">
        <v>8.0</v>
      </c>
      <c r="D1579" s="1" t="s">
        <v>731</v>
      </c>
      <c r="E1579" s="1" t="str">
        <f>IFERROR(__xludf.DUMMYFUNCTION("GOOGLETRANSLATE(D1579,""PT"",""EN"")"),"I really like Sicoob, but I have seen more class corporatism than cooperation.")</f>
        <v>I really like Sicoob, but I have seen more class corporatism than cooperation.</v>
      </c>
    </row>
    <row r="1580" ht="14.25" customHeight="1">
      <c r="A1580" s="1">
        <v>100.0</v>
      </c>
      <c r="B1580" s="1" t="s">
        <v>687</v>
      </c>
      <c r="C1580" s="1">
        <v>10.0</v>
      </c>
      <c r="D1580" s="1" t="s">
        <v>208</v>
      </c>
      <c r="E1580" s="1" t="str">
        <f>IFERROR(__xludf.DUMMYFUNCTION("GOOGLETRANSLATE(D1580,""PT"",""EN"")"),"excellent")</f>
        <v>excellent</v>
      </c>
    </row>
    <row r="1581" ht="14.25" customHeight="1">
      <c r="A1581" s="1">
        <v>66.0</v>
      </c>
      <c r="B1581" s="1" t="s">
        <v>687</v>
      </c>
      <c r="C1581" s="1">
        <v>8.0</v>
      </c>
      <c r="D1581" s="1" t="s">
        <v>732</v>
      </c>
      <c r="E1581" s="1" t="str">
        <f>IFERROR(__xludf.DUMMYFUNCTION("GOOGLETRANSLATE(D1581,""PT"",""EN"")"),"Growth opportunity")</f>
        <v>Growth opportunity</v>
      </c>
    </row>
    <row r="1582" ht="14.25" customHeight="1">
      <c r="A1582" s="1">
        <v>100.0</v>
      </c>
      <c r="B1582" s="1" t="s">
        <v>687</v>
      </c>
      <c r="C1582" s="1">
        <v>10.0</v>
      </c>
      <c r="D1582" s="1" t="s">
        <v>6</v>
      </c>
      <c r="E1582" s="1"/>
    </row>
    <row r="1583" ht="14.25" customHeight="1">
      <c r="A1583" s="1">
        <v>100.0</v>
      </c>
      <c r="B1583" s="1" t="s">
        <v>687</v>
      </c>
      <c r="C1583" s="1">
        <v>9.0</v>
      </c>
      <c r="D1583" s="1" t="s">
        <v>6</v>
      </c>
      <c r="E1583" s="1"/>
    </row>
    <row r="1584" ht="14.25" customHeight="1">
      <c r="A1584" s="1">
        <v>100.0</v>
      </c>
      <c r="B1584" s="1" t="s">
        <v>687</v>
      </c>
      <c r="C1584" s="1">
        <v>10.0</v>
      </c>
      <c r="D1584" s="1" t="s">
        <v>62</v>
      </c>
      <c r="E1584" s="1" t="str">
        <f>IFERROR(__xludf.DUMMYFUNCTION("GOOGLETRANSLATE(D1584,""PT"",""EN"")"),"Good service")</f>
        <v>Good service</v>
      </c>
    </row>
    <row r="1585" ht="14.25" customHeight="1">
      <c r="A1585" s="1">
        <v>100.0</v>
      </c>
      <c r="B1585" s="1" t="s">
        <v>687</v>
      </c>
      <c r="C1585" s="1">
        <v>10.0</v>
      </c>
      <c r="D1585" s="2" t="s">
        <v>733</v>
      </c>
      <c r="E1585" s="1" t="str">
        <f>IFERROR(__xludf.DUMMYFUNCTION("GOOGLETRANSLATE(D1585,""PT"",""EN"")"),"My manager is the best! excellent service")</f>
        <v>My manager is the best! excellent service</v>
      </c>
    </row>
    <row r="1586" ht="14.25" customHeight="1">
      <c r="A1586" s="1">
        <v>33.0</v>
      </c>
      <c r="B1586" s="1" t="s">
        <v>687</v>
      </c>
      <c r="C1586" s="1">
        <v>5.0</v>
      </c>
      <c r="D1586" s="2" t="s">
        <v>734</v>
      </c>
      <c r="E1586" s="1" t="str">
        <f>IFERROR(__xludf.DUMMYFUNCTION("GOOGLETRANSLATE(D1586,""PT"",""EN"")"),"Very difficult lines of credit capital credit is other")</f>
        <v>Very difficult lines of credit capital credit is other</v>
      </c>
    </row>
    <row r="1587" ht="14.25" customHeight="1">
      <c r="A1587" s="1">
        <v>100.0</v>
      </c>
      <c r="B1587" s="1" t="s">
        <v>687</v>
      </c>
      <c r="C1587" s="1">
        <v>10.0</v>
      </c>
      <c r="D1587" s="1" t="s">
        <v>6</v>
      </c>
      <c r="E1587" s="1"/>
    </row>
    <row r="1588" ht="14.25" customHeight="1">
      <c r="A1588" s="1">
        <v>100.0</v>
      </c>
      <c r="B1588" s="1" t="s">
        <v>687</v>
      </c>
      <c r="C1588" s="1">
        <v>10.0</v>
      </c>
      <c r="D1588" s="1" t="s">
        <v>6</v>
      </c>
      <c r="E1588" s="1"/>
    </row>
    <row r="1589" ht="14.25" customHeight="1">
      <c r="A1589" s="1">
        <v>33.0</v>
      </c>
      <c r="B1589" s="1" t="s">
        <v>687</v>
      </c>
      <c r="C1589" s="1">
        <v>0.0</v>
      </c>
      <c r="D1589" s="1" t="s">
        <v>6</v>
      </c>
      <c r="E1589" s="1"/>
    </row>
    <row r="1590" ht="14.25" customHeight="1">
      <c r="A1590" s="1">
        <v>100.0</v>
      </c>
      <c r="B1590" s="1" t="s">
        <v>687</v>
      </c>
      <c r="C1590" s="1">
        <v>10.0</v>
      </c>
      <c r="D1590" s="1" t="s">
        <v>6</v>
      </c>
      <c r="E1590" s="1"/>
    </row>
    <row r="1591" ht="14.25" customHeight="1">
      <c r="A1591" s="1">
        <v>100.0</v>
      </c>
      <c r="B1591" s="1" t="s">
        <v>687</v>
      </c>
      <c r="C1591" s="1">
        <v>10.0</v>
      </c>
      <c r="D1591" s="1" t="s">
        <v>486</v>
      </c>
      <c r="E1591" s="1" t="str">
        <f>IFERROR(__xludf.DUMMYFUNCTION("GOOGLETRANSLATE(D1591,""PT"",""EN"")"),"Very good service")</f>
        <v>Very good service</v>
      </c>
    </row>
    <row r="1592" ht="14.25" customHeight="1">
      <c r="A1592" s="1">
        <v>100.0</v>
      </c>
      <c r="B1592" s="1" t="s">
        <v>687</v>
      </c>
      <c r="C1592" s="1">
        <v>10.0</v>
      </c>
      <c r="D1592" s="1" t="s">
        <v>6</v>
      </c>
      <c r="E1592" s="1"/>
    </row>
    <row r="1593" ht="14.25" customHeight="1">
      <c r="A1593" s="1">
        <v>100.0</v>
      </c>
      <c r="B1593" s="1" t="s">
        <v>687</v>
      </c>
      <c r="C1593" s="1">
        <v>10.0</v>
      </c>
      <c r="D1593" s="1" t="s">
        <v>6</v>
      </c>
      <c r="E1593" s="1"/>
    </row>
    <row r="1594" ht="14.25" customHeight="1">
      <c r="A1594" s="1">
        <v>100.0</v>
      </c>
      <c r="B1594" s="1" t="s">
        <v>687</v>
      </c>
      <c r="C1594" s="1">
        <v>10.0</v>
      </c>
      <c r="D1594" s="1" t="s">
        <v>6</v>
      </c>
      <c r="E1594" s="1"/>
    </row>
    <row r="1595" ht="14.25" customHeight="1">
      <c r="A1595" s="1">
        <v>33.0</v>
      </c>
      <c r="B1595" s="1" t="s">
        <v>687</v>
      </c>
      <c r="C1595" s="1">
        <v>6.0</v>
      </c>
      <c r="D1595" s="1" t="s">
        <v>6</v>
      </c>
      <c r="E1595" s="1"/>
    </row>
    <row r="1596" ht="14.25" customHeight="1">
      <c r="A1596" s="1">
        <v>100.0</v>
      </c>
      <c r="B1596" s="1" t="s">
        <v>687</v>
      </c>
      <c r="C1596" s="1">
        <v>10.0</v>
      </c>
      <c r="D1596" s="1" t="s">
        <v>6</v>
      </c>
      <c r="E1596" s="1"/>
    </row>
    <row r="1597" ht="14.25" customHeight="1">
      <c r="A1597" s="1">
        <v>100.0</v>
      </c>
      <c r="B1597" s="1" t="s">
        <v>687</v>
      </c>
      <c r="C1597" s="1">
        <v>10.0</v>
      </c>
      <c r="D1597" s="1" t="s">
        <v>62</v>
      </c>
      <c r="E1597" s="1" t="str">
        <f>IFERROR(__xludf.DUMMYFUNCTION("GOOGLETRANSLATE(D1597,""PT"",""EN"")"),"Good service")</f>
        <v>Good service</v>
      </c>
    </row>
    <row r="1598" ht="14.25" customHeight="1">
      <c r="A1598" s="1">
        <v>100.0</v>
      </c>
      <c r="B1598" s="1" t="s">
        <v>687</v>
      </c>
      <c r="C1598" s="1">
        <v>10.0</v>
      </c>
      <c r="D1598" s="1" t="s">
        <v>6</v>
      </c>
      <c r="E1598" s="1"/>
    </row>
    <row r="1599" ht="14.25" customHeight="1">
      <c r="A1599" s="1">
        <v>100.0</v>
      </c>
      <c r="B1599" s="1" t="s">
        <v>687</v>
      </c>
      <c r="C1599" s="1">
        <v>10.0</v>
      </c>
      <c r="D1599" s="1" t="s">
        <v>6</v>
      </c>
      <c r="E1599" s="1"/>
    </row>
    <row r="1600" ht="14.25" customHeight="1">
      <c r="A1600" s="1">
        <v>100.0</v>
      </c>
      <c r="B1600" s="1" t="s">
        <v>687</v>
      </c>
      <c r="C1600" s="1">
        <v>10.0</v>
      </c>
      <c r="D1600" s="1" t="s">
        <v>735</v>
      </c>
      <c r="E1600" s="1" t="str">
        <f>IFERROR(__xludf.DUMMYFUNCTION("GOOGLETRANSLATE(D1600,""PT"",""EN"")"),"NOTE 10. All team")</f>
        <v>NOTE 10. All team</v>
      </c>
    </row>
    <row r="1601" ht="14.25" customHeight="1">
      <c r="A1601" s="1">
        <v>100.0</v>
      </c>
      <c r="B1601" s="1" t="s">
        <v>687</v>
      </c>
      <c r="C1601" s="1">
        <v>10.0</v>
      </c>
      <c r="D1601" s="1" t="s">
        <v>352</v>
      </c>
      <c r="E1601" s="1" t="str">
        <f>IFERROR(__xludf.DUMMYFUNCTION("GOOGLETRANSLATE(D1601,""PT"",""EN"")"),"Top")</f>
        <v>Top</v>
      </c>
    </row>
    <row r="1602" ht="14.25" customHeight="1">
      <c r="A1602" s="1">
        <v>100.0</v>
      </c>
      <c r="B1602" s="1" t="s">
        <v>687</v>
      </c>
      <c r="C1602" s="1">
        <v>10.0</v>
      </c>
      <c r="D1602" s="1" t="s">
        <v>736</v>
      </c>
      <c r="E1602" s="1" t="str">
        <f>IFERROR(__xludf.DUMMYFUNCTION("GOOGLETRANSLATE(D1602,""PT"",""EN"")"),"Best atendiment")</f>
        <v>Best atendiment</v>
      </c>
    </row>
    <row r="1603" ht="14.25" customHeight="1">
      <c r="A1603" s="1">
        <v>100.0</v>
      </c>
      <c r="B1603" s="1" t="s">
        <v>687</v>
      </c>
      <c r="C1603" s="1">
        <v>10.0</v>
      </c>
      <c r="D1603" s="1" t="s">
        <v>22</v>
      </c>
      <c r="E1603" s="1" t="str">
        <f>IFERROR(__xludf.DUMMYFUNCTION("GOOGLETRANSLATE(D1603,""PT"",""EN"")"),"Excellent service")</f>
        <v>Excellent service</v>
      </c>
    </row>
    <row r="1604" ht="14.25" customHeight="1">
      <c r="A1604" s="1">
        <v>100.0</v>
      </c>
      <c r="B1604" s="1" t="s">
        <v>687</v>
      </c>
      <c r="C1604" s="1">
        <v>10.0</v>
      </c>
      <c r="D1604" s="1" t="s">
        <v>737</v>
      </c>
      <c r="E1604" s="1" t="str">
        <f>IFERROR(__xludf.DUMMYFUNCTION("GOOGLETRANSLATE(D1604,""PT"",""EN"")"),"Speed ​​in good service.")</f>
        <v>Speed ​​in good service.</v>
      </c>
    </row>
    <row r="1605" ht="14.25" customHeight="1">
      <c r="A1605" s="1">
        <v>33.0</v>
      </c>
      <c r="B1605" s="1" t="s">
        <v>687</v>
      </c>
      <c r="C1605" s="1">
        <v>1.0</v>
      </c>
      <c r="D1605" s="1" t="s">
        <v>738</v>
      </c>
      <c r="E1605" s="1" t="str">
        <f>IFERROR(__xludf.DUMMYFUNCTION("GOOGLETRANSLATE(D1605,""PT"",""EN"")"),"Manager with little resolution!")</f>
        <v>Manager with little resolution!</v>
      </c>
    </row>
    <row r="1606" ht="14.25" customHeight="1">
      <c r="A1606" s="1">
        <v>33.0</v>
      </c>
      <c r="B1606" s="1" t="s">
        <v>687</v>
      </c>
      <c r="C1606" s="1">
        <v>0.0</v>
      </c>
      <c r="D1606" s="1" t="s">
        <v>6</v>
      </c>
      <c r="E1606" s="1"/>
    </row>
    <row r="1607" ht="14.25" customHeight="1">
      <c r="A1607" s="1">
        <v>100.0</v>
      </c>
      <c r="B1607" s="1" t="s">
        <v>687</v>
      </c>
      <c r="C1607" s="1">
        <v>10.0</v>
      </c>
      <c r="D1607" s="1" t="s">
        <v>6</v>
      </c>
      <c r="E1607" s="1"/>
    </row>
    <row r="1608" ht="14.25" customHeight="1">
      <c r="A1608" s="1">
        <v>100.0</v>
      </c>
      <c r="B1608" s="1" t="s">
        <v>687</v>
      </c>
      <c r="C1608" s="1">
        <v>10.0</v>
      </c>
      <c r="D1608" s="2" t="s">
        <v>739</v>
      </c>
      <c r="E1608" s="1" t="str">
        <f>IFERROR(__xludf.DUMMYFUNCTION("GOOGLETRANSLATE(D1608,""PT"",""EN"")"),"The service of the employee Rossana, very polite.")</f>
        <v>The service of the employee Rossana, very polite.</v>
      </c>
    </row>
    <row r="1609" ht="14.25" customHeight="1">
      <c r="A1609" s="1">
        <v>100.0</v>
      </c>
      <c r="B1609" s="1" t="s">
        <v>687</v>
      </c>
      <c r="C1609" s="1">
        <v>9.0</v>
      </c>
      <c r="D1609" s="1" t="s">
        <v>6</v>
      </c>
      <c r="E1609" s="1"/>
    </row>
    <row r="1610" ht="14.25" customHeight="1">
      <c r="A1610" s="1">
        <v>66.0</v>
      </c>
      <c r="B1610" s="1" t="s">
        <v>687</v>
      </c>
      <c r="C1610" s="1">
        <v>8.0</v>
      </c>
      <c r="D1610" s="2" t="s">
        <v>740</v>
      </c>
      <c r="E1610" s="1" t="str">
        <f>IFERROR(__xludf.DUMMYFUNCTION("GOOGLETRANSLATE(D1610,""PT"",""EN"")"),"Accessibility is practicality with the customer.")</f>
        <v>Accessibility is practicality with the customer.</v>
      </c>
    </row>
    <row r="1611" ht="14.25" customHeight="1">
      <c r="A1611" s="1">
        <v>100.0</v>
      </c>
      <c r="B1611" s="1" t="s">
        <v>687</v>
      </c>
      <c r="C1611" s="1">
        <v>10.0</v>
      </c>
      <c r="D1611" s="2" t="s">
        <v>741</v>
      </c>
      <c r="E1611" s="1" t="str">
        <f>IFERROR(__xludf.DUMMYFUNCTION("GOOGLETRANSLATE(D1611,""PT"",""EN"")"),"Different service")</f>
        <v>Different service</v>
      </c>
    </row>
    <row r="1612" ht="14.25" customHeight="1">
      <c r="A1612" s="1">
        <v>66.0</v>
      </c>
      <c r="B1612" s="1" t="s">
        <v>687</v>
      </c>
      <c r="C1612" s="1">
        <v>8.0</v>
      </c>
      <c r="D1612" s="1" t="s">
        <v>6</v>
      </c>
      <c r="E1612" s="1"/>
    </row>
    <row r="1613" ht="14.25" customHeight="1">
      <c r="A1613" s="1">
        <v>100.0</v>
      </c>
      <c r="B1613" s="1" t="s">
        <v>687</v>
      </c>
      <c r="C1613" s="1">
        <v>10.0</v>
      </c>
      <c r="D1613" s="1" t="s">
        <v>6</v>
      </c>
      <c r="E1613" s="1"/>
    </row>
    <row r="1614" ht="14.25" customHeight="1">
      <c r="A1614" s="1">
        <v>33.0</v>
      </c>
      <c r="B1614" s="1" t="s">
        <v>687</v>
      </c>
      <c r="C1614" s="1">
        <v>0.0</v>
      </c>
      <c r="D1614" s="1" t="s">
        <v>6</v>
      </c>
      <c r="E1614" s="1"/>
    </row>
    <row r="1615" ht="14.25" customHeight="1">
      <c r="A1615" s="1">
        <v>33.0</v>
      </c>
      <c r="B1615" s="1" t="s">
        <v>687</v>
      </c>
      <c r="C1615" s="1">
        <v>0.0</v>
      </c>
      <c r="D1615" s="2" t="s">
        <v>742</v>
      </c>
      <c r="E1615" s="1" t="str">
        <f>IFERROR(__xludf.DUMMYFUNCTION("GOOGLETRANSLATE(D1615,""PT"",""EN"")"),"I don't even know the account manager! I have no limits")</f>
        <v>I don't even know the account manager! I have no limits</v>
      </c>
    </row>
    <row r="1616" ht="14.25" customHeight="1">
      <c r="A1616" s="1">
        <v>33.0</v>
      </c>
      <c r="B1616" s="1" t="s">
        <v>687</v>
      </c>
      <c r="C1616" s="1">
        <v>1.0</v>
      </c>
      <c r="D1616" s="1" t="s">
        <v>6</v>
      </c>
      <c r="E1616" s="1"/>
    </row>
    <row r="1617" ht="14.25" customHeight="1">
      <c r="A1617" s="1">
        <v>33.0</v>
      </c>
      <c r="B1617" s="1" t="s">
        <v>687</v>
      </c>
      <c r="C1617" s="1">
        <v>0.0</v>
      </c>
      <c r="D1617" s="1" t="s">
        <v>6</v>
      </c>
      <c r="E1617" s="1"/>
    </row>
    <row r="1618" ht="14.25" customHeight="1">
      <c r="A1618" s="1">
        <v>66.0</v>
      </c>
      <c r="B1618" s="1" t="s">
        <v>687</v>
      </c>
      <c r="C1618" s="1">
        <v>7.0</v>
      </c>
      <c r="D1618" s="1" t="s">
        <v>6</v>
      </c>
      <c r="E1618" s="1"/>
    </row>
    <row r="1619" ht="14.25" customHeight="1">
      <c r="A1619" s="1">
        <v>100.0</v>
      </c>
      <c r="B1619" s="1" t="s">
        <v>687</v>
      </c>
      <c r="C1619" s="1">
        <v>10.0</v>
      </c>
      <c r="D1619" s="1" t="s">
        <v>37</v>
      </c>
      <c r="E1619" s="1" t="str">
        <f>IFERROR(__xludf.DUMMYFUNCTION("GOOGLETRANSLATE(D1619,""PT"",""EN"")"),"Great service")</f>
        <v>Great service</v>
      </c>
    </row>
    <row r="1620" ht="14.25" customHeight="1">
      <c r="A1620" s="1">
        <v>100.0</v>
      </c>
      <c r="B1620" s="1" t="s">
        <v>687</v>
      </c>
      <c r="C1620" s="1">
        <v>10.0</v>
      </c>
      <c r="D1620" s="1" t="s">
        <v>9</v>
      </c>
      <c r="E1620" s="1" t="str">
        <f>IFERROR(__xludf.DUMMYFUNCTION("GOOGLETRANSLATE(D1620,""PT"",""EN"")"),"10")</f>
        <v>10</v>
      </c>
    </row>
    <row r="1621" ht="14.25" customHeight="1">
      <c r="A1621" s="1">
        <v>100.0</v>
      </c>
      <c r="B1621" s="1" t="s">
        <v>687</v>
      </c>
      <c r="C1621" s="1">
        <v>10.0</v>
      </c>
      <c r="D1621" s="1" t="s">
        <v>743</v>
      </c>
      <c r="E1621" s="1" t="str">
        <f>IFERROR(__xludf.DUMMYFUNCTION("GOOGLETRANSLATE(D1621,""PT"",""EN"")"),"good options")</f>
        <v>good options</v>
      </c>
    </row>
    <row r="1622" ht="14.25" customHeight="1">
      <c r="A1622" s="1">
        <v>100.0</v>
      </c>
      <c r="B1622" s="1" t="s">
        <v>687</v>
      </c>
      <c r="C1622" s="1">
        <v>10.0</v>
      </c>
      <c r="D1622" s="1" t="s">
        <v>37</v>
      </c>
      <c r="E1622" s="1" t="str">
        <f>IFERROR(__xludf.DUMMYFUNCTION("GOOGLETRANSLATE(D1622,""PT"",""EN"")"),"Great service")</f>
        <v>Great service</v>
      </c>
    </row>
    <row r="1623" ht="14.25" customHeight="1">
      <c r="A1623" s="1">
        <v>33.0</v>
      </c>
      <c r="B1623" s="1" t="s">
        <v>687</v>
      </c>
      <c r="C1623" s="1">
        <v>0.0</v>
      </c>
      <c r="D1623" s="1" t="s">
        <v>6</v>
      </c>
      <c r="E1623" s="1"/>
    </row>
    <row r="1624" ht="14.25" customHeight="1">
      <c r="A1624" s="1">
        <v>100.0</v>
      </c>
      <c r="B1624" s="1" t="s">
        <v>687</v>
      </c>
      <c r="C1624" s="1">
        <v>10.0</v>
      </c>
      <c r="D1624" s="1" t="s">
        <v>744</v>
      </c>
      <c r="E1624" s="1" t="str">
        <f>IFERROR(__xludf.DUMMYFUNCTION("GOOGLETRANSLATE(D1624,""PT"",""EN"")"),"Always well attended")</f>
        <v>Always well attended</v>
      </c>
    </row>
    <row r="1625" ht="14.25" customHeight="1">
      <c r="A1625" s="1">
        <v>33.0</v>
      </c>
      <c r="B1625" s="1" t="s">
        <v>687</v>
      </c>
      <c r="C1625" s="1">
        <v>5.0</v>
      </c>
      <c r="D1625" s="2" t="s">
        <v>745</v>
      </c>
      <c r="E1625" s="1" t="str">
        <f>IFERROR(__xludf.DUMMYFUNCTION("GOOGLETRANSLATE(D1625,""PT"",""EN"")"),"The bank takes a long time to solve simple thing I opened an account for more than 60 days is still I have not received the account card")</f>
        <v>The bank takes a long time to solve simple thing I opened an account for more than 60 days is still I have not received the account card</v>
      </c>
    </row>
    <row r="1626" ht="14.25" customHeight="1">
      <c r="A1626" s="1">
        <v>100.0</v>
      </c>
      <c r="B1626" s="1" t="s">
        <v>687</v>
      </c>
      <c r="C1626" s="1">
        <v>9.0</v>
      </c>
      <c r="D1626" s="1" t="s">
        <v>6</v>
      </c>
      <c r="E1626" s="1"/>
    </row>
    <row r="1627" ht="14.25" customHeight="1">
      <c r="A1627" s="1">
        <v>100.0</v>
      </c>
      <c r="B1627" s="1" t="s">
        <v>687</v>
      </c>
      <c r="C1627" s="1">
        <v>10.0</v>
      </c>
      <c r="D1627" s="1" t="s">
        <v>746</v>
      </c>
      <c r="E1627" s="1" t="str">
        <f>IFERROR(__xludf.DUMMYFUNCTION("GOOGLETRANSLATE(D1627,""PT"",""EN"")"),"The best bank")</f>
        <v>The best bank</v>
      </c>
    </row>
    <row r="1628" ht="14.25" customHeight="1">
      <c r="A1628" s="1">
        <v>100.0</v>
      </c>
      <c r="B1628" s="1" t="s">
        <v>687</v>
      </c>
      <c r="C1628" s="1">
        <v>10.0</v>
      </c>
      <c r="D1628" s="1" t="s">
        <v>6</v>
      </c>
      <c r="E1628" s="1"/>
    </row>
    <row r="1629" ht="14.25" customHeight="1">
      <c r="A1629" s="1">
        <v>100.0</v>
      </c>
      <c r="B1629" s="1" t="s">
        <v>687</v>
      </c>
      <c r="C1629" s="1">
        <v>10.0</v>
      </c>
      <c r="D1629" s="1" t="s">
        <v>112</v>
      </c>
      <c r="E1629" s="1" t="str">
        <f>IFERROR(__xludf.DUMMYFUNCTION("GOOGLETRANSLATE(D1629,""PT"",""EN"")"),"Practicality")</f>
        <v>Practicality</v>
      </c>
    </row>
    <row r="1630" ht="14.25" customHeight="1">
      <c r="A1630" s="1">
        <v>33.0</v>
      </c>
      <c r="B1630" s="1" t="s">
        <v>687</v>
      </c>
      <c r="C1630" s="1">
        <v>0.0</v>
      </c>
      <c r="D1630" s="2" t="s">
        <v>747</v>
      </c>
      <c r="E1630" s="1" t="str">
        <f>IFERROR(__xludf.DUMMYFUNCTION("GOOGLETRANSLATE(D1630,""PT"",""EN"")"),"I couldn't solve a simple credit card problem ..")</f>
        <v>I couldn't solve a simple credit card problem ..</v>
      </c>
    </row>
    <row r="1631" ht="14.25" customHeight="1">
      <c r="A1631" s="1">
        <v>100.0</v>
      </c>
      <c r="B1631" s="1" t="s">
        <v>687</v>
      </c>
      <c r="C1631" s="1">
        <v>10.0</v>
      </c>
      <c r="D1631" s="1" t="s">
        <v>62</v>
      </c>
      <c r="E1631" s="1" t="str">
        <f>IFERROR(__xludf.DUMMYFUNCTION("GOOGLETRANSLATE(D1631,""PT"",""EN"")"),"Good service")</f>
        <v>Good service</v>
      </c>
    </row>
    <row r="1632" ht="14.25" customHeight="1">
      <c r="A1632" s="1">
        <v>100.0</v>
      </c>
      <c r="B1632" s="1" t="s">
        <v>687</v>
      </c>
      <c r="C1632" s="1">
        <v>10.0</v>
      </c>
      <c r="D1632" s="1" t="s">
        <v>748</v>
      </c>
      <c r="E1632" s="1" t="str">
        <f>IFERROR(__xludf.DUMMYFUNCTION("GOOGLETRANSLATE(D1632,""PT"",""EN"")"),"PERSONALIZED SERVICE.")</f>
        <v>PERSONALIZED SERVICE.</v>
      </c>
    </row>
    <row r="1633" ht="14.25" customHeight="1">
      <c r="A1633" s="1">
        <v>66.0</v>
      </c>
      <c r="B1633" s="1" t="s">
        <v>687</v>
      </c>
      <c r="C1633" s="1">
        <v>7.0</v>
      </c>
      <c r="D1633" s="1" t="s">
        <v>749</v>
      </c>
      <c r="E1633" s="1" t="str">
        <f>IFERROR(__xludf.DUMMYFUNCTION("GOOGLETRANSLATE(D1633,""PT"",""EN"")"),"Difficulty in the application")</f>
        <v>Difficulty in the application</v>
      </c>
    </row>
    <row r="1634" ht="14.25" customHeight="1">
      <c r="A1634" s="1">
        <v>100.0</v>
      </c>
      <c r="B1634" s="1" t="s">
        <v>687</v>
      </c>
      <c r="C1634" s="1">
        <v>10.0</v>
      </c>
      <c r="D1634" s="1" t="s">
        <v>6</v>
      </c>
      <c r="E1634" s="1"/>
    </row>
    <row r="1635" ht="14.25" customHeight="1">
      <c r="A1635" s="1">
        <v>100.0</v>
      </c>
      <c r="B1635" s="1" t="s">
        <v>687</v>
      </c>
      <c r="C1635" s="1">
        <v>10.0</v>
      </c>
      <c r="D1635" s="1" t="s">
        <v>6</v>
      </c>
      <c r="E1635" s="1"/>
    </row>
    <row r="1636" ht="14.25" customHeight="1">
      <c r="A1636" s="1">
        <v>33.0</v>
      </c>
      <c r="B1636" s="1" t="s">
        <v>687</v>
      </c>
      <c r="C1636" s="1">
        <v>5.0</v>
      </c>
      <c r="D1636" s="1" t="s">
        <v>6</v>
      </c>
      <c r="E1636" s="1"/>
    </row>
    <row r="1637" ht="14.25" customHeight="1">
      <c r="A1637" s="1">
        <v>100.0</v>
      </c>
      <c r="B1637" s="1" t="s">
        <v>687</v>
      </c>
      <c r="C1637" s="1">
        <v>10.0</v>
      </c>
      <c r="D1637" s="2" t="s">
        <v>750</v>
      </c>
      <c r="E1637" s="1" t="str">
        <f>IFERROR(__xludf.DUMMYFUNCTION("GOOGLETRANSLATE(D1637,""PT"",""EN"")"),"Care, care, promptness, welcome, commitment is responsibility.")</f>
        <v>Care, care, promptness, welcome, commitment is responsibility.</v>
      </c>
    </row>
    <row r="1638" ht="14.25" customHeight="1">
      <c r="A1638" s="1">
        <v>33.0</v>
      </c>
      <c r="B1638" s="1" t="s">
        <v>687</v>
      </c>
      <c r="C1638" s="1">
        <v>4.0</v>
      </c>
      <c r="D1638" s="2" t="s">
        <v>751</v>
      </c>
      <c r="E1638" s="1" t="str">
        <f>IFERROR(__xludf.DUMMYFUNCTION("GOOGLETRANSLATE(D1638,""PT"",""EN"")"),"Pessimal service, it's horrible is etc.")</f>
        <v>Pessimal service, it's horrible is etc.</v>
      </c>
    </row>
    <row r="1639" ht="14.25" customHeight="1">
      <c r="A1639" s="1">
        <v>100.0</v>
      </c>
      <c r="B1639" s="1" t="s">
        <v>687</v>
      </c>
      <c r="C1639" s="1">
        <v>10.0</v>
      </c>
      <c r="D1639" s="2" t="s">
        <v>752</v>
      </c>
      <c r="E1639" s="1" t="str">
        <f>IFERROR(__xludf.DUMMYFUNCTION("GOOGLETRANSLATE(D1639,""PT"",""EN"")"),"Service, digital system, all wonderful app, congratulations")</f>
        <v>Service, digital system, all wonderful app, congratulations</v>
      </c>
    </row>
    <row r="1640" ht="14.25" customHeight="1">
      <c r="A1640" s="1">
        <v>100.0</v>
      </c>
      <c r="B1640" s="1" t="s">
        <v>687</v>
      </c>
      <c r="C1640" s="1">
        <v>10.0</v>
      </c>
      <c r="D1640" s="1" t="s">
        <v>352</v>
      </c>
      <c r="E1640" s="1" t="str">
        <f>IFERROR(__xludf.DUMMYFUNCTION("GOOGLETRANSLATE(D1640,""PT"",""EN"")"),"Top")</f>
        <v>Top</v>
      </c>
    </row>
    <row r="1641" ht="14.25" customHeight="1">
      <c r="A1641" s="1">
        <v>33.0</v>
      </c>
      <c r="B1641" s="1" t="s">
        <v>687</v>
      </c>
      <c r="C1641" s="1">
        <v>5.0</v>
      </c>
      <c r="D1641" s="2" t="s">
        <v>753</v>
      </c>
      <c r="E1641" s="1" t="str">
        <f>IFERROR(__xludf.DUMMYFUNCTION("GOOGLETRANSLATE(D1641,""PT"",""EN"")"),"Very limited is bureaucratic, in addition to not offering any different products or different rates.")</f>
        <v>Very limited is bureaucratic, in addition to not offering any different products or different rates.</v>
      </c>
    </row>
    <row r="1642" ht="14.25" customHeight="1">
      <c r="A1642" s="1">
        <v>100.0</v>
      </c>
      <c r="B1642" s="1" t="s">
        <v>687</v>
      </c>
      <c r="C1642" s="1">
        <v>10.0</v>
      </c>
      <c r="D1642" s="1" t="s">
        <v>6</v>
      </c>
      <c r="E1642" s="1"/>
    </row>
    <row r="1643" ht="14.25" customHeight="1">
      <c r="A1643" s="1">
        <v>100.0</v>
      </c>
      <c r="B1643" s="1" t="s">
        <v>687</v>
      </c>
      <c r="C1643" s="1">
        <v>10.0</v>
      </c>
      <c r="D1643" s="1" t="s">
        <v>754</v>
      </c>
      <c r="E1643" s="1" t="str">
        <f>IFERROR(__xludf.DUMMYFUNCTION("GOOGLETRANSLATE(D1643,""PT"",""EN"")"),"The Best Cooperative")</f>
        <v>The Best Cooperative</v>
      </c>
    </row>
    <row r="1644" ht="14.25" customHeight="1">
      <c r="A1644" s="1">
        <v>66.0</v>
      </c>
      <c r="B1644" s="1" t="s">
        <v>687</v>
      </c>
      <c r="C1644" s="1">
        <v>8.0</v>
      </c>
      <c r="D1644" s="1" t="s">
        <v>6</v>
      </c>
      <c r="E1644" s="1"/>
    </row>
    <row r="1645" ht="14.25" customHeight="1">
      <c r="A1645" s="1">
        <v>100.0</v>
      </c>
      <c r="B1645" s="1" t="s">
        <v>687</v>
      </c>
      <c r="C1645" s="1">
        <v>10.0</v>
      </c>
      <c r="D1645" s="1" t="s">
        <v>755</v>
      </c>
      <c r="E1645" s="1" t="str">
        <f>IFERROR(__xludf.DUMMYFUNCTION("GOOGLETRANSLATE(D1645,""PT"",""EN"")"),"I received all the necessary support! Great employees !!")</f>
        <v>I received all the necessary support! Great employees !!</v>
      </c>
    </row>
    <row r="1646" ht="14.25" customHeight="1">
      <c r="A1646" s="1">
        <v>100.0</v>
      </c>
      <c r="B1646" s="1" t="s">
        <v>687</v>
      </c>
      <c r="C1646" s="1">
        <v>10.0</v>
      </c>
      <c r="D1646" s="1" t="s">
        <v>6</v>
      </c>
      <c r="E1646" s="1"/>
    </row>
    <row r="1647" ht="14.25" customHeight="1">
      <c r="A1647" s="1">
        <v>66.0</v>
      </c>
      <c r="B1647" s="1" t="s">
        <v>687</v>
      </c>
      <c r="C1647" s="1">
        <v>8.0</v>
      </c>
      <c r="D1647" s="2" t="s">
        <v>756</v>
      </c>
      <c r="E1647" s="1" t="str">
        <f>IFERROR(__xludf.DUMMYFUNCTION("GOOGLETRANSLATE(D1647,""PT"",""EN"")"),"Sicoob is reliable is has a human service, but it should have 100% of the CDI in the money that enters the checking account.")</f>
        <v>Sicoob is reliable is has a human service, but it should have 100% of the CDI in the money that enters the checking account.</v>
      </c>
    </row>
    <row r="1648" ht="14.25" customHeight="1">
      <c r="A1648" s="1">
        <v>33.0</v>
      </c>
      <c r="B1648" s="1" t="s">
        <v>687</v>
      </c>
      <c r="C1648" s="1">
        <v>2.0</v>
      </c>
      <c r="D1648" s="1" t="s">
        <v>6</v>
      </c>
      <c r="E1648" s="1"/>
    </row>
    <row r="1649" ht="14.25" customHeight="1">
      <c r="A1649" s="1">
        <v>100.0</v>
      </c>
      <c r="B1649" s="1" t="s">
        <v>687</v>
      </c>
      <c r="C1649" s="1">
        <v>10.0</v>
      </c>
      <c r="D1649" s="1" t="s">
        <v>6</v>
      </c>
      <c r="E1649" s="1"/>
    </row>
    <row r="1650" ht="14.25" customHeight="1">
      <c r="A1650" s="1">
        <v>33.0</v>
      </c>
      <c r="B1650" s="1" t="s">
        <v>687</v>
      </c>
      <c r="C1650" s="1">
        <v>0.0</v>
      </c>
      <c r="D1650" s="1" t="s">
        <v>757</v>
      </c>
      <c r="E1650" s="1" t="str">
        <f>IFERROR(__xludf.DUMMYFUNCTION("GOOGLETRANSLATE(D1650,""PT"",""EN"")"),"Weak")</f>
        <v>Weak</v>
      </c>
    </row>
    <row r="1651" ht="14.25" customHeight="1">
      <c r="A1651" s="1">
        <v>100.0</v>
      </c>
      <c r="B1651" s="1" t="s">
        <v>687</v>
      </c>
      <c r="C1651" s="1">
        <v>9.0</v>
      </c>
      <c r="D1651" s="1" t="s">
        <v>6</v>
      </c>
      <c r="E1651" s="1"/>
    </row>
    <row r="1652" ht="14.25" customHeight="1">
      <c r="A1652" s="1">
        <v>100.0</v>
      </c>
      <c r="B1652" s="1" t="s">
        <v>687</v>
      </c>
      <c r="C1652" s="1">
        <v>10.0</v>
      </c>
      <c r="D1652" s="2" t="s">
        <v>758</v>
      </c>
      <c r="E1652" s="1" t="str">
        <f>IFERROR(__xludf.DUMMYFUNCTION("GOOGLETRANSLATE(D1652,""PT"",""EN"")"),"I am pleased with the service is services offered.")</f>
        <v>I am pleased with the service is services offered.</v>
      </c>
    </row>
    <row r="1653" ht="14.25" customHeight="1">
      <c r="A1653" s="1">
        <v>33.0</v>
      </c>
      <c r="B1653" s="1" t="s">
        <v>687</v>
      </c>
      <c r="C1653" s="1">
        <v>0.0</v>
      </c>
      <c r="D1653" s="2" t="s">
        <v>759</v>
      </c>
      <c r="E1653" s="1" t="str">
        <f>IFERROR(__xludf.DUMMYFUNCTION("GOOGLETRANSLATE(D1653,""PT"",""EN"")"),"There are thirty day fighting to finance to this day")</f>
        <v>There are thirty day fighting to finance to this day</v>
      </c>
    </row>
    <row r="1654" ht="14.25" customHeight="1">
      <c r="A1654" s="1">
        <v>100.0</v>
      </c>
      <c r="B1654" s="1" t="s">
        <v>687</v>
      </c>
      <c r="C1654" s="1">
        <v>10.0</v>
      </c>
      <c r="D1654" s="1" t="s">
        <v>760</v>
      </c>
      <c r="E1654" s="1" t="str">
        <f>IFERROR(__xludf.DUMMYFUNCTION("GOOGLETRANSLATE(D1654,""PT"",""EN"")"),"Service, physical space,")</f>
        <v>Service, physical space,</v>
      </c>
    </row>
    <row r="1655" ht="14.25" customHeight="1">
      <c r="A1655" s="1">
        <v>100.0</v>
      </c>
      <c r="B1655" s="1" t="s">
        <v>687</v>
      </c>
      <c r="C1655" s="1">
        <v>9.0</v>
      </c>
      <c r="D1655" s="2" t="s">
        <v>761</v>
      </c>
      <c r="E1655" s="1" t="str">
        <f>IFERROR(__xludf.DUMMYFUNCTION("GOOGLETRANSLATE(D1655,""PT"",""EN"")"),"Employee professionalism is the seriousness of the institution")</f>
        <v>Employee professionalism is the seriousness of the institution</v>
      </c>
    </row>
    <row r="1656" ht="14.25" customHeight="1">
      <c r="A1656" s="1">
        <v>100.0</v>
      </c>
      <c r="B1656" s="1" t="s">
        <v>687</v>
      </c>
      <c r="C1656" s="1">
        <v>10.0</v>
      </c>
      <c r="D1656" s="1" t="s">
        <v>203</v>
      </c>
      <c r="E1656" s="1" t="str">
        <f>IFERROR(__xludf.DUMMYFUNCTION("GOOGLETRANSLATE(D1656,""PT"",""EN"")"),"Very satisfied")</f>
        <v>Very satisfied</v>
      </c>
    </row>
    <row r="1657" ht="14.25" customHeight="1">
      <c r="A1657" s="1">
        <v>100.0</v>
      </c>
      <c r="B1657" s="1" t="s">
        <v>687</v>
      </c>
      <c r="C1657" s="1">
        <v>10.0</v>
      </c>
      <c r="D1657" s="1" t="s">
        <v>6</v>
      </c>
      <c r="E1657" s="1"/>
    </row>
    <row r="1658" ht="14.25" customHeight="1">
      <c r="A1658" s="1">
        <v>100.0</v>
      </c>
      <c r="B1658" s="1" t="s">
        <v>687</v>
      </c>
      <c r="C1658" s="1">
        <v>10.0</v>
      </c>
      <c r="D1658" s="1" t="s">
        <v>6</v>
      </c>
      <c r="E1658" s="1"/>
    </row>
    <row r="1659" ht="14.25" customHeight="1">
      <c r="A1659" s="1">
        <v>100.0</v>
      </c>
      <c r="B1659" s="1" t="s">
        <v>687</v>
      </c>
      <c r="C1659" s="1">
        <v>10.0</v>
      </c>
      <c r="D1659" s="1" t="s">
        <v>6</v>
      </c>
      <c r="E1659" s="1"/>
    </row>
    <row r="1660" ht="14.25" customHeight="1">
      <c r="A1660" s="1">
        <v>100.0</v>
      </c>
      <c r="B1660" s="1" t="s">
        <v>687</v>
      </c>
      <c r="C1660" s="1">
        <v>10.0</v>
      </c>
      <c r="D1660" s="1" t="s">
        <v>6</v>
      </c>
      <c r="E1660" s="1"/>
    </row>
    <row r="1661" ht="14.25" customHeight="1">
      <c r="A1661" s="1">
        <v>33.0</v>
      </c>
      <c r="B1661" s="1" t="s">
        <v>687</v>
      </c>
      <c r="C1661" s="1">
        <v>4.0</v>
      </c>
      <c r="D1661" s="2" t="s">
        <v>762</v>
      </c>
      <c r="E1661" s="1" t="str">
        <f>IFERROR(__xludf.DUMMYFUNCTION("GOOGLETRANSLATE(D1661,""PT"",""EN"")"),"Bank without customer contact, they never offered me anything. Nor credit card.")</f>
        <v>Bank without customer contact, they never offered me anything. Nor credit card.</v>
      </c>
    </row>
    <row r="1662" ht="14.25" customHeight="1">
      <c r="A1662" s="1">
        <v>100.0</v>
      </c>
      <c r="B1662" s="1" t="s">
        <v>687</v>
      </c>
      <c r="C1662" s="1">
        <v>10.0</v>
      </c>
      <c r="D1662" s="1" t="s">
        <v>6</v>
      </c>
      <c r="E1662" s="1"/>
    </row>
    <row r="1663" ht="14.25" customHeight="1">
      <c r="A1663" s="1">
        <v>100.0</v>
      </c>
      <c r="B1663" s="1" t="s">
        <v>687</v>
      </c>
      <c r="C1663" s="1">
        <v>9.0</v>
      </c>
      <c r="D1663" s="1" t="s">
        <v>6</v>
      </c>
      <c r="E1663" s="1"/>
    </row>
    <row r="1664" ht="14.25" customHeight="1">
      <c r="A1664" s="1">
        <v>100.0</v>
      </c>
      <c r="B1664" s="1" t="s">
        <v>687</v>
      </c>
      <c r="C1664" s="1">
        <v>10.0</v>
      </c>
      <c r="D1664" s="1" t="s">
        <v>6</v>
      </c>
      <c r="E1664" s="1"/>
    </row>
    <row r="1665" ht="14.25" customHeight="1">
      <c r="A1665" s="1">
        <v>100.0</v>
      </c>
      <c r="B1665" s="1" t="s">
        <v>687</v>
      </c>
      <c r="C1665" s="1">
        <v>10.0</v>
      </c>
      <c r="D1665" s="2" t="s">
        <v>763</v>
      </c>
      <c r="E1665" s="1" t="str">
        <f>IFERROR(__xludf.DUMMYFUNCTION("GOOGLETRANSLATE(D1665,""PT"",""EN"")"),"Very good is easy communications")</f>
        <v>Very good is easy communications</v>
      </c>
    </row>
    <row r="1666" ht="14.25" customHeight="1">
      <c r="A1666" s="1">
        <v>66.0</v>
      </c>
      <c r="B1666" s="1" t="s">
        <v>687</v>
      </c>
      <c r="C1666" s="1">
        <v>8.0</v>
      </c>
      <c r="D1666" s="2" t="s">
        <v>764</v>
      </c>
      <c r="E1666" s="1" t="str">
        <f>IFERROR(__xludf.DUMMYFUNCTION("GOOGLETRANSLATE(D1666,""PT"",""EN"")"),"Quality at work is great proposals")</f>
        <v>Quality at work is great proposals</v>
      </c>
    </row>
    <row r="1667" ht="14.25" customHeight="1">
      <c r="A1667" s="1">
        <v>66.0</v>
      </c>
      <c r="B1667" s="1" t="s">
        <v>687</v>
      </c>
      <c r="C1667" s="1">
        <v>8.0</v>
      </c>
      <c r="D1667" s="1" t="s">
        <v>6</v>
      </c>
      <c r="E1667" s="1"/>
    </row>
    <row r="1668" ht="14.25" customHeight="1">
      <c r="A1668" s="1">
        <v>33.0</v>
      </c>
      <c r="B1668" s="1" t="s">
        <v>687</v>
      </c>
      <c r="C1668" s="1">
        <v>3.0</v>
      </c>
      <c r="D1668" s="1" t="s">
        <v>6</v>
      </c>
      <c r="E1668" s="1"/>
    </row>
    <row r="1669" ht="14.25" customHeight="1">
      <c r="A1669" s="1">
        <v>100.0</v>
      </c>
      <c r="B1669" s="1" t="s">
        <v>687</v>
      </c>
      <c r="C1669" s="1">
        <v>10.0</v>
      </c>
      <c r="D1669" s="1" t="s">
        <v>6</v>
      </c>
      <c r="E1669" s="1"/>
    </row>
    <row r="1670" ht="14.25" customHeight="1">
      <c r="A1670" s="1">
        <v>33.0</v>
      </c>
      <c r="B1670" s="1" t="s">
        <v>687</v>
      </c>
      <c r="C1670" s="1">
        <v>5.0</v>
      </c>
      <c r="D1670" s="1" t="s">
        <v>6</v>
      </c>
      <c r="E1670" s="1"/>
    </row>
    <row r="1671" ht="14.25" customHeight="1">
      <c r="A1671" s="1">
        <v>100.0</v>
      </c>
      <c r="B1671" s="1" t="s">
        <v>687</v>
      </c>
      <c r="C1671" s="1">
        <v>10.0</v>
      </c>
      <c r="D1671" s="1" t="s">
        <v>765</v>
      </c>
      <c r="E1671" s="1" t="str">
        <f>IFERROR(__xludf.DUMMYFUNCTION("GOOGLETRANSLATE(D1671,""PT"",""EN"")"),"Well received")</f>
        <v>Well received</v>
      </c>
    </row>
    <row r="1672" ht="14.25" customHeight="1">
      <c r="A1672" s="1">
        <v>66.0</v>
      </c>
      <c r="B1672" s="1" t="s">
        <v>687</v>
      </c>
      <c r="C1672" s="1">
        <v>8.0</v>
      </c>
      <c r="D1672" s="1" t="s">
        <v>6</v>
      </c>
      <c r="E1672" s="1"/>
    </row>
    <row r="1673" ht="14.25" customHeight="1">
      <c r="A1673" s="1">
        <v>100.0</v>
      </c>
      <c r="B1673" s="1" t="s">
        <v>687</v>
      </c>
      <c r="C1673" s="1">
        <v>10.0</v>
      </c>
      <c r="D1673" s="1" t="s">
        <v>9</v>
      </c>
      <c r="E1673" s="1" t="str">
        <f>IFERROR(__xludf.DUMMYFUNCTION("GOOGLETRANSLATE(D1673,""PT"",""EN"")"),"10")</f>
        <v>10</v>
      </c>
    </row>
    <row r="1674" ht="14.25" customHeight="1">
      <c r="A1674" s="1">
        <v>66.0</v>
      </c>
      <c r="B1674" s="1" t="s">
        <v>687</v>
      </c>
      <c r="C1674" s="1">
        <v>8.0</v>
      </c>
      <c r="D1674" s="1" t="s">
        <v>6</v>
      </c>
      <c r="E1674" s="1"/>
    </row>
    <row r="1675" ht="14.25" customHeight="1">
      <c r="A1675" s="1">
        <v>100.0</v>
      </c>
      <c r="B1675" s="1" t="s">
        <v>687</v>
      </c>
      <c r="C1675" s="1">
        <v>10.0</v>
      </c>
      <c r="D1675" s="2" t="s">
        <v>766</v>
      </c>
      <c r="E1675" s="1" t="str">
        <f>IFERROR(__xludf.DUMMYFUNCTION("GOOGLETRANSLATE(D1675,""PT"",""EN"")"),"Because it is an excellent bank")</f>
        <v>Because it is an excellent bank</v>
      </c>
    </row>
    <row r="1676" ht="14.25" customHeight="1">
      <c r="A1676" s="1">
        <v>100.0</v>
      </c>
      <c r="B1676" s="1" t="s">
        <v>687</v>
      </c>
      <c r="C1676" s="1">
        <v>10.0</v>
      </c>
      <c r="D1676" s="2" t="s">
        <v>767</v>
      </c>
      <c r="E1676" s="1" t="str">
        <f>IFERROR(__xludf.DUMMYFUNCTION("GOOGLETRANSLATE(D1676,""PT"",""EN"")"),"Service is cordiality")</f>
        <v>Service is cordiality</v>
      </c>
    </row>
    <row r="1677" ht="14.25" customHeight="1">
      <c r="A1677" s="1">
        <v>33.0</v>
      </c>
      <c r="B1677" s="1" t="s">
        <v>687</v>
      </c>
      <c r="C1677" s="1">
        <v>5.0</v>
      </c>
      <c r="D1677" s="1" t="s">
        <v>6</v>
      </c>
      <c r="E1677" s="1"/>
    </row>
    <row r="1678" ht="14.25" customHeight="1">
      <c r="A1678" s="1">
        <v>100.0</v>
      </c>
      <c r="B1678" s="1" t="s">
        <v>687</v>
      </c>
      <c r="C1678" s="1">
        <v>10.0</v>
      </c>
      <c r="D1678" s="1" t="s">
        <v>505</v>
      </c>
      <c r="E1678" s="1" t="str">
        <f>IFERROR(__xludf.DUMMYFUNCTION("GOOGLETRANSLATE(D1678,""PT"",""EN"")"),"9")</f>
        <v>9</v>
      </c>
    </row>
    <row r="1679" ht="14.25" customHeight="1">
      <c r="A1679" s="1">
        <v>100.0</v>
      </c>
      <c r="B1679" s="1" t="s">
        <v>687</v>
      </c>
      <c r="C1679" s="1">
        <v>10.0</v>
      </c>
      <c r="D1679" s="2" t="s">
        <v>768</v>
      </c>
      <c r="E1679" s="1" t="str">
        <f>IFERROR(__xludf.DUMMYFUNCTION("GOOGLETRANSLATE(D1679,""PT"",""EN"")"),"Great service wonderful people from the team")</f>
        <v>Great service wonderful people from the team</v>
      </c>
    </row>
    <row r="1680" ht="14.25" customHeight="1">
      <c r="A1680" s="1">
        <v>100.0</v>
      </c>
      <c r="B1680" s="1" t="s">
        <v>687</v>
      </c>
      <c r="C1680" s="1">
        <v>10.0</v>
      </c>
      <c r="D1680" s="1" t="s">
        <v>659</v>
      </c>
      <c r="E1680" s="1" t="str">
        <f>IFERROR(__xludf.DUMMYFUNCTION("GOOGLETRANSLATE(D1680,""PT"",""EN"")"),"Good service.")</f>
        <v>Good service.</v>
      </c>
    </row>
    <row r="1681" ht="14.25" customHeight="1">
      <c r="A1681" s="1">
        <v>100.0</v>
      </c>
      <c r="B1681" s="1" t="s">
        <v>687</v>
      </c>
      <c r="C1681" s="1">
        <v>10.0</v>
      </c>
      <c r="D1681" s="1" t="s">
        <v>6</v>
      </c>
      <c r="E1681" s="1"/>
    </row>
    <row r="1682" ht="14.25" customHeight="1">
      <c r="A1682" s="1">
        <v>100.0</v>
      </c>
      <c r="B1682" s="1" t="s">
        <v>687</v>
      </c>
      <c r="C1682" s="1">
        <v>10.0</v>
      </c>
      <c r="D1682" s="1" t="s">
        <v>6</v>
      </c>
      <c r="E1682" s="1"/>
    </row>
    <row r="1683" ht="14.25" customHeight="1">
      <c r="A1683" s="1">
        <v>100.0</v>
      </c>
      <c r="B1683" s="1" t="s">
        <v>687</v>
      </c>
      <c r="C1683" s="1">
        <v>9.0</v>
      </c>
      <c r="D1683" s="1" t="s">
        <v>6</v>
      </c>
      <c r="E1683" s="1"/>
    </row>
    <row r="1684" ht="14.25" customHeight="1">
      <c r="A1684" s="1">
        <v>100.0</v>
      </c>
      <c r="B1684" s="1" t="s">
        <v>687</v>
      </c>
      <c r="C1684" s="1">
        <v>10.0</v>
      </c>
      <c r="D1684" s="1" t="s">
        <v>6</v>
      </c>
      <c r="E1684" s="1"/>
    </row>
    <row r="1685" ht="14.25" customHeight="1">
      <c r="A1685" s="1">
        <v>100.0</v>
      </c>
      <c r="B1685" s="1" t="s">
        <v>687</v>
      </c>
      <c r="C1685" s="1">
        <v>10.0</v>
      </c>
      <c r="D1685" s="1" t="s">
        <v>6</v>
      </c>
      <c r="E1685" s="1"/>
    </row>
    <row r="1686" ht="14.25" customHeight="1">
      <c r="A1686" s="1">
        <v>33.0</v>
      </c>
      <c r="B1686" s="1" t="s">
        <v>687</v>
      </c>
      <c r="C1686" s="1">
        <v>0.0</v>
      </c>
      <c r="D1686" s="1" t="s">
        <v>6</v>
      </c>
      <c r="E1686" s="1"/>
    </row>
    <row r="1687" ht="14.25" customHeight="1">
      <c r="A1687" s="1">
        <v>100.0</v>
      </c>
      <c r="B1687" s="1" t="s">
        <v>687</v>
      </c>
      <c r="C1687" s="1">
        <v>9.0</v>
      </c>
      <c r="D1687" s="1" t="s">
        <v>6</v>
      </c>
      <c r="E1687" s="1"/>
    </row>
    <row r="1688" ht="14.25" customHeight="1">
      <c r="A1688" s="1">
        <v>100.0</v>
      </c>
      <c r="B1688" s="1" t="s">
        <v>687</v>
      </c>
      <c r="C1688" s="1">
        <v>10.0</v>
      </c>
      <c r="D1688" s="1" t="s">
        <v>6</v>
      </c>
      <c r="E1688" s="1"/>
    </row>
    <row r="1689" ht="14.25" customHeight="1">
      <c r="A1689" s="1">
        <v>33.0</v>
      </c>
      <c r="B1689" s="1" t="s">
        <v>687</v>
      </c>
      <c r="C1689" s="1">
        <v>0.0</v>
      </c>
      <c r="D1689" s="1" t="s">
        <v>6</v>
      </c>
      <c r="E1689" s="1"/>
    </row>
    <row r="1690" ht="14.25" customHeight="1">
      <c r="A1690" s="1">
        <v>33.0</v>
      </c>
      <c r="B1690" s="1" t="s">
        <v>687</v>
      </c>
      <c r="C1690" s="1">
        <v>4.0</v>
      </c>
      <c r="D1690" s="1" t="s">
        <v>6</v>
      </c>
      <c r="E1690" s="1"/>
    </row>
    <row r="1691" ht="14.25" customHeight="1">
      <c r="A1691" s="1">
        <v>100.0</v>
      </c>
      <c r="B1691" s="1" t="s">
        <v>687</v>
      </c>
      <c r="C1691" s="1">
        <v>10.0</v>
      </c>
      <c r="D1691" s="1" t="s">
        <v>6</v>
      </c>
      <c r="E1691" s="1"/>
    </row>
    <row r="1692" ht="14.25" customHeight="1">
      <c r="A1692" s="1">
        <v>100.0</v>
      </c>
      <c r="B1692" s="1" t="s">
        <v>687</v>
      </c>
      <c r="C1692" s="1">
        <v>10.0</v>
      </c>
      <c r="D1692" s="1" t="s">
        <v>769</v>
      </c>
      <c r="E1692" s="1" t="str">
        <f>IFERROR(__xludf.DUMMYFUNCTION("GOOGLETRANSLATE(D1692,""PT"",""EN"")"),"The investment")</f>
        <v>The investment</v>
      </c>
    </row>
    <row r="1693" ht="14.25" customHeight="1">
      <c r="A1693" s="1">
        <v>33.0</v>
      </c>
      <c r="B1693" s="1" t="s">
        <v>687</v>
      </c>
      <c r="C1693" s="1">
        <v>6.0</v>
      </c>
      <c r="D1693" s="1" t="s">
        <v>6</v>
      </c>
      <c r="E1693" s="1"/>
    </row>
    <row r="1694" ht="14.25" customHeight="1">
      <c r="A1694" s="1">
        <v>100.0</v>
      </c>
      <c r="B1694" s="1" t="s">
        <v>687</v>
      </c>
      <c r="C1694" s="1">
        <v>10.0</v>
      </c>
      <c r="D1694" s="2" t="s">
        <v>770</v>
      </c>
      <c r="E1694" s="1" t="str">
        <f>IFERROR(__xludf.DUMMYFUNCTION("GOOGLETRANSLATE(D1694,""PT"",""EN"")"),"Service is the check deposit model ,, when the money is missing there we deposit on the day is the very good check")</f>
        <v>Service is the check deposit model ,, when the money is missing there we deposit on the day is the very good check</v>
      </c>
    </row>
    <row r="1695" ht="14.25" customHeight="1">
      <c r="A1695" s="1">
        <v>100.0</v>
      </c>
      <c r="B1695" s="1" t="s">
        <v>687</v>
      </c>
      <c r="C1695" s="1">
        <v>10.0</v>
      </c>
      <c r="D1695" s="1" t="s">
        <v>771</v>
      </c>
      <c r="E1695" s="1" t="str">
        <f>IFERROR(__xludf.DUMMYFUNCTION("GOOGLETRANSLATE(D1695,""PT"",""EN"")"),"Very attentive grateful")</f>
        <v>Very attentive grateful</v>
      </c>
    </row>
    <row r="1696" ht="14.25" customHeight="1">
      <c r="A1696" s="1">
        <v>100.0</v>
      </c>
      <c r="B1696" s="1" t="s">
        <v>687</v>
      </c>
      <c r="C1696" s="1">
        <v>10.0</v>
      </c>
      <c r="D1696" s="1" t="s">
        <v>6</v>
      </c>
      <c r="E1696" s="1"/>
    </row>
    <row r="1697" ht="14.25" customHeight="1">
      <c r="A1697" s="1">
        <v>100.0</v>
      </c>
      <c r="B1697" s="1" t="s">
        <v>687</v>
      </c>
      <c r="C1697" s="1">
        <v>10.0</v>
      </c>
      <c r="D1697" s="2" t="s">
        <v>772</v>
      </c>
      <c r="E1697" s="1" t="str">
        <f>IFERROR(__xludf.DUMMYFUNCTION("GOOGLETRANSLATE(D1697,""PT"",""EN"")"),"Very good service, lower interest rates, lower account maintenance, it is easy to work with the application!")</f>
        <v>Very good service, lower interest rates, lower account maintenance, it is easy to work with the application!</v>
      </c>
    </row>
    <row r="1698" ht="14.25" customHeight="1">
      <c r="A1698" s="1">
        <v>100.0</v>
      </c>
      <c r="B1698" s="1" t="s">
        <v>687</v>
      </c>
      <c r="C1698" s="1">
        <v>10.0</v>
      </c>
      <c r="D1698" s="2" t="s">
        <v>773</v>
      </c>
      <c r="E1698" s="1" t="str">
        <f>IFERROR(__xludf.DUMMYFUNCTION("GOOGLETRANSLATE(D1698,""PT"",""EN"")"),"Good service, only you need more ATM")</f>
        <v>Good service, only you need more ATM</v>
      </c>
    </row>
    <row r="1699" ht="14.25" customHeight="1">
      <c r="A1699" s="1">
        <v>33.0</v>
      </c>
      <c r="B1699" s="1" t="s">
        <v>687</v>
      </c>
      <c r="C1699" s="1">
        <v>0.0</v>
      </c>
      <c r="D1699" s="1" t="s">
        <v>6</v>
      </c>
      <c r="E1699" s="1"/>
    </row>
    <row r="1700" ht="14.25" customHeight="1">
      <c r="A1700" s="1">
        <v>100.0</v>
      </c>
      <c r="B1700" s="1" t="s">
        <v>687</v>
      </c>
      <c r="C1700" s="1">
        <v>10.0</v>
      </c>
      <c r="D1700" s="1" t="s">
        <v>9</v>
      </c>
      <c r="E1700" s="1" t="str">
        <f>IFERROR(__xludf.DUMMYFUNCTION("GOOGLETRANSLATE(D1700,""PT"",""EN"")"),"10")</f>
        <v>10</v>
      </c>
    </row>
    <row r="1701" ht="14.25" customHeight="1">
      <c r="A1701" s="1">
        <v>100.0</v>
      </c>
      <c r="B1701" s="1" t="s">
        <v>687</v>
      </c>
      <c r="C1701" s="1">
        <v>10.0</v>
      </c>
      <c r="D1701" s="2" t="s">
        <v>774</v>
      </c>
      <c r="E1701" s="1" t="str">
        <f>IFERROR(__xludf.DUMMYFUNCTION("GOOGLETRANSLATE(D1701,""PT"",""EN"")"),"Service is agility in things")</f>
        <v>Service is agility in things</v>
      </c>
    </row>
    <row r="1702" ht="14.25" customHeight="1">
      <c r="A1702" s="1">
        <v>100.0</v>
      </c>
      <c r="B1702" s="1" t="s">
        <v>687</v>
      </c>
      <c r="C1702" s="1">
        <v>10.0</v>
      </c>
      <c r="D1702" s="2" t="s">
        <v>775</v>
      </c>
      <c r="E1702" s="1" t="str">
        <f>IFERROR(__xludf.DUMMYFUNCTION("GOOGLETRANSLATE(D1702,""PT"",""EN"")"),"Fast, in the service great professionals")</f>
        <v>Fast, in the service great professionals</v>
      </c>
    </row>
    <row r="1703" ht="14.25" customHeight="1">
      <c r="A1703" s="1">
        <v>100.0</v>
      </c>
      <c r="B1703" s="1" t="s">
        <v>687</v>
      </c>
      <c r="C1703" s="1">
        <v>10.0</v>
      </c>
      <c r="D1703" s="1" t="s">
        <v>85</v>
      </c>
      <c r="E1703" s="1" t="str">
        <f>IFERROR(__xludf.DUMMYFUNCTION("GOOGLETRANSLATE(D1703,""PT"",""EN"")"),"Service")</f>
        <v>Service</v>
      </c>
    </row>
    <row r="1704" ht="14.25" customHeight="1">
      <c r="A1704" s="1">
        <v>100.0</v>
      </c>
      <c r="B1704" s="1" t="s">
        <v>687</v>
      </c>
      <c r="C1704" s="1">
        <v>10.0</v>
      </c>
      <c r="D1704" s="1" t="s">
        <v>62</v>
      </c>
      <c r="E1704" s="1" t="str">
        <f>IFERROR(__xludf.DUMMYFUNCTION("GOOGLETRANSLATE(D1704,""PT"",""EN"")"),"Good service")</f>
        <v>Good service</v>
      </c>
    </row>
    <row r="1705" ht="14.25" customHeight="1">
      <c r="A1705" s="1">
        <v>66.0</v>
      </c>
      <c r="B1705" s="1" t="s">
        <v>687</v>
      </c>
      <c r="C1705" s="1">
        <v>8.0</v>
      </c>
      <c r="D1705" s="1" t="s">
        <v>6</v>
      </c>
      <c r="E1705" s="1"/>
    </row>
    <row r="1706" ht="14.25" customHeight="1">
      <c r="A1706" s="1">
        <v>100.0</v>
      </c>
      <c r="B1706" s="1" t="s">
        <v>687</v>
      </c>
      <c r="C1706" s="1">
        <v>10.0</v>
      </c>
      <c r="D1706" s="1" t="s">
        <v>6</v>
      </c>
      <c r="E1706" s="1"/>
    </row>
    <row r="1707" ht="14.25" customHeight="1">
      <c r="A1707" s="1">
        <v>33.0</v>
      </c>
      <c r="B1707" s="1" t="s">
        <v>687</v>
      </c>
      <c r="C1707" s="1">
        <v>0.0</v>
      </c>
      <c r="D1707" s="1" t="s">
        <v>6</v>
      </c>
      <c r="E1707" s="1"/>
    </row>
    <row r="1708" ht="14.25" customHeight="1">
      <c r="A1708" s="1">
        <v>100.0</v>
      </c>
      <c r="B1708" s="1" t="s">
        <v>687</v>
      </c>
      <c r="C1708" s="1">
        <v>9.0</v>
      </c>
      <c r="D1708" s="1" t="s">
        <v>776</v>
      </c>
      <c r="E1708" s="1" t="str">
        <f>IFERROR(__xludf.DUMMYFUNCTION("GOOGLETRANSLATE(D1708,""PT"",""EN"")"),"Easy to use application")</f>
        <v>Easy to use application</v>
      </c>
    </row>
    <row r="1709" ht="14.25" customHeight="1">
      <c r="A1709" s="1">
        <v>100.0</v>
      </c>
      <c r="B1709" s="1" t="s">
        <v>687</v>
      </c>
      <c r="C1709" s="1">
        <v>10.0</v>
      </c>
      <c r="D1709" s="1" t="s">
        <v>6</v>
      </c>
      <c r="E1709" s="1"/>
    </row>
    <row r="1710" ht="14.25" customHeight="1">
      <c r="A1710" s="1">
        <v>100.0</v>
      </c>
      <c r="B1710" s="1" t="s">
        <v>687</v>
      </c>
      <c r="C1710" s="1">
        <v>10.0</v>
      </c>
      <c r="D1710" s="1" t="s">
        <v>777</v>
      </c>
      <c r="E1710" s="1" t="str">
        <f>IFERROR(__xludf.DUMMYFUNCTION("GOOGLETRANSLATE(D1710,""PT"",""EN"")"),"Meets me very well")</f>
        <v>Meets me very well</v>
      </c>
    </row>
    <row r="1711" ht="14.25" customHeight="1">
      <c r="A1711" s="1">
        <v>100.0</v>
      </c>
      <c r="B1711" s="1" t="s">
        <v>687</v>
      </c>
      <c r="C1711" s="1">
        <v>10.0</v>
      </c>
      <c r="D1711" s="1" t="s">
        <v>6</v>
      </c>
      <c r="E1711" s="1"/>
    </row>
    <row r="1712" ht="14.25" customHeight="1">
      <c r="A1712" s="1">
        <v>100.0</v>
      </c>
      <c r="B1712" s="1" t="s">
        <v>687</v>
      </c>
      <c r="C1712" s="1">
        <v>10.0</v>
      </c>
      <c r="D1712" s="2" t="s">
        <v>778</v>
      </c>
      <c r="E1712" s="1" t="str">
        <f>IFERROR(__xludf.DUMMYFUNCTION("GOOGLETRANSLATE(D1712,""PT"",""EN"")"),"Good service is very attentive")</f>
        <v>Good service is very attentive</v>
      </c>
    </row>
    <row r="1713" ht="14.25" customHeight="1">
      <c r="A1713" s="1">
        <v>100.0</v>
      </c>
      <c r="B1713" s="1" t="s">
        <v>687</v>
      </c>
      <c r="C1713" s="1">
        <v>10.0</v>
      </c>
      <c r="D1713" s="2" t="s">
        <v>779</v>
      </c>
      <c r="E1713" s="1" t="str">
        <f>IFERROR(__xludf.DUMMYFUNCTION("GOOGLETRANSLATE(D1713,""PT"",""EN"")"),"Helping Sicoob, I help sell the fish from an institution that I am also cooperative is therefore owner.")</f>
        <v>Helping Sicoob, I help sell the fish from an institution that I am also cooperative is therefore owner.</v>
      </c>
    </row>
    <row r="1714" ht="14.25" customHeight="1">
      <c r="A1714" s="1">
        <v>66.0</v>
      </c>
      <c r="B1714" s="1" t="s">
        <v>687</v>
      </c>
      <c r="C1714" s="1">
        <v>7.0</v>
      </c>
      <c r="D1714" s="1" t="s">
        <v>6</v>
      </c>
      <c r="E1714" s="1"/>
    </row>
    <row r="1715" ht="14.25" customHeight="1">
      <c r="A1715" s="1">
        <v>100.0</v>
      </c>
      <c r="B1715" s="1" t="s">
        <v>687</v>
      </c>
      <c r="C1715" s="1">
        <v>10.0</v>
      </c>
      <c r="D1715" s="1" t="s">
        <v>6</v>
      </c>
      <c r="E1715" s="1"/>
    </row>
    <row r="1716" ht="14.25" customHeight="1">
      <c r="A1716" s="1">
        <v>33.0</v>
      </c>
      <c r="B1716" s="1" t="s">
        <v>687</v>
      </c>
      <c r="C1716" s="1">
        <v>0.0</v>
      </c>
      <c r="D1716" s="2" t="s">
        <v>780</v>
      </c>
      <c r="E1716" s="1" t="str">
        <f>IFERROR(__xludf.DUMMYFUNCTION("GOOGLETRANSLATE(D1716,""PT"",""EN"")"),"Does not release credit card")</f>
        <v>Does not release credit card</v>
      </c>
    </row>
    <row r="1717" ht="14.25" customHeight="1">
      <c r="A1717" s="1">
        <v>100.0</v>
      </c>
      <c r="B1717" s="1" t="s">
        <v>687</v>
      </c>
      <c r="C1717" s="1">
        <v>10.0</v>
      </c>
      <c r="D1717" s="1" t="s">
        <v>6</v>
      </c>
      <c r="E1717" s="1"/>
    </row>
    <row r="1718" ht="14.25" customHeight="1">
      <c r="A1718" s="1">
        <v>100.0</v>
      </c>
      <c r="B1718" s="1" t="s">
        <v>687</v>
      </c>
      <c r="C1718" s="1">
        <v>10.0</v>
      </c>
      <c r="D1718" s="1" t="s">
        <v>6</v>
      </c>
      <c r="E1718" s="1"/>
    </row>
    <row r="1719" ht="14.25" customHeight="1">
      <c r="A1719" s="1">
        <v>33.0</v>
      </c>
      <c r="B1719" s="1" t="s">
        <v>687</v>
      </c>
      <c r="C1719" s="1">
        <v>5.0</v>
      </c>
      <c r="D1719" s="1" t="s">
        <v>6</v>
      </c>
      <c r="E1719" s="1"/>
    </row>
    <row r="1720" ht="14.25" customHeight="1">
      <c r="A1720" s="1">
        <v>33.0</v>
      </c>
      <c r="B1720" s="1" t="s">
        <v>687</v>
      </c>
      <c r="C1720" s="1">
        <v>5.0</v>
      </c>
      <c r="D1720" s="1" t="s">
        <v>6</v>
      </c>
      <c r="E1720" s="1"/>
    </row>
    <row r="1721" ht="14.25" customHeight="1">
      <c r="A1721" s="1">
        <v>100.0</v>
      </c>
      <c r="B1721" s="1" t="s">
        <v>687</v>
      </c>
      <c r="C1721" s="1">
        <v>10.0</v>
      </c>
      <c r="D1721" s="1" t="s">
        <v>37</v>
      </c>
      <c r="E1721" s="1" t="str">
        <f>IFERROR(__xludf.DUMMYFUNCTION("GOOGLETRANSLATE(D1721,""PT"",""EN"")"),"Great service")</f>
        <v>Great service</v>
      </c>
    </row>
    <row r="1722" ht="14.25" customHeight="1">
      <c r="A1722" s="1">
        <v>33.0</v>
      </c>
      <c r="B1722" s="1" t="s">
        <v>687</v>
      </c>
      <c r="C1722" s="1">
        <v>0.0</v>
      </c>
      <c r="D1722" s="1" t="s">
        <v>6</v>
      </c>
      <c r="E1722" s="1"/>
    </row>
    <row r="1723" ht="14.25" customHeight="1">
      <c r="A1723" s="1">
        <v>100.0</v>
      </c>
      <c r="B1723" s="1" t="s">
        <v>687</v>
      </c>
      <c r="C1723" s="1">
        <v>10.0</v>
      </c>
      <c r="D1723" s="1" t="s">
        <v>6</v>
      </c>
      <c r="E1723" s="1"/>
    </row>
    <row r="1724" ht="14.25" customHeight="1">
      <c r="A1724" s="1">
        <v>100.0</v>
      </c>
      <c r="B1724" s="1" t="s">
        <v>687</v>
      </c>
      <c r="C1724" s="1">
        <v>9.0</v>
      </c>
      <c r="D1724" s="2" t="s">
        <v>781</v>
      </c>
      <c r="E1724" s="1" t="str">
        <f>IFERROR(__xludf.DUMMYFUNCTION("GOOGLETRANSLATE(D1724,""PT"",""EN"")"),"Very well attended is all I need I can")</f>
        <v>Very well attended is all I need I can</v>
      </c>
    </row>
    <row r="1725" ht="14.25" customHeight="1">
      <c r="A1725" s="1">
        <v>100.0</v>
      </c>
      <c r="B1725" s="1" t="s">
        <v>687</v>
      </c>
      <c r="C1725" s="1">
        <v>10.0</v>
      </c>
      <c r="D1725" s="1" t="s">
        <v>6</v>
      </c>
      <c r="E1725" s="1"/>
    </row>
    <row r="1726" ht="14.25" customHeight="1">
      <c r="A1726" s="1">
        <v>100.0</v>
      </c>
      <c r="B1726" s="1" t="s">
        <v>687</v>
      </c>
      <c r="C1726" s="1">
        <v>10.0</v>
      </c>
      <c r="D1726" s="2" t="s">
        <v>782</v>
      </c>
      <c r="E1726" s="1" t="str">
        <f>IFERROR(__xludf.DUMMYFUNCTION("GOOGLETRANSLATE(D1726,""PT"",""EN"")"),"All very helpful employees are attentive is very educated")</f>
        <v>All very helpful employees are attentive is very educated</v>
      </c>
    </row>
    <row r="1727" ht="14.25" customHeight="1">
      <c r="A1727" s="1">
        <v>100.0</v>
      </c>
      <c r="B1727" s="1" t="s">
        <v>687</v>
      </c>
      <c r="C1727" s="1">
        <v>10.0</v>
      </c>
      <c r="D1727" s="1" t="s">
        <v>6</v>
      </c>
      <c r="E1727" s="1"/>
    </row>
    <row r="1728" ht="14.25" customHeight="1">
      <c r="A1728" s="1">
        <v>100.0</v>
      </c>
      <c r="B1728" s="1" t="s">
        <v>687</v>
      </c>
      <c r="C1728" s="1">
        <v>10.0</v>
      </c>
      <c r="D1728" s="1" t="s">
        <v>783</v>
      </c>
      <c r="E1728" s="1" t="str">
        <f>IFERROR(__xludf.DUMMYFUNCTION("GOOGLETRANSLATE(D1728,""PT"",""EN"")"),"Excellent cooperative")</f>
        <v>Excellent cooperative</v>
      </c>
    </row>
    <row r="1729" ht="14.25" customHeight="1">
      <c r="A1729" s="1">
        <v>100.0</v>
      </c>
      <c r="B1729" s="1" t="s">
        <v>687</v>
      </c>
      <c r="C1729" s="1">
        <v>9.0</v>
      </c>
      <c r="D1729" s="2" t="s">
        <v>784</v>
      </c>
      <c r="E1729" s="1" t="str">
        <f>IFERROR(__xludf.DUMMYFUNCTION("GOOGLETRANSLATE(D1729,""PT"",""EN"")"),"Compared to other banks, sin in some details that in the end make a difference. From the speed of approving loans to minimal things like an Apple Pay compatible card.")</f>
        <v>Compared to other banks, sin in some details that in the end make a difference. From the speed of approving loans to minimal things like an Apple Pay compatible card.</v>
      </c>
    </row>
    <row r="1730" ht="14.25" customHeight="1">
      <c r="A1730" s="1">
        <v>100.0</v>
      </c>
      <c r="B1730" s="1" t="s">
        <v>687</v>
      </c>
      <c r="C1730" s="1">
        <v>10.0</v>
      </c>
      <c r="D1730" s="1" t="s">
        <v>6</v>
      </c>
      <c r="E1730" s="1"/>
    </row>
    <row r="1731" ht="14.25" customHeight="1">
      <c r="A1731" s="1">
        <v>100.0</v>
      </c>
      <c r="B1731" s="1" t="s">
        <v>687</v>
      </c>
      <c r="C1731" s="1">
        <v>10.0</v>
      </c>
      <c r="D1731" s="1" t="s">
        <v>6</v>
      </c>
      <c r="E1731" s="1"/>
    </row>
    <row r="1732" ht="14.25" customHeight="1">
      <c r="A1732" s="1">
        <v>33.0</v>
      </c>
      <c r="B1732" s="1" t="s">
        <v>687</v>
      </c>
      <c r="C1732" s="1">
        <v>1.0</v>
      </c>
      <c r="D1732" s="1" t="s">
        <v>6</v>
      </c>
      <c r="E1732" s="1"/>
    </row>
    <row r="1733" ht="14.25" customHeight="1">
      <c r="A1733" s="1">
        <v>100.0</v>
      </c>
      <c r="B1733" s="1" t="s">
        <v>687</v>
      </c>
      <c r="C1733" s="1">
        <v>10.0</v>
      </c>
      <c r="D1733" s="1" t="s">
        <v>785</v>
      </c>
      <c r="E1733" s="1" t="str">
        <f>IFERROR(__xludf.DUMMYFUNCTION("GOOGLETRANSLATE(D1733,""PT"",""EN"")"),"Is q0")</f>
        <v>Is q0</v>
      </c>
    </row>
    <row r="1734" ht="14.25" customHeight="1">
      <c r="A1734" s="1">
        <v>100.0</v>
      </c>
      <c r="B1734" s="1" t="s">
        <v>687</v>
      </c>
      <c r="C1734" s="1">
        <v>10.0</v>
      </c>
      <c r="D1734" s="1" t="s">
        <v>6</v>
      </c>
      <c r="E1734" s="1"/>
    </row>
    <row r="1735" ht="14.25" customHeight="1">
      <c r="A1735" s="1">
        <v>33.0</v>
      </c>
      <c r="B1735" s="1" t="s">
        <v>687</v>
      </c>
      <c r="C1735" s="1">
        <v>0.0</v>
      </c>
      <c r="D1735" s="1" t="s">
        <v>6</v>
      </c>
      <c r="E1735" s="1"/>
    </row>
    <row r="1736" ht="14.25" customHeight="1">
      <c r="A1736" s="1">
        <v>33.0</v>
      </c>
      <c r="B1736" s="1" t="s">
        <v>687</v>
      </c>
      <c r="C1736" s="1">
        <v>0.0</v>
      </c>
      <c r="D1736" s="1" t="s">
        <v>6</v>
      </c>
      <c r="E1736" s="1"/>
    </row>
    <row r="1737" ht="14.25" customHeight="1">
      <c r="A1737" s="1">
        <v>100.0</v>
      </c>
      <c r="B1737" s="1" t="s">
        <v>687</v>
      </c>
      <c r="C1737" s="1">
        <v>10.0</v>
      </c>
      <c r="D1737" s="2" t="s">
        <v>786</v>
      </c>
      <c r="E1737" s="1" t="str">
        <f>IFERROR(__xludf.DUMMYFUNCTION("GOOGLETRANSLATE(D1737,""PT"",""EN"")"),"Fast service is easily accessible to systems.")</f>
        <v>Fast service is easily accessible to systems.</v>
      </c>
    </row>
    <row r="1738" ht="14.25" customHeight="1">
      <c r="A1738" s="1">
        <v>100.0</v>
      </c>
      <c r="B1738" s="1" t="s">
        <v>687</v>
      </c>
      <c r="C1738" s="1">
        <v>10.0</v>
      </c>
      <c r="D1738" s="1" t="s">
        <v>6</v>
      </c>
      <c r="E1738" s="1"/>
    </row>
    <row r="1739" ht="14.25" customHeight="1">
      <c r="A1739" s="1">
        <v>100.0</v>
      </c>
      <c r="B1739" s="1" t="s">
        <v>687</v>
      </c>
      <c r="C1739" s="1">
        <v>10.0</v>
      </c>
      <c r="D1739" s="1" t="s">
        <v>6</v>
      </c>
      <c r="E1739" s="1"/>
    </row>
    <row r="1740" ht="14.25" customHeight="1">
      <c r="A1740" s="1">
        <v>100.0</v>
      </c>
      <c r="B1740" s="1" t="s">
        <v>687</v>
      </c>
      <c r="C1740" s="1">
        <v>10.0</v>
      </c>
      <c r="D1740" s="1" t="s">
        <v>6</v>
      </c>
      <c r="E1740" s="1"/>
    </row>
    <row r="1741" ht="14.25" customHeight="1">
      <c r="A1741" s="1">
        <v>100.0</v>
      </c>
      <c r="B1741" s="1" t="s">
        <v>687</v>
      </c>
      <c r="C1741" s="1">
        <v>10.0</v>
      </c>
      <c r="D1741" s="1" t="s">
        <v>6</v>
      </c>
      <c r="E1741" s="1"/>
    </row>
    <row r="1742" ht="14.25" customHeight="1">
      <c r="A1742" s="1">
        <v>100.0</v>
      </c>
      <c r="B1742" s="1" t="s">
        <v>687</v>
      </c>
      <c r="C1742" s="1">
        <v>10.0</v>
      </c>
      <c r="D1742" s="1" t="s">
        <v>505</v>
      </c>
      <c r="E1742" s="1" t="str">
        <f>IFERROR(__xludf.DUMMYFUNCTION("GOOGLETRANSLATE(D1742,""PT"",""EN"")"),"9")</f>
        <v>9</v>
      </c>
    </row>
    <row r="1743" ht="14.25" customHeight="1">
      <c r="A1743" s="1">
        <v>100.0</v>
      </c>
      <c r="B1743" s="1" t="s">
        <v>687</v>
      </c>
      <c r="C1743" s="1">
        <v>10.0</v>
      </c>
      <c r="D1743" s="1" t="s">
        <v>20</v>
      </c>
      <c r="E1743" s="1" t="str">
        <f>IFERROR(__xludf.DUMMYFUNCTION("GOOGLETRANSLATE(D1743,""PT"",""EN"")"),"Very good")</f>
        <v>Very good</v>
      </c>
    </row>
    <row r="1744" ht="14.25" customHeight="1">
      <c r="A1744" s="1">
        <v>33.0</v>
      </c>
      <c r="B1744" s="1" t="s">
        <v>687</v>
      </c>
      <c r="C1744" s="1">
        <v>6.0</v>
      </c>
      <c r="D1744" s="1" t="s">
        <v>6</v>
      </c>
      <c r="E1744" s="1"/>
    </row>
    <row r="1745" ht="14.25" customHeight="1">
      <c r="A1745" s="1">
        <v>100.0</v>
      </c>
      <c r="B1745" s="1" t="s">
        <v>687</v>
      </c>
      <c r="C1745" s="1">
        <v>10.0</v>
      </c>
      <c r="D1745" s="1" t="s">
        <v>6</v>
      </c>
      <c r="E1745" s="1"/>
    </row>
    <row r="1746" ht="14.25" customHeight="1">
      <c r="A1746" s="1">
        <v>100.0</v>
      </c>
      <c r="B1746" s="1" t="s">
        <v>687</v>
      </c>
      <c r="C1746" s="1">
        <v>10.0</v>
      </c>
      <c r="D1746" s="1" t="s">
        <v>6</v>
      </c>
      <c r="E1746" s="1"/>
    </row>
    <row r="1747" ht="14.25" customHeight="1">
      <c r="A1747" s="1">
        <v>100.0</v>
      </c>
      <c r="B1747" s="1" t="s">
        <v>687</v>
      </c>
      <c r="C1747" s="1">
        <v>10.0</v>
      </c>
      <c r="D1747" s="2" t="s">
        <v>787</v>
      </c>
      <c r="E1747" s="1" t="str">
        <f>IFERROR(__xludf.DUMMYFUNCTION("GOOGLETRANSLATE(D1747,""PT"",""EN"")"),"Speed ​​is affordable rates")</f>
        <v>Speed ​​is affordable rates</v>
      </c>
    </row>
    <row r="1748" ht="14.25" customHeight="1">
      <c r="A1748" s="1">
        <v>33.0</v>
      </c>
      <c r="B1748" s="1" t="s">
        <v>687</v>
      </c>
      <c r="C1748" s="1">
        <v>6.0</v>
      </c>
      <c r="D1748" s="1" t="s">
        <v>6</v>
      </c>
      <c r="E1748" s="1"/>
    </row>
    <row r="1749" ht="14.25" customHeight="1">
      <c r="A1749" s="1">
        <v>100.0</v>
      </c>
      <c r="B1749" s="1" t="s">
        <v>687</v>
      </c>
      <c r="C1749" s="1">
        <v>10.0</v>
      </c>
      <c r="D1749" s="2" t="s">
        <v>788</v>
      </c>
      <c r="E1749" s="1" t="str">
        <f>IFERROR(__xludf.DUMMYFUNCTION("GOOGLETRANSLATE(D1749,""PT"",""EN"")"),"Here we are owners, we are well attended to the results of profits go back to no. Soon the result is applied right here in our municipality.")</f>
        <v>Here we are owners, we are well attended to the results of profits go back to no. Soon the result is applied right here in our municipality.</v>
      </c>
    </row>
    <row r="1750" ht="14.25" customHeight="1">
      <c r="A1750" s="1">
        <v>100.0</v>
      </c>
      <c r="B1750" s="1" t="s">
        <v>687</v>
      </c>
      <c r="C1750" s="1">
        <v>10.0</v>
      </c>
      <c r="D1750" s="2" t="s">
        <v>789</v>
      </c>
      <c r="E1750" s="1" t="str">
        <f>IFERROR(__xludf.DUMMYFUNCTION("GOOGLETRANSLATE(D1750,""PT"",""EN"")"),"Best credit cooperative!")</f>
        <v>Best credit cooperative!</v>
      </c>
    </row>
    <row r="1751" ht="14.25" customHeight="1">
      <c r="A1751" s="1">
        <v>100.0</v>
      </c>
      <c r="B1751" s="1" t="s">
        <v>687</v>
      </c>
      <c r="C1751" s="1">
        <v>10.0</v>
      </c>
      <c r="D1751" s="2" t="s">
        <v>790</v>
      </c>
      <c r="E1751" s="1" t="str">
        <f>IFERROR(__xludf.DUMMYFUNCTION("GOOGLETRANSLATE(D1751,""PT"",""EN"")"),"They are very helpful")</f>
        <v>They are very helpful</v>
      </c>
    </row>
    <row r="1752" ht="14.25" customHeight="1">
      <c r="A1752" s="1">
        <v>100.0</v>
      </c>
      <c r="B1752" s="1" t="s">
        <v>687</v>
      </c>
      <c r="C1752" s="1">
        <v>10.0</v>
      </c>
      <c r="D1752" s="1" t="s">
        <v>20</v>
      </c>
      <c r="E1752" s="1" t="str">
        <f>IFERROR(__xludf.DUMMYFUNCTION("GOOGLETRANSLATE(D1752,""PT"",""EN"")"),"Very good")</f>
        <v>Very good</v>
      </c>
    </row>
    <row r="1753" ht="14.25" customHeight="1">
      <c r="A1753" s="1">
        <v>33.0</v>
      </c>
      <c r="B1753" s="1" t="s">
        <v>687</v>
      </c>
      <c r="C1753" s="1">
        <v>4.0</v>
      </c>
      <c r="D1753" s="1" t="s">
        <v>6</v>
      </c>
      <c r="E1753" s="1"/>
    </row>
    <row r="1754" ht="14.25" customHeight="1">
      <c r="A1754" s="1">
        <v>66.0</v>
      </c>
      <c r="B1754" s="1" t="s">
        <v>687</v>
      </c>
      <c r="C1754" s="1">
        <v>8.0</v>
      </c>
      <c r="D1754" s="1" t="s">
        <v>791</v>
      </c>
      <c r="E1754" s="1" t="str">
        <f>IFERROR(__xludf.DUMMYFUNCTION("GOOGLETRANSLATE(D1754,""PT"",""EN"")"),"A median service")</f>
        <v>A median service</v>
      </c>
    </row>
    <row r="1755" ht="14.25" customHeight="1">
      <c r="A1755" s="1">
        <v>100.0</v>
      </c>
      <c r="B1755" s="1" t="s">
        <v>687</v>
      </c>
      <c r="C1755" s="1">
        <v>10.0</v>
      </c>
      <c r="D1755" s="1" t="s">
        <v>792</v>
      </c>
      <c r="E1755" s="1" t="str">
        <f>IFERROR(__xludf.DUMMYFUNCTION("GOOGLETRANSLATE(D1755,""PT"",""EN"")"),"Differentiated service, fast returns")</f>
        <v>Differentiated service, fast returns</v>
      </c>
    </row>
    <row r="1756" ht="14.25" customHeight="1">
      <c r="A1756" s="1">
        <v>100.0</v>
      </c>
      <c r="B1756" s="1" t="s">
        <v>687</v>
      </c>
      <c r="C1756" s="1">
        <v>10.0</v>
      </c>
      <c r="D1756" s="1" t="s">
        <v>6</v>
      </c>
      <c r="E1756" s="1"/>
    </row>
    <row r="1757" ht="14.25" customHeight="1">
      <c r="A1757" s="1">
        <v>100.0</v>
      </c>
      <c r="B1757" s="1" t="s">
        <v>687</v>
      </c>
      <c r="C1757" s="1">
        <v>9.0</v>
      </c>
      <c r="D1757" s="1" t="s">
        <v>6</v>
      </c>
      <c r="E1757" s="1"/>
    </row>
    <row r="1758" ht="14.25" customHeight="1">
      <c r="A1758" s="1">
        <v>100.0</v>
      </c>
      <c r="B1758" s="1" t="s">
        <v>687</v>
      </c>
      <c r="C1758" s="1">
        <v>10.0</v>
      </c>
      <c r="D1758" s="2" t="s">
        <v>793</v>
      </c>
      <c r="E1758" s="1" t="str">
        <f>IFERROR(__xludf.DUMMYFUNCTION("GOOGLETRANSLATE(D1758,""PT"",""EN"")"),"Service, accounts maintenance rates is other")</f>
        <v>Service, accounts maintenance rates is other</v>
      </c>
    </row>
    <row r="1759" ht="14.25" customHeight="1">
      <c r="A1759" s="1">
        <v>100.0</v>
      </c>
      <c r="B1759" s="1" t="s">
        <v>687</v>
      </c>
      <c r="C1759" s="1">
        <v>10.0</v>
      </c>
      <c r="D1759" s="1" t="s">
        <v>794</v>
      </c>
      <c r="E1759" s="1" t="str">
        <f>IFERROR(__xludf.DUMMYFUNCTION("GOOGLETRANSLATE(D1759,""PT"",""EN"")"),"by partnership")</f>
        <v>by partnership</v>
      </c>
    </row>
    <row r="1760" ht="14.25" customHeight="1">
      <c r="A1760" s="1">
        <v>100.0</v>
      </c>
      <c r="B1760" s="1" t="s">
        <v>687</v>
      </c>
      <c r="C1760" s="1">
        <v>10.0</v>
      </c>
      <c r="D1760" s="2" t="s">
        <v>795</v>
      </c>
      <c r="E1760" s="1" t="str">
        <f>IFERROR(__xludf.DUMMYFUNCTION("GOOGLETRANSLATE(D1760,""PT"",""EN"")"),"Efficiency is service")</f>
        <v>Efficiency is service</v>
      </c>
    </row>
    <row r="1761" ht="14.25" customHeight="1">
      <c r="A1761" s="1">
        <v>33.0</v>
      </c>
      <c r="B1761" s="1" t="s">
        <v>687</v>
      </c>
      <c r="C1761" s="1">
        <v>0.0</v>
      </c>
      <c r="D1761" s="1" t="s">
        <v>6</v>
      </c>
      <c r="E1761" s="1"/>
    </row>
    <row r="1762" ht="14.25" customHeight="1">
      <c r="A1762" s="1">
        <v>100.0</v>
      </c>
      <c r="B1762" s="1" t="s">
        <v>687</v>
      </c>
      <c r="C1762" s="1">
        <v>10.0</v>
      </c>
      <c r="D1762" s="1" t="s">
        <v>385</v>
      </c>
      <c r="E1762" s="1" t="str">
        <f>IFERROR(__xludf.DUMMYFUNCTION("GOOGLETRANSLATE(D1762,""PT"",""EN"")"),"The good service")</f>
        <v>The good service</v>
      </c>
    </row>
    <row r="1763" ht="14.25" customHeight="1">
      <c r="A1763" s="1">
        <v>100.0</v>
      </c>
      <c r="B1763" s="1" t="s">
        <v>687</v>
      </c>
      <c r="C1763" s="1">
        <v>10.0</v>
      </c>
      <c r="D1763" s="1" t="s">
        <v>164</v>
      </c>
      <c r="E1763" s="1" t="str">
        <f>IFERROR(__xludf.DUMMYFUNCTION("GOOGLETRANSLATE(D1763,""PT"",""EN"")"),"Great bank")</f>
        <v>Great bank</v>
      </c>
    </row>
    <row r="1764" ht="14.25" customHeight="1">
      <c r="A1764" s="1">
        <v>100.0</v>
      </c>
      <c r="B1764" s="1" t="s">
        <v>687</v>
      </c>
      <c r="C1764" s="1">
        <v>10.0</v>
      </c>
      <c r="D1764" s="1" t="s">
        <v>796</v>
      </c>
      <c r="E1764" s="1" t="str">
        <f>IFERROR(__xludf.DUMMYFUNCTION("GOOGLETRANSLATE(D1764,""PT"",""EN"")"),"Great service, good service, attentive with customers")</f>
        <v>Great service, good service, attentive with customers</v>
      </c>
    </row>
    <row r="1765" ht="14.25" customHeight="1">
      <c r="A1765" s="1">
        <v>100.0</v>
      </c>
      <c r="B1765" s="1" t="s">
        <v>687</v>
      </c>
      <c r="C1765" s="1">
        <v>10.0</v>
      </c>
      <c r="D1765" s="1" t="s">
        <v>6</v>
      </c>
      <c r="E1765" s="1"/>
    </row>
    <row r="1766" ht="14.25" customHeight="1">
      <c r="A1766" s="1">
        <v>66.0</v>
      </c>
      <c r="B1766" s="1" t="s">
        <v>687</v>
      </c>
      <c r="C1766" s="1">
        <v>7.0</v>
      </c>
      <c r="D1766" s="2" t="s">
        <v>797</v>
      </c>
      <c r="E1766" s="1" t="str">
        <f>IFERROR(__xludf.DUMMYFUNCTION("GOOGLETRANSLATE(D1766,""PT"",""EN"")"),"Management still needs to be more open! The system is still very political is restricted to a group of people! Loses many good employees ...")</f>
        <v>Management still needs to be more open! The system is still very political is restricted to a group of people! Loses many good employees ...</v>
      </c>
    </row>
    <row r="1767" ht="14.25" customHeight="1">
      <c r="A1767" s="1">
        <v>100.0</v>
      </c>
      <c r="B1767" s="1" t="s">
        <v>687</v>
      </c>
      <c r="C1767" s="1">
        <v>10.0</v>
      </c>
      <c r="D1767" s="1" t="s">
        <v>798</v>
      </c>
      <c r="E1767" s="1" t="str">
        <f>IFERROR(__xludf.DUMMYFUNCTION("GOOGLETRANSLATE(D1767,""PT"",""EN"")"),"ESSENCE IN SERVICE")</f>
        <v>ESSENCE IN SERVICE</v>
      </c>
    </row>
    <row r="1768" ht="14.25" customHeight="1">
      <c r="A1768" s="1">
        <v>100.0</v>
      </c>
      <c r="B1768" s="1" t="s">
        <v>687</v>
      </c>
      <c r="C1768" s="1">
        <v>10.0</v>
      </c>
      <c r="D1768" s="1" t="s">
        <v>799</v>
      </c>
      <c r="E1768" s="1" t="str">
        <f>IFERROR(__xludf.DUMMYFUNCTION("GOOGLETRANSLATE(D1768,""PT"",""EN"")"),"Everything I need solves")</f>
        <v>Everything I need solves</v>
      </c>
    </row>
    <row r="1769" ht="14.25" customHeight="1">
      <c r="A1769" s="1">
        <v>100.0</v>
      </c>
      <c r="B1769" s="1" t="s">
        <v>687</v>
      </c>
      <c r="C1769" s="1">
        <v>10.0</v>
      </c>
      <c r="D1769" s="1" t="s">
        <v>6</v>
      </c>
      <c r="E1769" s="1"/>
    </row>
    <row r="1770" ht="14.25" customHeight="1">
      <c r="A1770" s="1">
        <v>100.0</v>
      </c>
      <c r="B1770" s="1" t="s">
        <v>687</v>
      </c>
      <c r="C1770" s="1">
        <v>10.0</v>
      </c>
      <c r="D1770" s="1" t="s">
        <v>6</v>
      </c>
      <c r="E1770" s="1"/>
    </row>
    <row r="1771" ht="14.25" customHeight="1">
      <c r="A1771" s="1">
        <v>100.0</v>
      </c>
      <c r="B1771" s="1" t="s">
        <v>687</v>
      </c>
      <c r="C1771" s="1">
        <v>10.0</v>
      </c>
      <c r="D1771" s="2" t="s">
        <v>800</v>
      </c>
      <c r="E1771" s="1" t="str">
        <f>IFERROR(__xludf.DUMMYFUNCTION("GOOGLETRANSLATE(D1771,""PT"",""EN"")"),"Practicality is not to mention that you own also indicate to everyone !!!")</f>
        <v>Practicality is not to mention that you own also indicate to everyone !!!</v>
      </c>
    </row>
    <row r="1772" ht="14.25" customHeight="1">
      <c r="A1772" s="1">
        <v>100.0</v>
      </c>
      <c r="B1772" s="1" t="s">
        <v>801</v>
      </c>
      <c r="C1772" s="1">
        <v>10.0</v>
      </c>
      <c r="D1772" s="2" t="s">
        <v>802</v>
      </c>
      <c r="E1772" s="1" t="str">
        <f>IFERROR(__xludf.DUMMYFUNCTION("GOOGLETRANSLATE(D1772,""PT"",""EN"")"),"Safety is convenience")</f>
        <v>Safety is convenience</v>
      </c>
    </row>
    <row r="1773" ht="14.25" customHeight="1">
      <c r="A1773" s="1">
        <v>100.0</v>
      </c>
      <c r="B1773" s="1" t="s">
        <v>801</v>
      </c>
      <c r="C1773" s="1">
        <v>10.0</v>
      </c>
      <c r="D1773" s="1" t="s">
        <v>6</v>
      </c>
      <c r="E1773" s="1"/>
    </row>
    <row r="1774" ht="14.25" customHeight="1">
      <c r="A1774" s="1">
        <v>100.0</v>
      </c>
      <c r="B1774" s="1" t="s">
        <v>801</v>
      </c>
      <c r="C1774" s="1">
        <v>10.0</v>
      </c>
      <c r="D1774" s="1" t="s">
        <v>85</v>
      </c>
      <c r="E1774" s="1" t="str">
        <f>IFERROR(__xludf.DUMMYFUNCTION("GOOGLETRANSLATE(D1774,""PT"",""EN"")"),"Service")</f>
        <v>Service</v>
      </c>
    </row>
    <row r="1775" ht="14.25" customHeight="1">
      <c r="A1775" s="1">
        <v>100.0</v>
      </c>
      <c r="B1775" s="1" t="s">
        <v>801</v>
      </c>
      <c r="C1775" s="1">
        <v>10.0</v>
      </c>
      <c r="D1775" s="1" t="s">
        <v>190</v>
      </c>
      <c r="E1775" s="1" t="str">
        <f>IFERROR(__xludf.DUMMYFUNCTION("GOOGLETRANSLATE(D1775,""PT"",""EN"")"),"Agility")</f>
        <v>Agility</v>
      </c>
    </row>
    <row r="1776" ht="14.25" customHeight="1">
      <c r="A1776" s="1">
        <v>100.0</v>
      </c>
      <c r="B1776" s="1" t="s">
        <v>801</v>
      </c>
      <c r="C1776" s="1">
        <v>10.0</v>
      </c>
      <c r="D1776" s="1" t="s">
        <v>6</v>
      </c>
      <c r="E1776" s="1"/>
    </row>
    <row r="1777" ht="14.25" customHeight="1">
      <c r="A1777" s="1">
        <v>100.0</v>
      </c>
      <c r="B1777" s="1" t="s">
        <v>801</v>
      </c>
      <c r="C1777" s="1">
        <v>10.0</v>
      </c>
      <c r="D1777" s="1" t="s">
        <v>6</v>
      </c>
      <c r="E1777" s="1"/>
    </row>
    <row r="1778" ht="14.25" customHeight="1">
      <c r="A1778" s="1">
        <v>100.0</v>
      </c>
      <c r="B1778" s="1" t="s">
        <v>801</v>
      </c>
      <c r="C1778" s="1">
        <v>10.0</v>
      </c>
      <c r="D1778" s="1" t="s">
        <v>6</v>
      </c>
      <c r="E1778" s="1"/>
    </row>
    <row r="1779" ht="14.25" customHeight="1">
      <c r="A1779" s="1">
        <v>100.0</v>
      </c>
      <c r="B1779" s="1" t="s">
        <v>801</v>
      </c>
      <c r="C1779" s="1">
        <v>10.0</v>
      </c>
      <c r="D1779" s="1" t="s">
        <v>6</v>
      </c>
      <c r="E1779" s="1"/>
    </row>
    <row r="1780" ht="14.25" customHeight="1">
      <c r="A1780" s="1">
        <v>33.0</v>
      </c>
      <c r="B1780" s="1" t="s">
        <v>801</v>
      </c>
      <c r="C1780" s="1">
        <v>6.0</v>
      </c>
      <c r="D1780" s="1" t="s">
        <v>803</v>
      </c>
      <c r="E1780" s="1" t="str">
        <f>IFERROR(__xludf.DUMMYFUNCTION("GOOGLETRANSLATE(D1780,""PT"",""EN"")"),"Good")</f>
        <v>Good</v>
      </c>
    </row>
    <row r="1781" ht="14.25" customHeight="1">
      <c r="A1781" s="1">
        <v>66.0</v>
      </c>
      <c r="B1781" s="1" t="s">
        <v>801</v>
      </c>
      <c r="C1781" s="1">
        <v>8.0</v>
      </c>
      <c r="D1781" s="1" t="s">
        <v>62</v>
      </c>
      <c r="E1781" s="1" t="str">
        <f>IFERROR(__xludf.DUMMYFUNCTION("GOOGLETRANSLATE(D1781,""PT"",""EN"")"),"Good service")</f>
        <v>Good service</v>
      </c>
    </row>
    <row r="1782" ht="14.25" customHeight="1">
      <c r="A1782" s="1">
        <v>100.0</v>
      </c>
      <c r="B1782" s="1" t="s">
        <v>801</v>
      </c>
      <c r="C1782" s="1">
        <v>10.0</v>
      </c>
      <c r="D1782" s="1" t="s">
        <v>6</v>
      </c>
      <c r="E1782" s="1"/>
    </row>
    <row r="1783" ht="14.25" customHeight="1">
      <c r="A1783" s="1">
        <v>100.0</v>
      </c>
      <c r="B1783" s="1" t="s">
        <v>801</v>
      </c>
      <c r="C1783" s="1">
        <v>10.0</v>
      </c>
      <c r="D1783" s="1" t="s">
        <v>804</v>
      </c>
      <c r="E1783" s="1" t="str">
        <f>IFERROR(__xludf.DUMMYFUNCTION("GOOGLETRANSLATE(D1783,""PT"",""EN"")"),"Due to the service provided")</f>
        <v>Due to the service provided</v>
      </c>
    </row>
    <row r="1784" ht="14.25" customHeight="1">
      <c r="A1784" s="1">
        <v>100.0</v>
      </c>
      <c r="B1784" s="1" t="s">
        <v>801</v>
      </c>
      <c r="C1784" s="1">
        <v>10.0</v>
      </c>
      <c r="D1784" s="1" t="s">
        <v>805</v>
      </c>
      <c r="E1784" s="1" t="str">
        <f>IFERROR(__xludf.DUMMYFUNCTION("GOOGLETRANSLATE(D1784,""PT"",""EN"")"),"Best financial institution in Brazil.")</f>
        <v>Best financial institution in Brazil.</v>
      </c>
    </row>
    <row r="1785" ht="14.25" customHeight="1">
      <c r="A1785" s="1">
        <v>33.0</v>
      </c>
      <c r="B1785" s="1" t="s">
        <v>801</v>
      </c>
      <c r="C1785" s="1">
        <v>2.0</v>
      </c>
      <c r="D1785" s="1" t="s">
        <v>6</v>
      </c>
      <c r="E1785" s="1"/>
    </row>
    <row r="1786" ht="14.25" customHeight="1">
      <c r="A1786" s="1">
        <v>100.0</v>
      </c>
      <c r="B1786" s="1" t="s">
        <v>801</v>
      </c>
      <c r="C1786" s="1">
        <v>10.0</v>
      </c>
      <c r="D1786" s="1" t="s">
        <v>806</v>
      </c>
      <c r="E1786" s="1" t="str">
        <f>IFERROR(__xludf.DUMMYFUNCTION("GOOGLETRANSLATE(D1786,""PT"",""EN"")"),"It's part of my life 💚")</f>
        <v>It's part of my life 💚</v>
      </c>
    </row>
    <row r="1787" ht="14.25" customHeight="1">
      <c r="A1787" s="1">
        <v>100.0</v>
      </c>
      <c r="B1787" s="1" t="s">
        <v>801</v>
      </c>
      <c r="C1787" s="1">
        <v>10.0</v>
      </c>
      <c r="D1787" s="1" t="s">
        <v>6</v>
      </c>
      <c r="E1787" s="1"/>
    </row>
    <row r="1788" ht="14.25" customHeight="1">
      <c r="A1788" s="1">
        <v>100.0</v>
      </c>
      <c r="B1788" s="1" t="s">
        <v>801</v>
      </c>
      <c r="C1788" s="1">
        <v>10.0</v>
      </c>
      <c r="D1788" s="2" t="s">
        <v>807</v>
      </c>
      <c r="E1788" s="1" t="str">
        <f>IFERROR(__xludf.DUMMYFUNCTION("GOOGLETRANSLATE(D1788,""PT"",""EN"")"),"Sicoob is a partner for all hours mainly partnership with realizing dreams here you dream Sicoob realizes your project")</f>
        <v>Sicoob is a partner for all hours mainly partnership with realizing dreams here you dream Sicoob realizes your project</v>
      </c>
    </row>
    <row r="1789" ht="14.25" customHeight="1">
      <c r="A1789" s="1">
        <v>100.0</v>
      </c>
      <c r="B1789" s="1" t="s">
        <v>801</v>
      </c>
      <c r="C1789" s="1">
        <v>10.0</v>
      </c>
      <c r="D1789" s="1" t="s">
        <v>6</v>
      </c>
      <c r="E1789" s="1"/>
    </row>
    <row r="1790" ht="14.25" customHeight="1">
      <c r="A1790" s="1">
        <v>66.0</v>
      </c>
      <c r="B1790" s="1" t="s">
        <v>801</v>
      </c>
      <c r="C1790" s="1">
        <v>8.0</v>
      </c>
      <c r="D1790" s="1" t="s">
        <v>6</v>
      </c>
      <c r="E1790" s="1"/>
    </row>
    <row r="1791" ht="14.25" customHeight="1">
      <c r="A1791" s="1">
        <v>66.0</v>
      </c>
      <c r="B1791" s="1" t="s">
        <v>801</v>
      </c>
      <c r="C1791" s="1">
        <v>7.0</v>
      </c>
      <c r="D1791" s="1" t="s">
        <v>6</v>
      </c>
      <c r="E1791" s="1"/>
    </row>
    <row r="1792" ht="14.25" customHeight="1">
      <c r="A1792" s="1">
        <v>100.0</v>
      </c>
      <c r="B1792" s="1" t="s">
        <v>801</v>
      </c>
      <c r="C1792" s="1">
        <v>10.0</v>
      </c>
      <c r="D1792" s="1" t="s">
        <v>6</v>
      </c>
      <c r="E1792" s="1"/>
    </row>
    <row r="1793" ht="14.25" customHeight="1">
      <c r="A1793" s="1">
        <v>100.0</v>
      </c>
      <c r="B1793" s="1" t="s">
        <v>801</v>
      </c>
      <c r="C1793" s="1">
        <v>10.0</v>
      </c>
      <c r="D1793" s="1" t="s">
        <v>6</v>
      </c>
      <c r="E1793" s="1"/>
    </row>
    <row r="1794" ht="14.25" customHeight="1">
      <c r="A1794" s="1">
        <v>100.0</v>
      </c>
      <c r="B1794" s="1" t="s">
        <v>801</v>
      </c>
      <c r="C1794" s="1">
        <v>10.0</v>
      </c>
      <c r="D1794" s="1" t="s">
        <v>6</v>
      </c>
      <c r="E1794" s="1"/>
    </row>
    <row r="1795" ht="14.25" customHeight="1">
      <c r="A1795" s="1">
        <v>100.0</v>
      </c>
      <c r="B1795" s="1" t="s">
        <v>801</v>
      </c>
      <c r="C1795" s="1">
        <v>10.0</v>
      </c>
      <c r="D1795" s="1" t="s">
        <v>18</v>
      </c>
      <c r="E1795" s="1" t="str">
        <f>IFERROR(__xludf.DUMMYFUNCTION("GOOGLETRANSLATE(D1795,""PT"",""EN"")"),"Trust")</f>
        <v>Trust</v>
      </c>
    </row>
    <row r="1796" ht="14.25" customHeight="1">
      <c r="A1796" s="1">
        <v>100.0</v>
      </c>
      <c r="B1796" s="1" t="s">
        <v>801</v>
      </c>
      <c r="C1796" s="1">
        <v>10.0</v>
      </c>
      <c r="D1796" s="2" t="s">
        <v>808</v>
      </c>
      <c r="E1796" s="1" t="str">
        <f>IFERROR(__xludf.DUMMYFUNCTION("GOOGLETRANSLATE(D1796,""PT"",""EN"")"),"I am very well assisted is answers throughout the team, always being well oriented.")</f>
        <v>I am very well assisted is answers throughout the team, always being well oriented.</v>
      </c>
    </row>
    <row r="1797" ht="14.25" customHeight="1">
      <c r="A1797" s="1">
        <v>100.0</v>
      </c>
      <c r="B1797" s="1" t="s">
        <v>801</v>
      </c>
      <c r="C1797" s="1">
        <v>10.0</v>
      </c>
      <c r="D1797" s="1" t="s">
        <v>6</v>
      </c>
      <c r="E1797" s="1"/>
    </row>
    <row r="1798" ht="14.25" customHeight="1">
      <c r="A1798" s="1">
        <v>100.0</v>
      </c>
      <c r="B1798" s="1" t="s">
        <v>801</v>
      </c>
      <c r="C1798" s="1">
        <v>10.0</v>
      </c>
      <c r="D1798" s="1" t="s">
        <v>6</v>
      </c>
      <c r="E1798" s="1"/>
    </row>
    <row r="1799" ht="14.25" customHeight="1">
      <c r="A1799" s="1">
        <v>33.0</v>
      </c>
      <c r="B1799" s="1" t="s">
        <v>801</v>
      </c>
      <c r="C1799" s="1">
        <v>1.0</v>
      </c>
      <c r="D1799" s="2" t="s">
        <v>809</v>
      </c>
      <c r="E1799" s="1" t="str">
        <f>IFERROR(__xludf.DUMMYFUNCTION("GOOGLETRANSLATE(D1799,""PT"",""EN"")"),"Very adduction the attendant gives the agency watches from Ydayne from the agency Goiânia Centro Deus Free")</f>
        <v>Very adduction the attendant gives the agency watches from Ydayne from the agency Goiânia Centro Deus Free</v>
      </c>
    </row>
    <row r="1800" ht="14.25" customHeight="1">
      <c r="A1800" s="1">
        <v>100.0</v>
      </c>
      <c r="B1800" s="1" t="s">
        <v>801</v>
      </c>
      <c r="C1800" s="1">
        <v>10.0</v>
      </c>
      <c r="D1800" s="1" t="s">
        <v>810</v>
      </c>
      <c r="E1800" s="1" t="str">
        <f>IFERROR(__xludf.DUMMYFUNCTION("GOOGLETRANSLATE(D1800,""PT"",""EN"")"),"Perfect bank to serve you")</f>
        <v>Perfect bank to serve you</v>
      </c>
    </row>
    <row r="1801" ht="14.25" customHeight="1">
      <c r="A1801" s="1">
        <v>66.0</v>
      </c>
      <c r="B1801" s="1" t="s">
        <v>801</v>
      </c>
      <c r="C1801" s="1">
        <v>8.0</v>
      </c>
      <c r="D1801" s="1" t="s">
        <v>6</v>
      </c>
      <c r="E1801" s="1"/>
    </row>
    <row r="1802" ht="14.25" customHeight="1">
      <c r="A1802" s="1">
        <v>100.0</v>
      </c>
      <c r="B1802" s="1" t="s">
        <v>801</v>
      </c>
      <c r="C1802" s="1">
        <v>10.0</v>
      </c>
      <c r="D1802" s="2" t="s">
        <v>811</v>
      </c>
      <c r="E1802" s="1" t="str">
        <f>IFERROR(__xludf.DUMMYFUNCTION("GOOGLETRANSLATE(D1802,""PT"",""EN"")"),"Fast service is efficient")</f>
        <v>Fast service is efficient</v>
      </c>
    </row>
    <row r="1803" ht="14.25" customHeight="1">
      <c r="A1803" s="1">
        <v>100.0</v>
      </c>
      <c r="B1803" s="1" t="s">
        <v>801</v>
      </c>
      <c r="C1803" s="1">
        <v>10.0</v>
      </c>
      <c r="D1803" s="2" t="s">
        <v>812</v>
      </c>
      <c r="E1803" s="1" t="str">
        <f>IFERROR(__xludf.DUMMYFUNCTION("GOOGLETRANSLATE(D1803,""PT"",""EN"")"),"Sicoob besides being close to no, makes our financial life easier.")</f>
        <v>Sicoob besides being close to no, makes our financial life easier.</v>
      </c>
    </row>
    <row r="1804" ht="14.25" customHeight="1">
      <c r="A1804" s="1">
        <v>100.0</v>
      </c>
      <c r="B1804" s="1" t="s">
        <v>801</v>
      </c>
      <c r="C1804" s="1">
        <v>10.0</v>
      </c>
      <c r="D1804" s="1" t="s">
        <v>190</v>
      </c>
      <c r="E1804" s="1" t="str">
        <f>IFERROR(__xludf.DUMMYFUNCTION("GOOGLETRANSLATE(D1804,""PT"",""EN"")"),"Agility")</f>
        <v>Agility</v>
      </c>
    </row>
    <row r="1805" ht="14.25" customHeight="1">
      <c r="A1805" s="1">
        <v>100.0</v>
      </c>
      <c r="B1805" s="1" t="s">
        <v>801</v>
      </c>
      <c r="C1805" s="1">
        <v>10.0</v>
      </c>
      <c r="D1805" s="1" t="s">
        <v>6</v>
      </c>
      <c r="E1805" s="1"/>
    </row>
    <row r="1806" ht="14.25" customHeight="1">
      <c r="A1806" s="1">
        <v>100.0</v>
      </c>
      <c r="B1806" s="1" t="s">
        <v>801</v>
      </c>
      <c r="C1806" s="1">
        <v>10.0</v>
      </c>
      <c r="D1806" s="1" t="s">
        <v>6</v>
      </c>
      <c r="E1806" s="1"/>
    </row>
    <row r="1807" ht="14.25" customHeight="1">
      <c r="A1807" s="1">
        <v>100.0</v>
      </c>
      <c r="B1807" s="1" t="s">
        <v>801</v>
      </c>
      <c r="C1807" s="1">
        <v>10.0</v>
      </c>
      <c r="D1807" s="1" t="s">
        <v>62</v>
      </c>
      <c r="E1807" s="1" t="str">
        <f>IFERROR(__xludf.DUMMYFUNCTION("GOOGLETRANSLATE(D1807,""PT"",""EN"")"),"Good service")</f>
        <v>Good service</v>
      </c>
    </row>
    <row r="1808" ht="14.25" customHeight="1">
      <c r="A1808" s="1">
        <v>100.0</v>
      </c>
      <c r="B1808" s="1" t="s">
        <v>801</v>
      </c>
      <c r="C1808" s="1">
        <v>10.0</v>
      </c>
      <c r="D1808" s="1" t="s">
        <v>6</v>
      </c>
      <c r="E1808" s="1"/>
    </row>
    <row r="1809" ht="14.25" customHeight="1">
      <c r="A1809" s="1">
        <v>100.0</v>
      </c>
      <c r="B1809" s="1" t="s">
        <v>801</v>
      </c>
      <c r="C1809" s="1">
        <v>10.0</v>
      </c>
      <c r="D1809" s="1" t="s">
        <v>6</v>
      </c>
      <c r="E1809" s="1"/>
    </row>
    <row r="1810" ht="14.25" customHeight="1">
      <c r="A1810" s="1">
        <v>100.0</v>
      </c>
      <c r="B1810" s="1" t="s">
        <v>801</v>
      </c>
      <c r="C1810" s="1">
        <v>10.0</v>
      </c>
      <c r="D1810" s="2" t="s">
        <v>813</v>
      </c>
      <c r="E1810" s="1" t="str">
        <f>IFERROR(__xludf.DUMMYFUNCTION("GOOGLETRANSLATE(D1810,""PT"",""EN"")"),"Transparency, commitment is confidence.")</f>
        <v>Transparency, commitment is confidence.</v>
      </c>
    </row>
    <row r="1811" ht="14.25" customHeight="1">
      <c r="A1811" s="1">
        <v>66.0</v>
      </c>
      <c r="B1811" s="1" t="s">
        <v>801</v>
      </c>
      <c r="C1811" s="1">
        <v>8.0</v>
      </c>
      <c r="D1811" s="1" t="s">
        <v>6</v>
      </c>
      <c r="E1811" s="1"/>
    </row>
    <row r="1812" ht="14.25" customHeight="1">
      <c r="A1812" s="1">
        <v>100.0</v>
      </c>
      <c r="B1812" s="1" t="s">
        <v>801</v>
      </c>
      <c r="C1812" s="1">
        <v>10.0</v>
      </c>
      <c r="D1812" s="1" t="s">
        <v>6</v>
      </c>
      <c r="E1812" s="1"/>
    </row>
    <row r="1813" ht="14.25" customHeight="1">
      <c r="A1813" s="1">
        <v>100.0</v>
      </c>
      <c r="B1813" s="1" t="s">
        <v>801</v>
      </c>
      <c r="C1813" s="1">
        <v>9.0</v>
      </c>
      <c r="D1813" s="1" t="s">
        <v>6</v>
      </c>
      <c r="E1813" s="1"/>
    </row>
    <row r="1814" ht="14.25" customHeight="1">
      <c r="A1814" s="1">
        <v>100.0</v>
      </c>
      <c r="B1814" s="1" t="s">
        <v>801</v>
      </c>
      <c r="C1814" s="1">
        <v>10.0</v>
      </c>
      <c r="D1814" s="1" t="s">
        <v>9</v>
      </c>
      <c r="E1814" s="1" t="str">
        <f>IFERROR(__xludf.DUMMYFUNCTION("GOOGLETRANSLATE(D1814,""PT"",""EN"")"),"10")</f>
        <v>10</v>
      </c>
    </row>
    <row r="1815" ht="14.25" customHeight="1">
      <c r="A1815" s="1">
        <v>100.0</v>
      </c>
      <c r="B1815" s="1" t="s">
        <v>801</v>
      </c>
      <c r="C1815" s="1">
        <v>10.0</v>
      </c>
      <c r="D1815" s="1" t="s">
        <v>6</v>
      </c>
      <c r="E1815" s="1"/>
    </row>
    <row r="1816" ht="14.25" customHeight="1">
      <c r="A1816" s="1">
        <v>100.0</v>
      </c>
      <c r="B1816" s="1" t="s">
        <v>801</v>
      </c>
      <c r="C1816" s="1">
        <v>10.0</v>
      </c>
      <c r="D1816" s="2" t="s">
        <v>814</v>
      </c>
      <c r="E1816" s="1" t="str">
        <f>IFERROR(__xludf.DUMMYFUNCTION("GOOGLETRANSLATE(D1816,""PT"",""EN"")"),"Good relationship is efficiency, better service")</f>
        <v>Good relationship is efficiency, better service</v>
      </c>
    </row>
    <row r="1817" ht="14.25" customHeight="1">
      <c r="A1817" s="1">
        <v>100.0</v>
      </c>
      <c r="B1817" s="1" t="s">
        <v>801</v>
      </c>
      <c r="C1817" s="1">
        <v>10.0</v>
      </c>
      <c r="D1817" s="1" t="s">
        <v>62</v>
      </c>
      <c r="E1817" s="1" t="str">
        <f>IFERROR(__xludf.DUMMYFUNCTION("GOOGLETRANSLATE(D1817,""PT"",""EN"")"),"Good service")</f>
        <v>Good service</v>
      </c>
    </row>
    <row r="1818" ht="14.25" customHeight="1">
      <c r="A1818" s="1">
        <v>100.0</v>
      </c>
      <c r="B1818" s="1" t="s">
        <v>801</v>
      </c>
      <c r="C1818" s="1">
        <v>10.0</v>
      </c>
      <c r="D1818" s="1" t="s">
        <v>815</v>
      </c>
      <c r="E1818" s="1" t="str">
        <f>IFERROR(__xludf.DUMMYFUNCTION("GOOGLETRANSLATE(D1818,""PT"",""EN"")"),"The best")</f>
        <v>The best</v>
      </c>
    </row>
    <row r="1819" ht="14.25" customHeight="1">
      <c r="A1819" s="1">
        <v>66.0</v>
      </c>
      <c r="B1819" s="1" t="s">
        <v>801</v>
      </c>
      <c r="C1819" s="1">
        <v>7.0</v>
      </c>
      <c r="D1819" s="2" t="s">
        <v>816</v>
      </c>
      <c r="E1819" s="1" t="str">
        <f>IFERROR(__xludf.DUMMYFUNCTION("GOOGLETRANSLATE(D1819,""PT"",""EN"")"),"Bureaucracy in documentation for credit release is endorsement is guarantees")</f>
        <v>Bureaucracy in documentation for credit release is endorsement is guarantees</v>
      </c>
    </row>
    <row r="1820" ht="14.25" customHeight="1">
      <c r="A1820" s="1">
        <v>100.0</v>
      </c>
      <c r="B1820" s="1" t="s">
        <v>801</v>
      </c>
      <c r="C1820" s="1">
        <v>10.0</v>
      </c>
      <c r="D1820" s="2" t="s">
        <v>817</v>
      </c>
      <c r="E1820" s="1" t="str">
        <f>IFERROR(__xludf.DUMMYFUNCTION("GOOGLETRANSLATE(D1820,""PT"",""EN"")"),"Excellent service, fast is agile! Educated employees, the lowest interest rate on the market is not to mention that I also own the bank.")</f>
        <v>Excellent service, fast is agile! Educated employees, the lowest interest rate on the market is not to mention that I also own the bank.</v>
      </c>
    </row>
    <row r="1821" ht="14.25" customHeight="1">
      <c r="A1821" s="1">
        <v>100.0</v>
      </c>
      <c r="B1821" s="1" t="s">
        <v>801</v>
      </c>
      <c r="C1821" s="1">
        <v>10.0</v>
      </c>
      <c r="D1821" s="1" t="s">
        <v>6</v>
      </c>
      <c r="E1821" s="1"/>
    </row>
    <row r="1822" ht="14.25" customHeight="1">
      <c r="A1822" s="1">
        <v>100.0</v>
      </c>
      <c r="B1822" s="1" t="s">
        <v>801</v>
      </c>
      <c r="C1822" s="1">
        <v>10.0</v>
      </c>
      <c r="D1822" s="1" t="s">
        <v>6</v>
      </c>
      <c r="E1822" s="1"/>
    </row>
    <row r="1823" ht="14.25" customHeight="1">
      <c r="A1823" s="1">
        <v>66.0</v>
      </c>
      <c r="B1823" s="1" t="s">
        <v>801</v>
      </c>
      <c r="C1823" s="1">
        <v>7.0</v>
      </c>
      <c r="D1823" s="1" t="s">
        <v>6</v>
      </c>
      <c r="E1823" s="1"/>
    </row>
    <row r="1824" ht="14.25" customHeight="1">
      <c r="A1824" s="1">
        <v>33.0</v>
      </c>
      <c r="B1824" s="1" t="s">
        <v>801</v>
      </c>
      <c r="C1824" s="1">
        <v>5.0</v>
      </c>
      <c r="D1824" s="1" t="s">
        <v>818</v>
      </c>
      <c r="E1824" s="1" t="str">
        <f>IFERROR(__xludf.DUMMYFUNCTION("GOOGLETRANSLATE(D1824,""PT"",""EN"")"),"ATM is missing in my agency: 3060")</f>
        <v>ATM is missing in my agency: 3060</v>
      </c>
    </row>
    <row r="1825" ht="14.25" customHeight="1">
      <c r="A1825" s="1">
        <v>100.0</v>
      </c>
      <c r="B1825" s="1" t="s">
        <v>819</v>
      </c>
      <c r="C1825" s="1">
        <v>9.0</v>
      </c>
      <c r="D1825" s="1" t="s">
        <v>820</v>
      </c>
      <c r="E1825" s="1" t="str">
        <f>IFERROR(__xludf.DUMMYFUNCTION("GOOGLETRANSLATE(D1825,""PT"",""EN"")"),"Very good, but if I get ten, it falls into neglect")</f>
        <v>Very good, but if I get ten, it falls into neglect</v>
      </c>
    </row>
    <row r="1826" ht="14.25" customHeight="1">
      <c r="A1826" s="1">
        <v>33.0</v>
      </c>
      <c r="B1826" s="1" t="s">
        <v>819</v>
      </c>
      <c r="C1826" s="1">
        <v>1.0</v>
      </c>
      <c r="D1826" s="2" t="s">
        <v>821</v>
      </c>
      <c r="E1826" s="1" t="str">
        <f>IFERROR(__xludf.DUMMYFUNCTION("GOOGLETRANSLATE(D1826,""PT"",""EN"")"),"Difficult media, without service offerings is credit. Card lock for no reason, has no integration with my smartphone digital wallet.")</f>
        <v>Difficult media, without service offerings is credit. Card lock for no reason, has no integration with my smartphone digital wallet.</v>
      </c>
    </row>
    <row r="1827" ht="14.25" customHeight="1">
      <c r="A1827" s="1">
        <v>100.0</v>
      </c>
      <c r="B1827" s="1" t="s">
        <v>819</v>
      </c>
      <c r="C1827" s="1">
        <v>10.0</v>
      </c>
      <c r="D1827" s="1" t="s">
        <v>6</v>
      </c>
      <c r="E1827" s="1"/>
    </row>
    <row r="1828" ht="14.25" customHeight="1">
      <c r="A1828" s="1">
        <v>33.0</v>
      </c>
      <c r="B1828" s="1" t="s">
        <v>819</v>
      </c>
      <c r="C1828" s="1">
        <v>0.0</v>
      </c>
      <c r="D1828" s="1" t="s">
        <v>6</v>
      </c>
      <c r="E1828" s="1"/>
    </row>
    <row r="1829" ht="14.25" customHeight="1">
      <c r="A1829" s="1">
        <v>100.0</v>
      </c>
      <c r="B1829" s="1" t="s">
        <v>819</v>
      </c>
      <c r="C1829" s="1">
        <v>10.0</v>
      </c>
      <c r="D1829" s="2" t="s">
        <v>822</v>
      </c>
      <c r="E1829" s="1" t="str">
        <f>IFERROR(__xludf.DUMMYFUNCTION("GOOGLETRANSLATE(D1829,""PT"",""EN"")"),"Answering everything I need is the service is excellent!")</f>
        <v>Answering everything I need is the service is excellent!</v>
      </c>
    </row>
    <row r="1830" ht="14.25" customHeight="1">
      <c r="A1830" s="1">
        <v>100.0</v>
      </c>
      <c r="B1830" s="1" t="s">
        <v>819</v>
      </c>
      <c r="C1830" s="1">
        <v>10.0</v>
      </c>
      <c r="D1830" s="1" t="s">
        <v>418</v>
      </c>
      <c r="E1830" s="1" t="str">
        <f>IFERROR(__xludf.DUMMYFUNCTION("GOOGLETRANSLATE(D1830,""PT"",""EN"")"),"TOP")</f>
        <v>TOP</v>
      </c>
    </row>
    <row r="1831" ht="14.25" customHeight="1">
      <c r="A1831" s="1">
        <v>100.0</v>
      </c>
      <c r="B1831" s="1" t="s">
        <v>819</v>
      </c>
      <c r="C1831" s="1">
        <v>10.0</v>
      </c>
      <c r="D1831" s="1" t="s">
        <v>6</v>
      </c>
      <c r="E1831" s="1"/>
    </row>
    <row r="1832" ht="14.25" customHeight="1">
      <c r="A1832" s="1">
        <v>100.0</v>
      </c>
      <c r="B1832" s="1" t="s">
        <v>819</v>
      </c>
      <c r="C1832" s="1">
        <v>10.0</v>
      </c>
      <c r="D1832" s="2" t="s">
        <v>823</v>
      </c>
      <c r="E1832" s="1" t="str">
        <f>IFERROR(__xludf.DUMMYFUNCTION("GOOGLETRANSLATE(D1832,""PT"",""EN"")"),"All I need is solved fast!")</f>
        <v>All I need is solved fast!</v>
      </c>
    </row>
    <row r="1833" ht="14.25" customHeight="1">
      <c r="A1833" s="1">
        <v>100.0</v>
      </c>
      <c r="B1833" s="1" t="s">
        <v>819</v>
      </c>
      <c r="C1833" s="1">
        <v>10.0</v>
      </c>
      <c r="D1833" s="1" t="s">
        <v>6</v>
      </c>
      <c r="E1833" s="1"/>
    </row>
    <row r="1834" ht="14.25" customHeight="1">
      <c r="A1834" s="1">
        <v>100.0</v>
      </c>
      <c r="B1834" s="1" t="s">
        <v>819</v>
      </c>
      <c r="C1834" s="1">
        <v>10.0</v>
      </c>
      <c r="D1834" s="1" t="s">
        <v>6</v>
      </c>
      <c r="E1834" s="1"/>
    </row>
    <row r="1835" ht="14.25" customHeight="1">
      <c r="A1835" s="1">
        <v>100.0</v>
      </c>
      <c r="B1835" s="1" t="s">
        <v>819</v>
      </c>
      <c r="C1835" s="1">
        <v>9.0</v>
      </c>
      <c r="D1835" s="1" t="s">
        <v>6</v>
      </c>
      <c r="E1835" s="1"/>
    </row>
    <row r="1836" ht="14.25" customHeight="1">
      <c r="A1836" s="1">
        <v>33.0</v>
      </c>
      <c r="B1836" s="1" t="s">
        <v>819</v>
      </c>
      <c r="C1836" s="1">
        <v>1.0</v>
      </c>
      <c r="D1836" s="1" t="s">
        <v>6</v>
      </c>
      <c r="E1836" s="1"/>
    </row>
    <row r="1837" ht="14.25" customHeight="1">
      <c r="A1837" s="1">
        <v>100.0</v>
      </c>
      <c r="B1837" s="1" t="s">
        <v>819</v>
      </c>
      <c r="C1837" s="1">
        <v>10.0</v>
      </c>
      <c r="D1837" s="2" t="s">
        <v>824</v>
      </c>
      <c r="E1837" s="1" t="str">
        <f>IFERROR(__xludf.DUMMYFUNCTION("GOOGLETRANSLATE(D1837,""PT"",""EN"")"),"The good service is the satisfactory services offered by the cooperative.")</f>
        <v>The good service is the satisfactory services offered by the cooperative.</v>
      </c>
    </row>
    <row r="1838" ht="14.25" customHeight="1">
      <c r="A1838" s="1">
        <v>100.0</v>
      </c>
      <c r="B1838" s="1" t="s">
        <v>819</v>
      </c>
      <c r="C1838" s="1">
        <v>10.0</v>
      </c>
      <c r="D1838" s="1" t="s">
        <v>6</v>
      </c>
      <c r="E1838" s="1"/>
    </row>
    <row r="1839" ht="14.25" customHeight="1">
      <c r="A1839" s="1">
        <v>100.0</v>
      </c>
      <c r="B1839" s="1" t="s">
        <v>819</v>
      </c>
      <c r="C1839" s="1">
        <v>10.0</v>
      </c>
      <c r="D1839" s="1" t="s">
        <v>85</v>
      </c>
      <c r="E1839" s="1" t="str">
        <f>IFERROR(__xludf.DUMMYFUNCTION("GOOGLETRANSLATE(D1839,""PT"",""EN"")"),"Service")</f>
        <v>Service</v>
      </c>
    </row>
    <row r="1840" ht="14.25" customHeight="1">
      <c r="A1840" s="1">
        <v>33.0</v>
      </c>
      <c r="B1840" s="1" t="s">
        <v>819</v>
      </c>
      <c r="C1840" s="1">
        <v>6.0</v>
      </c>
      <c r="D1840" s="1" t="s">
        <v>6</v>
      </c>
      <c r="E1840" s="1"/>
    </row>
    <row r="1841" ht="14.25" customHeight="1">
      <c r="A1841" s="1">
        <v>33.0</v>
      </c>
      <c r="B1841" s="1" t="s">
        <v>819</v>
      </c>
      <c r="C1841" s="1">
        <v>0.0</v>
      </c>
      <c r="D1841" s="2" t="s">
        <v>825</v>
      </c>
      <c r="E1841" s="1" t="str">
        <f>IFERROR(__xludf.DUMMYFUNCTION("GOOGLETRANSLATE(D1841,""PT"",""EN"")"),"Pessimal in every way.")</f>
        <v>Pessimal in every way.</v>
      </c>
    </row>
    <row r="1842" ht="14.25" customHeight="1">
      <c r="A1842" s="1">
        <v>100.0</v>
      </c>
      <c r="B1842" s="1" t="s">
        <v>819</v>
      </c>
      <c r="C1842" s="1">
        <v>9.0</v>
      </c>
      <c r="D1842" s="1" t="s">
        <v>6</v>
      </c>
      <c r="E1842" s="1"/>
    </row>
    <row r="1843" ht="14.25" customHeight="1">
      <c r="A1843" s="1">
        <v>33.0</v>
      </c>
      <c r="B1843" s="1" t="s">
        <v>819</v>
      </c>
      <c r="C1843" s="1">
        <v>1.0</v>
      </c>
      <c r="D1843" s="1" t="s">
        <v>6</v>
      </c>
      <c r="E1843" s="1"/>
    </row>
    <row r="1844" ht="14.25" customHeight="1">
      <c r="A1844" s="1">
        <v>100.0</v>
      </c>
      <c r="B1844" s="1" t="s">
        <v>819</v>
      </c>
      <c r="C1844" s="1">
        <v>10.0</v>
      </c>
      <c r="D1844" s="1" t="s">
        <v>6</v>
      </c>
      <c r="E1844" s="1"/>
    </row>
    <row r="1845" ht="14.25" customHeight="1">
      <c r="A1845" s="1">
        <v>100.0</v>
      </c>
      <c r="B1845" s="1" t="s">
        <v>819</v>
      </c>
      <c r="C1845" s="1">
        <v>10.0</v>
      </c>
      <c r="D1845" s="2" t="s">
        <v>826</v>
      </c>
      <c r="E1845" s="1" t="str">
        <f>IFERROR(__xludf.DUMMYFUNCTION("GOOGLETRANSLATE(D1845,""PT"",""EN"")"),"A great bank, is has good ideas for your customers !!!")</f>
        <v>A great bank, is has good ideas for your customers !!!</v>
      </c>
    </row>
    <row r="1846" ht="14.25" customHeight="1">
      <c r="A1846" s="1">
        <v>100.0</v>
      </c>
      <c r="B1846" s="1" t="s">
        <v>819</v>
      </c>
      <c r="C1846" s="1">
        <v>10.0</v>
      </c>
      <c r="D1846" s="2" t="s">
        <v>827</v>
      </c>
      <c r="E1846" s="1" t="str">
        <f>IFERROR(__xludf.DUMMYFUNCTION("GOOGLETRANSLATE(D1846,""PT"",""EN"")"),"Institution would take care of your cooperative")</f>
        <v>Institution would take care of your cooperative</v>
      </c>
    </row>
    <row r="1847" ht="14.25" customHeight="1">
      <c r="A1847" s="1">
        <v>100.0</v>
      </c>
      <c r="B1847" s="1" t="s">
        <v>819</v>
      </c>
      <c r="C1847" s="1">
        <v>10.0</v>
      </c>
      <c r="D1847" s="1" t="s">
        <v>6</v>
      </c>
      <c r="E1847" s="1"/>
    </row>
    <row r="1848" ht="14.25" customHeight="1">
      <c r="A1848" s="1">
        <v>100.0</v>
      </c>
      <c r="B1848" s="1" t="s">
        <v>819</v>
      </c>
      <c r="C1848" s="1">
        <v>10.0</v>
      </c>
      <c r="D1848" s="1" t="s">
        <v>6</v>
      </c>
      <c r="E1848" s="1"/>
    </row>
    <row r="1849" ht="14.25" customHeight="1">
      <c r="A1849" s="1">
        <v>100.0</v>
      </c>
      <c r="B1849" s="1" t="s">
        <v>819</v>
      </c>
      <c r="C1849" s="1">
        <v>10.0</v>
      </c>
      <c r="D1849" s="2" t="s">
        <v>828</v>
      </c>
      <c r="E1849" s="1" t="str">
        <f>IFERROR(__xludf.DUMMYFUNCTION("GOOGLETRANSLATE(D1849,""PT"",""EN"")"),"I have an account with Sicoob Credijur is adore the service, it is fast, people are attentive.")</f>
        <v>I have an account with Sicoob Credijur is adore the service, it is fast, people are attentive.</v>
      </c>
    </row>
    <row r="1850" ht="14.25" customHeight="1">
      <c r="A1850" s="1">
        <v>100.0</v>
      </c>
      <c r="B1850" s="1" t="s">
        <v>819</v>
      </c>
      <c r="C1850" s="1">
        <v>10.0</v>
      </c>
      <c r="D1850" s="1" t="s">
        <v>6</v>
      </c>
      <c r="E1850" s="1"/>
    </row>
    <row r="1851" ht="14.25" customHeight="1">
      <c r="A1851" s="1">
        <v>100.0</v>
      </c>
      <c r="B1851" s="1" t="s">
        <v>819</v>
      </c>
      <c r="C1851" s="1">
        <v>10.0</v>
      </c>
      <c r="D1851" s="2" t="s">
        <v>829</v>
      </c>
      <c r="E1851" s="1" t="str">
        <f>IFERROR(__xludf.DUMMYFUNCTION("GOOGLETRANSLATE(D1851,""PT"",""EN"")"),"The service is the benefits offered by the institution to its members.")</f>
        <v>The service is the benefits offered by the institution to its members.</v>
      </c>
    </row>
    <row r="1852" ht="14.25" customHeight="1">
      <c r="A1852" s="1">
        <v>100.0</v>
      </c>
      <c r="B1852" s="1" t="s">
        <v>819</v>
      </c>
      <c r="C1852" s="1">
        <v>10.0</v>
      </c>
      <c r="D1852" s="1" t="s">
        <v>6</v>
      </c>
      <c r="E1852" s="1"/>
    </row>
    <row r="1853" ht="14.25" customHeight="1">
      <c r="A1853" s="1">
        <v>100.0</v>
      </c>
      <c r="B1853" s="1" t="s">
        <v>819</v>
      </c>
      <c r="C1853" s="1">
        <v>10.0</v>
      </c>
      <c r="D1853" s="1" t="s">
        <v>830</v>
      </c>
      <c r="E1853" s="1" t="str">
        <f>IFERROR(__xludf.DUMMYFUNCTION("GOOGLETRANSLATE(D1853,""PT"",""EN"")"),"Whenever I needed I was very well met, exceeded my expectations.")</f>
        <v>Whenever I needed I was very well met, exceeded my expectations.</v>
      </c>
    </row>
    <row r="1854" ht="14.25" customHeight="1">
      <c r="A1854" s="1">
        <v>100.0</v>
      </c>
      <c r="B1854" s="1" t="s">
        <v>819</v>
      </c>
      <c r="C1854" s="1">
        <v>10.0</v>
      </c>
      <c r="D1854" s="1" t="s">
        <v>6</v>
      </c>
      <c r="E1854" s="1"/>
    </row>
    <row r="1855" ht="14.25" customHeight="1">
      <c r="A1855" s="1">
        <v>100.0</v>
      </c>
      <c r="B1855" s="1" t="s">
        <v>819</v>
      </c>
      <c r="C1855" s="1">
        <v>9.0</v>
      </c>
      <c r="D1855" s="2" t="s">
        <v>831</v>
      </c>
      <c r="E1855" s="1" t="str">
        <f>IFERROR(__xludf.DUMMYFUNCTION("GOOGLETRANSLATE(D1855,""PT"",""EN"")"),"It is better to be a shareholder than account holder")</f>
        <v>It is better to be a shareholder than account holder</v>
      </c>
    </row>
    <row r="1856" ht="14.25" customHeight="1">
      <c r="A1856" s="1">
        <v>33.0</v>
      </c>
      <c r="B1856" s="1" t="s">
        <v>819</v>
      </c>
      <c r="C1856" s="1">
        <v>6.0</v>
      </c>
      <c r="D1856" s="1" t="s">
        <v>6</v>
      </c>
      <c r="E1856" s="1"/>
    </row>
    <row r="1857" ht="14.25" customHeight="1">
      <c r="A1857" s="1">
        <v>66.0</v>
      </c>
      <c r="B1857" s="1" t="s">
        <v>819</v>
      </c>
      <c r="C1857" s="1">
        <v>7.0</v>
      </c>
      <c r="D1857" s="1" t="s">
        <v>832</v>
      </c>
      <c r="E1857" s="1" t="str">
        <f>IFERROR(__xludf.DUMMYFUNCTION("GOOGLETRANSLATE(D1857,""PT"",""EN"")"),"6")</f>
        <v>6</v>
      </c>
    </row>
    <row r="1858" ht="14.25" customHeight="1">
      <c r="A1858" s="1">
        <v>100.0</v>
      </c>
      <c r="B1858" s="1" t="s">
        <v>819</v>
      </c>
      <c r="C1858" s="1">
        <v>9.0</v>
      </c>
      <c r="D1858" s="1" t="s">
        <v>6</v>
      </c>
      <c r="E1858" s="1"/>
    </row>
    <row r="1859" ht="14.25" customHeight="1">
      <c r="A1859" s="1">
        <v>100.0</v>
      </c>
      <c r="B1859" s="1" t="s">
        <v>819</v>
      </c>
      <c r="C1859" s="1">
        <v>9.0</v>
      </c>
      <c r="D1859" s="1" t="s">
        <v>833</v>
      </c>
      <c r="E1859" s="1" t="str">
        <f>IFERROR(__xludf.DUMMYFUNCTION("GOOGLETRANSLATE(D1859,""PT"",""EN"")"),"The fast service, my manager Dilma.")</f>
        <v>The fast service, my manager Dilma.</v>
      </c>
    </row>
    <row r="1860" ht="14.25" customHeight="1">
      <c r="A1860" s="1">
        <v>100.0</v>
      </c>
      <c r="B1860" s="1" t="s">
        <v>819</v>
      </c>
      <c r="C1860" s="1">
        <v>9.0</v>
      </c>
      <c r="D1860" s="1" t="s">
        <v>6</v>
      </c>
      <c r="E1860" s="1"/>
    </row>
    <row r="1861" ht="14.25" customHeight="1">
      <c r="A1861" s="1">
        <v>100.0</v>
      </c>
      <c r="B1861" s="1" t="s">
        <v>819</v>
      </c>
      <c r="C1861" s="1">
        <v>9.0</v>
      </c>
      <c r="D1861" s="1" t="s">
        <v>834</v>
      </c>
      <c r="E1861" s="1" t="str">
        <f>IFERROR(__xludf.DUMMYFUNCTION("GOOGLETRANSLATE(D1861,""PT"",""EN"")"),"accessibility")</f>
        <v>accessibility</v>
      </c>
    </row>
    <row r="1862" ht="14.25" customHeight="1">
      <c r="A1862" s="1">
        <v>100.0</v>
      </c>
      <c r="B1862" s="1" t="s">
        <v>819</v>
      </c>
      <c r="C1862" s="1">
        <v>10.0</v>
      </c>
      <c r="D1862" s="1" t="s">
        <v>835</v>
      </c>
      <c r="E1862" s="1" t="str">
        <f>IFERROR(__xludf.DUMMYFUNCTION("GOOGLETRANSLATE(D1862,""PT"",""EN"")"),"Because it's a good bank")</f>
        <v>Because it's a good bank</v>
      </c>
    </row>
    <row r="1863" ht="14.25" customHeight="1">
      <c r="A1863" s="1">
        <v>33.0</v>
      </c>
      <c r="B1863" s="1" t="s">
        <v>819</v>
      </c>
      <c r="C1863" s="1">
        <v>0.0</v>
      </c>
      <c r="D1863" s="1" t="s">
        <v>6</v>
      </c>
      <c r="E1863" s="1"/>
    </row>
    <row r="1864" ht="14.25" customHeight="1">
      <c r="A1864" s="1">
        <v>66.0</v>
      </c>
      <c r="B1864" s="1" t="s">
        <v>819</v>
      </c>
      <c r="C1864" s="1">
        <v>8.0</v>
      </c>
      <c r="D1864" s="1" t="s">
        <v>836</v>
      </c>
      <c r="E1864" s="1" t="str">
        <f>IFERROR(__xludf.DUMMYFUNCTION("GOOGLETRANSLATE(D1864,""PT"",""EN"")"),"Sicoob services are lacking, especially when it comes to investments.")</f>
        <v>Sicoob services are lacking, especially when it comes to investments.</v>
      </c>
    </row>
    <row r="1865" ht="14.25" customHeight="1">
      <c r="A1865" s="1">
        <v>33.0</v>
      </c>
      <c r="B1865" s="1" t="s">
        <v>819</v>
      </c>
      <c r="C1865" s="1">
        <v>2.0</v>
      </c>
      <c r="D1865" s="2" t="s">
        <v>837</v>
      </c>
      <c r="E1865" s="1" t="str">
        <f>IFERROR(__xludf.DUMMYFUNCTION("GOOGLETRANSLATE(D1865,""PT"",""EN"")"),"Very bad credit")</f>
        <v>Very bad credit</v>
      </c>
    </row>
    <row r="1866" ht="14.25" customHeight="1">
      <c r="A1866" s="1">
        <v>100.0</v>
      </c>
      <c r="B1866" s="1" t="s">
        <v>819</v>
      </c>
      <c r="C1866" s="1">
        <v>10.0</v>
      </c>
      <c r="D1866" s="2" t="s">
        <v>838</v>
      </c>
      <c r="E1866" s="1" t="str">
        <f>IFERROR(__xludf.DUMMYFUNCTION("GOOGLETRANSLATE(D1866,""PT"",""EN"")"),"For the great service it is attention that the manager receives us is detailing all the service in a transparent way")</f>
        <v>For the great service it is attention that the manager receives us is detailing all the service in a transparent way</v>
      </c>
    </row>
    <row r="1867" ht="14.25" customHeight="1">
      <c r="A1867" s="1">
        <v>100.0</v>
      </c>
      <c r="B1867" s="1" t="s">
        <v>819</v>
      </c>
      <c r="C1867" s="1">
        <v>10.0</v>
      </c>
      <c r="D1867" s="1" t="s">
        <v>6</v>
      </c>
      <c r="E1867" s="1"/>
    </row>
    <row r="1868" ht="14.25" customHeight="1">
      <c r="A1868" s="1">
        <v>100.0</v>
      </c>
      <c r="B1868" s="1" t="s">
        <v>819</v>
      </c>
      <c r="C1868" s="1">
        <v>10.0</v>
      </c>
      <c r="D1868" s="1" t="s">
        <v>393</v>
      </c>
      <c r="E1868" s="1" t="str">
        <f>IFERROR(__xludf.DUMMYFUNCTION("GOOGLETRANSLATE(D1868,""PT"",""EN"")"),"great")</f>
        <v>great</v>
      </c>
    </row>
    <row r="1869" ht="14.25" customHeight="1">
      <c r="A1869" s="1">
        <v>100.0</v>
      </c>
      <c r="B1869" s="1" t="s">
        <v>819</v>
      </c>
      <c r="C1869" s="1">
        <v>10.0</v>
      </c>
      <c r="D1869" s="1" t="s">
        <v>6</v>
      </c>
      <c r="E1869" s="1"/>
    </row>
    <row r="1870" ht="14.25" customHeight="1">
      <c r="A1870" s="1">
        <v>100.0</v>
      </c>
      <c r="B1870" s="1" t="s">
        <v>819</v>
      </c>
      <c r="C1870" s="1">
        <v>10.0</v>
      </c>
      <c r="D1870" s="1" t="s">
        <v>6</v>
      </c>
      <c r="E1870" s="1"/>
    </row>
    <row r="1871" ht="14.25" customHeight="1">
      <c r="A1871" s="1">
        <v>33.0</v>
      </c>
      <c r="B1871" s="1" t="s">
        <v>819</v>
      </c>
      <c r="C1871" s="1">
        <v>5.0</v>
      </c>
      <c r="D1871" s="2" t="s">
        <v>839</v>
      </c>
      <c r="E1871" s="1" t="str">
        <f>IFERROR(__xludf.DUMMYFUNCTION("GOOGLETRANSLATE(D1871,""PT"",""EN"")"),"When I needed to access credit line, after my request from my manager, it went through several endless bureaucratic steps, it was at the end asked for an opinion for it to be approved, and I declare to go is I have relatively satisfactory bank movements. "&amp;"I ended up giving up is I couldn't access the credit line.")</f>
        <v>When I needed to access credit line, after my request from my manager, it went through several endless bureaucratic steps, it was at the end asked for an opinion for it to be approved, and I declare to go is I have relatively satisfactory bank movements. I ended up giving up is I couldn't access the credit line.</v>
      </c>
    </row>
    <row r="1872" ht="14.25" customHeight="1">
      <c r="A1872" s="1">
        <v>100.0</v>
      </c>
      <c r="B1872" s="1" t="s">
        <v>819</v>
      </c>
      <c r="C1872" s="1">
        <v>9.0</v>
      </c>
      <c r="D1872" s="1" t="s">
        <v>6</v>
      </c>
      <c r="E1872" s="1"/>
    </row>
    <row r="1873" ht="14.25" customHeight="1">
      <c r="A1873" s="1">
        <v>100.0</v>
      </c>
      <c r="B1873" s="1" t="s">
        <v>819</v>
      </c>
      <c r="C1873" s="1">
        <v>10.0</v>
      </c>
      <c r="D1873" s="1" t="s">
        <v>6</v>
      </c>
      <c r="E1873" s="1"/>
    </row>
    <row r="1874" ht="14.25" customHeight="1">
      <c r="A1874" s="1">
        <v>66.0</v>
      </c>
      <c r="B1874" s="1" t="s">
        <v>819</v>
      </c>
      <c r="C1874" s="1">
        <v>8.0</v>
      </c>
      <c r="D1874" s="1" t="s">
        <v>42</v>
      </c>
      <c r="E1874" s="1" t="str">
        <f>IFERROR(__xludf.DUMMYFUNCTION("GOOGLETRANSLATE(D1874,""PT"",""EN"")"),"good service")</f>
        <v>good service</v>
      </c>
    </row>
    <row r="1875" ht="14.25" customHeight="1">
      <c r="A1875" s="1">
        <v>100.0</v>
      </c>
      <c r="B1875" s="1" t="s">
        <v>819</v>
      </c>
      <c r="C1875" s="1">
        <v>10.0</v>
      </c>
      <c r="D1875" s="1" t="s">
        <v>6</v>
      </c>
      <c r="E1875" s="1"/>
    </row>
    <row r="1876" ht="14.25" customHeight="1">
      <c r="A1876" s="1">
        <v>100.0</v>
      </c>
      <c r="B1876" s="1" t="s">
        <v>819</v>
      </c>
      <c r="C1876" s="1">
        <v>10.0</v>
      </c>
      <c r="D1876" s="1" t="s">
        <v>6</v>
      </c>
      <c r="E1876" s="1"/>
    </row>
    <row r="1877" ht="14.25" customHeight="1">
      <c r="A1877" s="1">
        <v>33.0</v>
      </c>
      <c r="B1877" s="1" t="s">
        <v>819</v>
      </c>
      <c r="C1877" s="1">
        <v>4.0</v>
      </c>
      <c r="D1877" s="2" t="s">
        <v>840</v>
      </c>
      <c r="E1877" s="1" t="str">
        <f>IFERROR(__xludf.DUMMYFUNCTION("GOOGLETRANSLATE(D1877,""PT"",""EN"")"),"Sicoob, which had a wonderful start to service is rates, today has been (unfortunately) to private banks .... a pity.")</f>
        <v>Sicoob, which had a wonderful start to service is rates, today has been (unfortunately) to private banks .... a pity.</v>
      </c>
    </row>
    <row r="1878" ht="14.25" customHeight="1">
      <c r="A1878" s="1">
        <v>100.0</v>
      </c>
      <c r="B1878" s="1" t="s">
        <v>819</v>
      </c>
      <c r="C1878" s="1">
        <v>10.0</v>
      </c>
      <c r="D1878" s="1" t="s">
        <v>6</v>
      </c>
      <c r="E1878" s="1"/>
    </row>
    <row r="1879" ht="14.25" customHeight="1">
      <c r="A1879" s="1">
        <v>100.0</v>
      </c>
      <c r="B1879" s="1" t="s">
        <v>819</v>
      </c>
      <c r="C1879" s="1">
        <v>10.0</v>
      </c>
      <c r="D1879" s="2" t="s">
        <v>841</v>
      </c>
      <c r="E1879" s="1" t="str">
        <f>IFERROR(__xludf.DUMMYFUNCTION("GOOGLETRANSLATE(D1879,""PT"",""EN"")"),"Service is prompt")</f>
        <v>Service is prompt</v>
      </c>
    </row>
    <row r="1880" ht="14.25" customHeight="1">
      <c r="A1880" s="1">
        <v>33.0</v>
      </c>
      <c r="B1880" s="1" t="s">
        <v>819</v>
      </c>
      <c r="C1880" s="1">
        <v>0.0</v>
      </c>
      <c r="D1880" s="1" t="s">
        <v>842</v>
      </c>
      <c r="E1880" s="1" t="str">
        <f>IFERROR(__xludf.DUMMYFUNCTION("GOOGLETRANSLATE(D1880,""PT"",""EN"")"),"trash")</f>
        <v>trash</v>
      </c>
    </row>
    <row r="1881" ht="14.25" customHeight="1">
      <c r="A1881" s="1">
        <v>100.0</v>
      </c>
      <c r="B1881" s="1" t="s">
        <v>819</v>
      </c>
      <c r="C1881" s="1">
        <v>10.0</v>
      </c>
      <c r="D1881" s="1" t="s">
        <v>6</v>
      </c>
      <c r="E1881" s="1"/>
    </row>
    <row r="1882" ht="14.25" customHeight="1">
      <c r="A1882" s="1">
        <v>66.0</v>
      </c>
      <c r="B1882" s="1" t="s">
        <v>819</v>
      </c>
      <c r="C1882" s="1">
        <v>8.0</v>
      </c>
      <c r="D1882" s="1" t="s">
        <v>843</v>
      </c>
      <c r="E1882" s="1" t="str">
        <f>IFERROR(__xludf.DUMMYFUNCTION("GOOGLETRANSLATE(D1882,""PT"",""EN"")"),"Great service received from the management of our accounts.")</f>
        <v>Great service received from the management of our accounts.</v>
      </c>
    </row>
    <row r="1883" ht="14.25" customHeight="1">
      <c r="A1883" s="1">
        <v>66.0</v>
      </c>
      <c r="B1883" s="1" t="s">
        <v>819</v>
      </c>
      <c r="C1883" s="1">
        <v>8.0</v>
      </c>
      <c r="D1883" s="1" t="s">
        <v>6</v>
      </c>
      <c r="E1883" s="1"/>
    </row>
    <row r="1884" ht="14.25" customHeight="1">
      <c r="A1884" s="1">
        <v>100.0</v>
      </c>
      <c r="B1884" s="1" t="s">
        <v>819</v>
      </c>
      <c r="C1884" s="1">
        <v>10.0</v>
      </c>
      <c r="D1884" s="1" t="s">
        <v>6</v>
      </c>
      <c r="E1884" s="1"/>
    </row>
    <row r="1885" ht="14.25" customHeight="1">
      <c r="A1885" s="1">
        <v>100.0</v>
      </c>
      <c r="B1885" s="1" t="s">
        <v>819</v>
      </c>
      <c r="C1885" s="1">
        <v>10.0</v>
      </c>
      <c r="D1885" s="1" t="s">
        <v>6</v>
      </c>
      <c r="E1885" s="1"/>
    </row>
    <row r="1886" ht="14.25" customHeight="1">
      <c r="A1886" s="1">
        <v>33.0</v>
      </c>
      <c r="B1886" s="1" t="s">
        <v>819</v>
      </c>
      <c r="C1886" s="1">
        <v>4.0</v>
      </c>
      <c r="D1886" s="2" t="s">
        <v>844</v>
      </c>
      <c r="E1886" s="1" t="str">
        <f>IFERROR(__xludf.DUMMYFUNCTION("GOOGLETRANSLATE(D1886,""PT"",""EN"")"),"I do not understand that the bank seeks to help the customer in what it needs. The loan form is complicated. I have a company is an individual account, they sent me a 3000 credit card is PF 1000. Not even use, because it is without base. I already asked t"&amp;"o increase, it is not even returned.")</f>
        <v>I do not understand that the bank seeks to help the customer in what it needs. The loan form is complicated. I have a company is an individual account, they sent me a 3000 credit card is PF 1000. Not even use, because it is without base. I already asked to increase, it is not even returned.</v>
      </c>
    </row>
    <row r="1887" ht="14.25" customHeight="1">
      <c r="A1887" s="1">
        <v>100.0</v>
      </c>
      <c r="B1887" s="1" t="s">
        <v>819</v>
      </c>
      <c r="C1887" s="1">
        <v>9.0</v>
      </c>
      <c r="D1887" s="1" t="s">
        <v>115</v>
      </c>
      <c r="E1887" s="1" t="str">
        <f>IFERROR(__xludf.DUMMYFUNCTION("GOOGLETRANSLATE(D1887,""PT"",""EN"")"),"Service.")</f>
        <v>Service.</v>
      </c>
    </row>
    <row r="1888" ht="14.25" customHeight="1">
      <c r="A1888" s="1">
        <v>33.0</v>
      </c>
      <c r="B1888" s="1" t="s">
        <v>819</v>
      </c>
      <c r="C1888" s="1">
        <v>4.0</v>
      </c>
      <c r="D1888" s="2" t="s">
        <v>845</v>
      </c>
      <c r="E1888" s="1" t="str">
        <f>IFERROR(__xludf.DUMMYFUNCTION("GOOGLETRANSLATE(D1888,""PT"",""EN"")"),"I see no advantage about credit !!!!")</f>
        <v>I see no advantage about credit !!!!</v>
      </c>
    </row>
    <row r="1889" ht="14.25" customHeight="1">
      <c r="A1889" s="1">
        <v>100.0</v>
      </c>
      <c r="B1889" s="1" t="s">
        <v>819</v>
      </c>
      <c r="C1889" s="1">
        <v>10.0</v>
      </c>
      <c r="D1889" s="1" t="s">
        <v>846</v>
      </c>
      <c r="E1889" s="1" t="str">
        <f>IFERROR(__xludf.DUMMYFUNCTION("GOOGLETRANSLATE(D1889,""PT"",""EN"")"),"I love the services")</f>
        <v>I love the services</v>
      </c>
    </row>
    <row r="1890" ht="14.25" customHeight="1">
      <c r="A1890" s="1">
        <v>100.0</v>
      </c>
      <c r="B1890" s="1" t="s">
        <v>819</v>
      </c>
      <c r="C1890" s="1">
        <v>10.0</v>
      </c>
      <c r="D1890" s="2" t="s">
        <v>847</v>
      </c>
      <c r="E1890" s="1" t="str">
        <f>IFERROR(__xludf.DUMMYFUNCTION("GOOGLETRANSLATE(D1890,""PT"",""EN"")"),"It will work from the very helpful bank Sara, always humorous is a service of great quality ...")</f>
        <v>It will work from the very helpful bank Sara, always humorous is a service of great quality ...</v>
      </c>
    </row>
    <row r="1891" ht="14.25" customHeight="1">
      <c r="A1891" s="1">
        <v>66.0</v>
      </c>
      <c r="B1891" s="1" t="s">
        <v>819</v>
      </c>
      <c r="C1891" s="1">
        <v>7.0</v>
      </c>
      <c r="D1891" s="1" t="s">
        <v>388</v>
      </c>
      <c r="E1891" s="1" t="str">
        <f>IFERROR(__xludf.DUMMYFUNCTION("GOOGLETRANSLATE(D1891,""PT"",""EN"")"),"8")</f>
        <v>8</v>
      </c>
    </row>
    <row r="1892" ht="14.25" customHeight="1">
      <c r="A1892" s="1">
        <v>100.0</v>
      </c>
      <c r="B1892" s="1" t="s">
        <v>819</v>
      </c>
      <c r="C1892" s="1">
        <v>10.0</v>
      </c>
      <c r="D1892" s="1" t="s">
        <v>6</v>
      </c>
      <c r="E1892" s="1"/>
    </row>
    <row r="1893" ht="14.25" customHeight="1">
      <c r="A1893" s="1">
        <v>100.0</v>
      </c>
      <c r="B1893" s="1" t="s">
        <v>819</v>
      </c>
      <c r="C1893" s="1">
        <v>10.0</v>
      </c>
      <c r="D1893" s="1" t="s">
        <v>6</v>
      </c>
      <c r="E1893" s="1"/>
    </row>
    <row r="1894" ht="14.25" customHeight="1">
      <c r="A1894" s="1">
        <v>33.0</v>
      </c>
      <c r="B1894" s="1" t="s">
        <v>819</v>
      </c>
      <c r="C1894" s="1">
        <v>2.0</v>
      </c>
      <c r="D1894" s="1" t="s">
        <v>848</v>
      </c>
      <c r="E1894" s="1" t="str">
        <f>IFERROR(__xludf.DUMMYFUNCTION("GOOGLETRANSLATE(D1894,""PT"",""EN"")"),"Never releases boundaries")</f>
        <v>Never releases boundaries</v>
      </c>
    </row>
    <row r="1895" ht="14.25" customHeight="1">
      <c r="A1895" s="1">
        <v>100.0</v>
      </c>
      <c r="B1895" s="1" t="s">
        <v>819</v>
      </c>
      <c r="C1895" s="1">
        <v>10.0</v>
      </c>
      <c r="D1895" s="1" t="s">
        <v>6</v>
      </c>
      <c r="E1895" s="1"/>
    </row>
    <row r="1896" ht="14.25" customHeight="1">
      <c r="A1896" s="1">
        <v>100.0</v>
      </c>
      <c r="B1896" s="1" t="s">
        <v>819</v>
      </c>
      <c r="C1896" s="1">
        <v>10.0</v>
      </c>
      <c r="D1896" s="1" t="s">
        <v>6</v>
      </c>
      <c r="E1896" s="1"/>
    </row>
    <row r="1897" ht="14.25" customHeight="1">
      <c r="A1897" s="1">
        <v>33.0</v>
      </c>
      <c r="B1897" s="1" t="s">
        <v>819</v>
      </c>
      <c r="C1897" s="1">
        <v>5.0</v>
      </c>
      <c r="D1897" s="2" t="s">
        <v>849</v>
      </c>
      <c r="E1897" s="1" t="str">
        <f>IFERROR(__xludf.DUMMYFUNCTION("GOOGLETRANSLATE(D1897,""PT"",""EN"")"),"I haven't seen this one with Sicoob yet!")</f>
        <v>I haven't seen this one with Sicoob yet!</v>
      </c>
    </row>
    <row r="1898" ht="14.25" customHeight="1">
      <c r="A1898" s="1">
        <v>100.0</v>
      </c>
      <c r="B1898" s="1" t="s">
        <v>819</v>
      </c>
      <c r="C1898" s="1">
        <v>10.0</v>
      </c>
      <c r="D1898" s="1" t="s">
        <v>6</v>
      </c>
      <c r="E1898" s="1"/>
    </row>
    <row r="1899" ht="14.25" customHeight="1">
      <c r="A1899" s="1">
        <v>100.0</v>
      </c>
      <c r="B1899" s="1" t="s">
        <v>819</v>
      </c>
      <c r="C1899" s="1">
        <v>10.0</v>
      </c>
      <c r="D1899" s="2" t="s">
        <v>850</v>
      </c>
      <c r="E1899" s="1" t="str">
        <f>IFERROR(__xludf.DUMMYFUNCTION("GOOGLETRANSLATE(D1899,""PT"",""EN"")"),"Efficiency in customer service is services with better prices on the market")</f>
        <v>Efficiency in customer service is services with better prices on the market</v>
      </c>
    </row>
    <row r="1900" ht="14.25" customHeight="1">
      <c r="A1900" s="1">
        <v>100.0</v>
      </c>
      <c r="B1900" s="1" t="s">
        <v>819</v>
      </c>
      <c r="C1900" s="1">
        <v>10.0</v>
      </c>
      <c r="D1900" s="1" t="s">
        <v>6</v>
      </c>
      <c r="E1900" s="1"/>
    </row>
    <row r="1901" ht="14.25" customHeight="1">
      <c r="A1901" s="1">
        <v>100.0</v>
      </c>
      <c r="B1901" s="1" t="s">
        <v>819</v>
      </c>
      <c r="C1901" s="1">
        <v>10.0</v>
      </c>
      <c r="D1901" s="1" t="s">
        <v>6</v>
      </c>
      <c r="E1901" s="1"/>
    </row>
    <row r="1902" ht="14.25" customHeight="1">
      <c r="A1902" s="1">
        <v>100.0</v>
      </c>
      <c r="B1902" s="1" t="s">
        <v>819</v>
      </c>
      <c r="C1902" s="1">
        <v>10.0</v>
      </c>
      <c r="D1902" s="2" t="s">
        <v>851</v>
      </c>
      <c r="E1902" s="1" t="str">
        <f>IFERROR(__xludf.DUMMYFUNCTION("GOOGLETRANSLATE(D1902,""PT"",""EN"")"),"The perfect service of the managers of our accounts, Miss. Aline is Leticia.")</f>
        <v>The perfect service of the managers of our accounts, Miss. Aline is Leticia.</v>
      </c>
    </row>
    <row r="1903" ht="14.25" customHeight="1">
      <c r="A1903" s="1">
        <v>100.0</v>
      </c>
      <c r="B1903" s="1" t="s">
        <v>819</v>
      </c>
      <c r="C1903" s="1">
        <v>10.0</v>
      </c>
      <c r="D1903" s="1" t="s">
        <v>85</v>
      </c>
      <c r="E1903" s="1" t="str">
        <f>IFERROR(__xludf.DUMMYFUNCTION("GOOGLETRANSLATE(D1903,""PT"",""EN"")"),"Service")</f>
        <v>Service</v>
      </c>
    </row>
    <row r="1904" ht="14.25" customHeight="1">
      <c r="A1904" s="1">
        <v>66.0</v>
      </c>
      <c r="B1904" s="1" t="s">
        <v>819</v>
      </c>
      <c r="C1904" s="1">
        <v>7.0</v>
      </c>
      <c r="D1904" s="1" t="s">
        <v>6</v>
      </c>
      <c r="E1904" s="1"/>
    </row>
    <row r="1905" ht="14.25" customHeight="1">
      <c r="A1905" s="1">
        <v>100.0</v>
      </c>
      <c r="B1905" s="1" t="s">
        <v>819</v>
      </c>
      <c r="C1905" s="1">
        <v>10.0</v>
      </c>
      <c r="D1905" s="1" t="s">
        <v>6</v>
      </c>
      <c r="E1905" s="1"/>
    </row>
    <row r="1906" ht="14.25" customHeight="1">
      <c r="A1906" s="1">
        <v>33.0</v>
      </c>
      <c r="B1906" s="1" t="s">
        <v>819</v>
      </c>
      <c r="C1906" s="1">
        <v>1.0</v>
      </c>
      <c r="D1906" s="2" t="s">
        <v>423</v>
      </c>
      <c r="E1906" s="1" t="str">
        <f>IFERROR(__xludf.DUMMYFUNCTION("GOOGLETRANSLATE(D1906,""PT"",""EN"")"),"terrible")</f>
        <v>terrible</v>
      </c>
    </row>
    <row r="1907" ht="14.25" customHeight="1">
      <c r="A1907" s="1">
        <v>100.0</v>
      </c>
      <c r="B1907" s="1" t="s">
        <v>819</v>
      </c>
      <c r="C1907" s="1">
        <v>10.0</v>
      </c>
      <c r="D1907" s="1" t="s">
        <v>852</v>
      </c>
      <c r="E1907" s="1" t="str">
        <f>IFERROR(__xludf.DUMMYFUNCTION("GOOGLETRANSLATE(D1907,""PT"",""EN"")"),"Good service at my agency")</f>
        <v>Good service at my agency</v>
      </c>
    </row>
    <row r="1908" ht="14.25" customHeight="1">
      <c r="A1908" s="1">
        <v>100.0</v>
      </c>
      <c r="B1908" s="1" t="s">
        <v>819</v>
      </c>
      <c r="C1908" s="1">
        <v>10.0</v>
      </c>
      <c r="D1908" s="1" t="s">
        <v>853</v>
      </c>
      <c r="E1908" s="1" t="str">
        <f>IFERROR(__xludf.DUMMYFUNCTION("GOOGLETRANSLATE(D1908,""PT"",""EN"")"),"Efficient service")</f>
        <v>Efficient service</v>
      </c>
    </row>
    <row r="1909" ht="14.25" customHeight="1">
      <c r="A1909" s="1">
        <v>100.0</v>
      </c>
      <c r="B1909" s="1" t="s">
        <v>819</v>
      </c>
      <c r="C1909" s="1">
        <v>10.0</v>
      </c>
      <c r="D1909" s="1" t="s">
        <v>6</v>
      </c>
      <c r="E1909" s="1"/>
    </row>
    <row r="1910" ht="14.25" customHeight="1">
      <c r="A1910" s="1">
        <v>100.0</v>
      </c>
      <c r="B1910" s="1" t="s">
        <v>819</v>
      </c>
      <c r="C1910" s="1">
        <v>10.0</v>
      </c>
      <c r="D1910" s="2" t="s">
        <v>854</v>
      </c>
      <c r="E1910" s="1" t="str">
        <f>IFERROR(__xludf.DUMMYFUNCTION("GOOGLETRANSLATE(D1910,""PT"",""EN"")"),"Excellent online service, great app, very intuitive is not charging fees, this is money in my pocket considering long term, I like it.")</f>
        <v>Excellent online service, great app, very intuitive is not charging fees, this is money in my pocket considering long term, I like it.</v>
      </c>
    </row>
    <row r="1911" ht="14.25" customHeight="1">
      <c r="A1911" s="1">
        <v>33.0</v>
      </c>
      <c r="B1911" s="1" t="s">
        <v>819</v>
      </c>
      <c r="C1911" s="1">
        <v>0.0</v>
      </c>
      <c r="D1911" s="2" t="s">
        <v>855</v>
      </c>
      <c r="E1911" s="1" t="str">
        <f>IFERROR(__xludf.DUMMYFUNCTION("GOOGLETRANSLATE(D1911,""PT"",""EN"")"),"I have a hard time resolving my consortium, to sell it was good, but now that I need a support is a lot of difficulty. I feel that Sicoob is excluding the responsibility of resolving my situation with Ponta Consortia. If you are really concerned about my "&amp;"satisfaction follows my unsuccessful for return 62 98100-6871 Robson.")</f>
        <v>I have a hard time resolving my consortium, to sell it was good, but now that I need a support is a lot of difficulty. I feel that Sicoob is excluding the responsibility of resolving my situation with Ponta Consortia. If you are really concerned about my satisfaction follows my unsuccessful for return 62 98100-6871 Robson.</v>
      </c>
    </row>
    <row r="1912" ht="14.25" customHeight="1">
      <c r="A1912" s="1">
        <v>100.0</v>
      </c>
      <c r="B1912" s="1" t="s">
        <v>819</v>
      </c>
      <c r="C1912" s="1">
        <v>10.0</v>
      </c>
      <c r="D1912" s="1" t="s">
        <v>6</v>
      </c>
      <c r="E1912" s="1"/>
    </row>
    <row r="1913" ht="14.25" customHeight="1">
      <c r="A1913" s="1">
        <v>66.0</v>
      </c>
      <c r="B1913" s="1" t="s">
        <v>819</v>
      </c>
      <c r="C1913" s="1">
        <v>8.0</v>
      </c>
      <c r="D1913" s="1" t="s">
        <v>6</v>
      </c>
      <c r="E1913" s="1"/>
    </row>
    <row r="1914" ht="14.25" customHeight="1">
      <c r="A1914" s="1">
        <v>33.0</v>
      </c>
      <c r="B1914" s="1" t="s">
        <v>819</v>
      </c>
      <c r="C1914" s="1">
        <v>1.0</v>
      </c>
      <c r="D1914" s="1" t="s">
        <v>6</v>
      </c>
      <c r="E1914" s="1"/>
    </row>
    <row r="1915" ht="14.25" customHeight="1">
      <c r="A1915" s="1">
        <v>66.0</v>
      </c>
      <c r="B1915" s="1" t="s">
        <v>819</v>
      </c>
      <c r="C1915" s="1">
        <v>7.0</v>
      </c>
      <c r="D1915" s="1" t="s">
        <v>6</v>
      </c>
      <c r="E1915" s="1"/>
    </row>
    <row r="1916" ht="14.25" customHeight="1">
      <c r="A1916" s="1">
        <v>100.0</v>
      </c>
      <c r="B1916" s="1" t="s">
        <v>819</v>
      </c>
      <c r="C1916" s="1">
        <v>10.0</v>
      </c>
      <c r="D1916" s="1" t="s">
        <v>6</v>
      </c>
      <c r="E1916" s="1"/>
    </row>
    <row r="1917" ht="14.25" customHeight="1">
      <c r="A1917" s="1">
        <v>33.0</v>
      </c>
      <c r="B1917" s="1" t="s">
        <v>819</v>
      </c>
      <c r="C1917" s="1">
        <v>0.0</v>
      </c>
      <c r="D1917" s="1" t="s">
        <v>6</v>
      </c>
      <c r="E1917" s="1"/>
    </row>
    <row r="1918" ht="14.25" customHeight="1">
      <c r="A1918" s="1">
        <v>100.0</v>
      </c>
      <c r="B1918" s="1" t="s">
        <v>819</v>
      </c>
      <c r="C1918" s="1">
        <v>10.0</v>
      </c>
      <c r="D1918" s="1" t="s">
        <v>856</v>
      </c>
      <c r="E1918" s="1" t="str">
        <f>IFERROR(__xludf.DUMMYFUNCTION("GOOGLETRANSLATE(D1918,""PT"",""EN"")"),"I am very well attended by everyone at the agency.")</f>
        <v>I am very well attended by everyone at the agency.</v>
      </c>
    </row>
    <row r="1919" ht="14.25" customHeight="1">
      <c r="A1919" s="1">
        <v>100.0</v>
      </c>
      <c r="B1919" s="1" t="s">
        <v>819</v>
      </c>
      <c r="C1919" s="1">
        <v>10.0</v>
      </c>
      <c r="D1919" s="1" t="s">
        <v>6</v>
      </c>
      <c r="E1919" s="1"/>
    </row>
    <row r="1920" ht="14.25" customHeight="1">
      <c r="A1920" s="1">
        <v>100.0</v>
      </c>
      <c r="B1920" s="1" t="s">
        <v>819</v>
      </c>
      <c r="C1920" s="1">
        <v>10.0</v>
      </c>
      <c r="D1920" s="1" t="s">
        <v>6</v>
      </c>
      <c r="E1920" s="1"/>
    </row>
    <row r="1921" ht="14.25" customHeight="1">
      <c r="A1921" s="1">
        <v>100.0</v>
      </c>
      <c r="B1921" s="1" t="s">
        <v>819</v>
      </c>
      <c r="C1921" s="1">
        <v>10.0</v>
      </c>
      <c r="D1921" s="1" t="s">
        <v>6</v>
      </c>
      <c r="E1921" s="1"/>
    </row>
    <row r="1922" ht="14.25" customHeight="1">
      <c r="A1922" s="1">
        <v>100.0</v>
      </c>
      <c r="B1922" s="1" t="s">
        <v>819</v>
      </c>
      <c r="C1922" s="1">
        <v>10.0</v>
      </c>
      <c r="D1922" s="2" t="s">
        <v>857</v>
      </c>
      <c r="E1922" s="1" t="str">
        <f>IFERROR(__xludf.DUMMYFUNCTION("GOOGLETRANSLATE(D1922,""PT"",""EN"")"),"Quality service is ease of contact is problem solving")</f>
        <v>Quality service is ease of contact is problem solving</v>
      </c>
    </row>
    <row r="1923" ht="14.25" customHeight="1">
      <c r="A1923" s="1">
        <v>100.0</v>
      </c>
      <c r="B1923" s="1" t="s">
        <v>819</v>
      </c>
      <c r="C1923" s="1">
        <v>10.0</v>
      </c>
      <c r="D1923" s="1" t="s">
        <v>6</v>
      </c>
      <c r="E1923" s="1"/>
    </row>
    <row r="1924" ht="14.25" customHeight="1">
      <c r="A1924" s="1">
        <v>100.0</v>
      </c>
      <c r="B1924" s="1" t="s">
        <v>819</v>
      </c>
      <c r="C1924" s="1">
        <v>10.0</v>
      </c>
      <c r="D1924" s="1" t="s">
        <v>858</v>
      </c>
      <c r="E1924" s="1" t="str">
        <f>IFERROR(__xludf.DUMMYFUNCTION("GOOGLETRANSLATE(D1924,""PT"",""EN"")"),"Care, agility in problems.")</f>
        <v>Care, agility in problems.</v>
      </c>
    </row>
    <row r="1925" ht="14.25" customHeight="1">
      <c r="A1925" s="1">
        <v>100.0</v>
      </c>
      <c r="B1925" s="1" t="s">
        <v>819</v>
      </c>
      <c r="C1925" s="1">
        <v>10.0</v>
      </c>
      <c r="D1925" s="2" t="s">
        <v>859</v>
      </c>
      <c r="E1925" s="1" t="str">
        <f>IFERROR(__xludf.DUMMYFUNCTION("GOOGLETRANSLATE(D1925,""PT"",""EN"")"),"Very helpful, Cortez, Agile is knowledge of what they are talking about!")</f>
        <v>Very helpful, Cortez, Agile is knowledge of what they are talking about!</v>
      </c>
    </row>
    <row r="1926" ht="14.25" customHeight="1">
      <c r="A1926" s="1">
        <v>100.0</v>
      </c>
      <c r="B1926" s="1" t="s">
        <v>819</v>
      </c>
      <c r="C1926" s="1">
        <v>9.0</v>
      </c>
      <c r="D1926" s="2" t="s">
        <v>860</v>
      </c>
      <c r="E1926" s="1" t="str">
        <f>IFERROR(__xludf.DUMMYFUNCTION("GOOGLETRANSLATE(D1926,""PT"",""EN"")"),"You are note 10 .... but it has to be nine, to continue improving.")</f>
        <v>You are note 10 .... but it has to be nine, to continue improving.</v>
      </c>
    </row>
    <row r="1927" ht="14.25" customHeight="1">
      <c r="A1927" s="1">
        <v>100.0</v>
      </c>
      <c r="B1927" s="1" t="s">
        <v>819</v>
      </c>
      <c r="C1927" s="1">
        <v>10.0</v>
      </c>
      <c r="D1927" s="2" t="s">
        <v>861</v>
      </c>
      <c r="E1927" s="1" t="str">
        <f>IFERROR(__xludf.DUMMYFUNCTION("GOOGLETRANSLATE(D1927,""PT"",""EN"")"),"Easy access, employee prestivity is has everything I need.")</f>
        <v>Easy access, employee prestivity is has everything I need.</v>
      </c>
    </row>
    <row r="1928" ht="14.25" customHeight="1">
      <c r="A1928" s="1">
        <v>100.0</v>
      </c>
      <c r="B1928" s="1" t="s">
        <v>819</v>
      </c>
      <c r="C1928" s="1">
        <v>9.0</v>
      </c>
      <c r="D1928" s="1" t="s">
        <v>6</v>
      </c>
      <c r="E1928" s="1"/>
    </row>
    <row r="1929" ht="14.25" customHeight="1">
      <c r="A1929" s="1">
        <v>100.0</v>
      </c>
      <c r="B1929" s="1" t="s">
        <v>819</v>
      </c>
      <c r="C1929" s="1">
        <v>9.0</v>
      </c>
      <c r="D1929" s="1" t="s">
        <v>6</v>
      </c>
      <c r="E1929" s="1"/>
    </row>
    <row r="1930" ht="14.25" customHeight="1">
      <c r="A1930" s="1">
        <v>33.0</v>
      </c>
      <c r="B1930" s="1" t="s">
        <v>819</v>
      </c>
      <c r="C1930" s="1">
        <v>3.0</v>
      </c>
      <c r="D1930" s="2" t="s">
        <v>862</v>
      </c>
      <c r="E1930" s="1" t="str">
        <f>IFERROR(__xludf.DUMMYFUNCTION("GOOGLETRANSLATE(D1930,""PT"",""EN"")"),"Excessive advertising, cashier withdrawal system has become more bureaucratic is difficult.")</f>
        <v>Excessive advertising, cashier withdrawal system has become more bureaucratic is difficult.</v>
      </c>
    </row>
    <row r="1931" ht="14.25" customHeight="1">
      <c r="A1931" s="1">
        <v>100.0</v>
      </c>
      <c r="B1931" s="1" t="s">
        <v>819</v>
      </c>
      <c r="C1931" s="1">
        <v>9.0</v>
      </c>
      <c r="D1931" s="1" t="s">
        <v>505</v>
      </c>
      <c r="E1931" s="1" t="str">
        <f>IFERROR(__xludf.DUMMYFUNCTION("GOOGLETRANSLATE(D1931,""PT"",""EN"")"),"9")</f>
        <v>9</v>
      </c>
    </row>
    <row r="1932" ht="14.25" customHeight="1">
      <c r="A1932" s="1">
        <v>66.0</v>
      </c>
      <c r="B1932" s="1" t="s">
        <v>819</v>
      </c>
      <c r="C1932" s="1">
        <v>7.0</v>
      </c>
      <c r="D1932" s="1" t="s">
        <v>863</v>
      </c>
      <c r="E1932" s="1" t="str">
        <f>IFERROR(__xludf.DUMMYFUNCTION("GOOGLETRANSLATE(D1932,""PT"",""EN"")"),"Can improve")</f>
        <v>Can improve</v>
      </c>
    </row>
    <row r="1933" ht="14.25" customHeight="1">
      <c r="A1933" s="1">
        <v>100.0</v>
      </c>
      <c r="B1933" s="1" t="s">
        <v>819</v>
      </c>
      <c r="C1933" s="1">
        <v>10.0</v>
      </c>
      <c r="D1933" s="2" t="s">
        <v>864</v>
      </c>
      <c r="E1933" s="1" t="str">
        <f>IFERROR(__xludf.DUMMYFUNCTION("GOOGLETRANSLATE(D1933,""PT"",""EN"")"),"It is an excellent bank to negotiate, your employee are very helpful ...")</f>
        <v>It is an excellent bank to negotiate, your employee are very helpful ...</v>
      </c>
    </row>
    <row r="1934" ht="14.25" customHeight="1">
      <c r="A1934" s="1">
        <v>33.0</v>
      </c>
      <c r="B1934" s="1" t="s">
        <v>819</v>
      </c>
      <c r="C1934" s="1">
        <v>0.0</v>
      </c>
      <c r="D1934" s="2" t="s">
        <v>865</v>
      </c>
      <c r="E1934" s="1" t="str">
        <f>IFERROR(__xludf.DUMMYFUNCTION("GOOGLETRANSLATE(D1934,""PT"",""EN"")"),"Sicoob Credijur does not represent law. It does not bring any kind of benefit project is specific to the lawyer. Other credit cooperatives have been more friendly with entrepreneurship activity.")</f>
        <v>Sicoob Credijur does not represent law. It does not bring any kind of benefit project is specific to the lawyer. Other credit cooperatives have been more friendly with entrepreneurship activity.</v>
      </c>
    </row>
    <row r="1935" ht="14.25" customHeight="1">
      <c r="A1935" s="1">
        <v>66.0</v>
      </c>
      <c r="B1935" s="1" t="s">
        <v>819</v>
      </c>
      <c r="C1935" s="1">
        <v>7.0</v>
      </c>
      <c r="D1935" s="2" t="s">
        <v>866</v>
      </c>
      <c r="E1935" s="1" t="str">
        <f>IFERROR(__xludf.DUMMYFUNCTION("GOOGLETRANSLATE(D1935,""PT"",""EN"")"),"Considering Sicoob service personally is traditional. I am no longer one, I am a cooperative with the right to give their opinion, suggest.")</f>
        <v>Considering Sicoob service personally is traditional. I am no longer one, I am a cooperative with the right to give their opinion, suggest.</v>
      </c>
    </row>
    <row r="1936" ht="14.25" customHeight="1">
      <c r="A1936" s="1">
        <v>100.0</v>
      </c>
      <c r="B1936" s="1" t="s">
        <v>819</v>
      </c>
      <c r="C1936" s="1">
        <v>10.0</v>
      </c>
      <c r="D1936" s="1" t="s">
        <v>6</v>
      </c>
      <c r="E1936" s="1"/>
    </row>
    <row r="1937" ht="14.25" customHeight="1">
      <c r="A1937" s="1">
        <v>100.0</v>
      </c>
      <c r="B1937" s="1" t="s">
        <v>819</v>
      </c>
      <c r="C1937" s="1">
        <v>10.0</v>
      </c>
      <c r="D1937" s="1" t="s">
        <v>867</v>
      </c>
      <c r="E1937" s="1" t="str">
        <f>IFERROR(__xludf.DUMMYFUNCTION("GOOGLETRANSLATE(D1937,""PT"",""EN"")"),"Best cooperative in the world !!!!!!!")</f>
        <v>Best cooperative in the world !!!!!!!</v>
      </c>
    </row>
    <row r="1938" ht="14.25" customHeight="1">
      <c r="A1938" s="1">
        <v>100.0</v>
      </c>
      <c r="B1938" s="1" t="s">
        <v>819</v>
      </c>
      <c r="C1938" s="1">
        <v>10.0</v>
      </c>
      <c r="D1938" s="1" t="s">
        <v>6</v>
      </c>
      <c r="E1938" s="1"/>
    </row>
    <row r="1939" ht="14.25" customHeight="1">
      <c r="A1939" s="1">
        <v>33.0</v>
      </c>
      <c r="B1939" s="1" t="s">
        <v>819</v>
      </c>
      <c r="C1939" s="1">
        <v>0.0</v>
      </c>
      <c r="D1939" s="1" t="s">
        <v>6</v>
      </c>
      <c r="E1939" s="1"/>
    </row>
    <row r="1940" ht="14.25" customHeight="1">
      <c r="A1940" s="1">
        <v>33.0</v>
      </c>
      <c r="B1940" s="1" t="s">
        <v>819</v>
      </c>
      <c r="C1940" s="1">
        <v>5.0</v>
      </c>
      <c r="D1940" s="2" t="s">
        <v>868</v>
      </c>
      <c r="E1940" s="1" t="str">
        <f>IFERROR(__xludf.DUMMYFUNCTION("GOOGLETRANSLATE(D1940,""PT"",""EN"")"),"Simple account of debit, no credit benefit")</f>
        <v>Simple account of debit, no credit benefit</v>
      </c>
    </row>
    <row r="1941" ht="14.25" customHeight="1">
      <c r="A1941" s="1">
        <v>33.0</v>
      </c>
      <c r="B1941" s="1" t="s">
        <v>819</v>
      </c>
      <c r="C1941" s="1">
        <v>5.0</v>
      </c>
      <c r="D1941" s="2" t="s">
        <v>869</v>
      </c>
      <c r="E1941" s="1" t="str">
        <f>IFERROR(__xludf.DUMMYFUNCTION("GOOGLETRANSLATE(D1941,""PT"",""EN"")"),"Credijur service is very bad, to hire services such as credit card insurance, they can't answer is nor stay at the agency")</f>
        <v>Credijur service is very bad, to hire services such as credit card insurance, they can't answer is nor stay at the agency</v>
      </c>
    </row>
    <row r="1942" ht="14.25" customHeight="1">
      <c r="A1942" s="1">
        <v>100.0</v>
      </c>
      <c r="B1942" s="1" t="s">
        <v>819</v>
      </c>
      <c r="C1942" s="1">
        <v>9.0</v>
      </c>
      <c r="D1942" s="1" t="s">
        <v>870</v>
      </c>
      <c r="E1942" s="1" t="str">
        <f>IFERROR(__xludf.DUMMYFUNCTION("GOOGLETRANSLATE(D1942,""PT"",""EN"")"),"All right, I never had any problems.")</f>
        <v>All right, I never had any problems.</v>
      </c>
    </row>
    <row r="1943" ht="14.25" customHeight="1">
      <c r="A1943" s="1">
        <v>100.0</v>
      </c>
      <c r="B1943" s="1" t="s">
        <v>819</v>
      </c>
      <c r="C1943" s="1">
        <v>10.0</v>
      </c>
      <c r="D1943" s="1" t="s">
        <v>6</v>
      </c>
      <c r="E1943" s="1"/>
    </row>
    <row r="1944" ht="14.25" customHeight="1">
      <c r="A1944" s="1">
        <v>100.0</v>
      </c>
      <c r="B1944" s="1" t="s">
        <v>819</v>
      </c>
      <c r="C1944" s="1">
        <v>10.0</v>
      </c>
      <c r="D1944" s="1" t="s">
        <v>871</v>
      </c>
      <c r="E1944" s="1" t="str">
        <f>IFERROR(__xludf.DUMMYFUNCTION("GOOGLETRANSLATE(D1944,""PT"",""EN"")"),"Excellent institution to work")</f>
        <v>Excellent institution to work</v>
      </c>
    </row>
    <row r="1945" ht="14.25" customHeight="1">
      <c r="A1945" s="1">
        <v>33.0</v>
      </c>
      <c r="B1945" s="1" t="s">
        <v>819</v>
      </c>
      <c r="C1945" s="1">
        <v>3.0</v>
      </c>
      <c r="D1945" s="1" t="s">
        <v>6</v>
      </c>
      <c r="E1945" s="1"/>
    </row>
    <row r="1946" ht="14.25" customHeight="1">
      <c r="A1946" s="1">
        <v>100.0</v>
      </c>
      <c r="B1946" s="1" t="s">
        <v>819</v>
      </c>
      <c r="C1946" s="1">
        <v>10.0</v>
      </c>
      <c r="D1946" s="1" t="s">
        <v>6</v>
      </c>
      <c r="E1946" s="1"/>
    </row>
    <row r="1947" ht="14.25" customHeight="1">
      <c r="A1947" s="1">
        <v>66.0</v>
      </c>
      <c r="B1947" s="1" t="s">
        <v>819</v>
      </c>
      <c r="C1947" s="1">
        <v>7.0</v>
      </c>
      <c r="D1947" s="2" t="s">
        <v>872</v>
      </c>
      <c r="E1947" s="1" t="str">
        <f>IFERROR(__xludf.DUMMYFUNCTION("GOOGLETRANSLATE(D1947,""PT"",""EN"")"),"Very bad face -to -face service, little attention dismissed is lack of clarification. Telephone is waiting for long minutes, when it answers.")</f>
        <v>Very bad face -to -face service, little attention dismissed is lack of clarification. Telephone is waiting for long minutes, when it answers.</v>
      </c>
    </row>
    <row r="1948" ht="14.25" customHeight="1">
      <c r="A1948" s="1">
        <v>100.0</v>
      </c>
      <c r="B1948" s="1" t="s">
        <v>819</v>
      </c>
      <c r="C1948" s="1">
        <v>10.0</v>
      </c>
      <c r="D1948" s="1" t="s">
        <v>6</v>
      </c>
      <c r="E1948" s="1"/>
    </row>
    <row r="1949" ht="14.25" customHeight="1">
      <c r="A1949" s="1">
        <v>100.0</v>
      </c>
      <c r="B1949" s="1" t="s">
        <v>819</v>
      </c>
      <c r="C1949" s="1">
        <v>10.0</v>
      </c>
      <c r="D1949" s="1" t="s">
        <v>873</v>
      </c>
      <c r="E1949" s="1" t="str">
        <f>IFERROR(__xludf.DUMMYFUNCTION("GOOGLETRANSLATE(D1949,""PT"",""EN"")"),"I have even indicated, for the new financial concept.")</f>
        <v>I have even indicated, for the new financial concept.</v>
      </c>
    </row>
    <row r="1950" ht="14.25" customHeight="1">
      <c r="A1950" s="1">
        <v>100.0</v>
      </c>
      <c r="B1950" s="1" t="s">
        <v>819</v>
      </c>
      <c r="C1950" s="1">
        <v>9.0</v>
      </c>
      <c r="D1950" s="1" t="s">
        <v>874</v>
      </c>
      <c r="E1950" s="1" t="str">
        <f>IFERROR(__xludf.DUMMYFUNCTION("GOOGLETRANSLATE(D1950,""PT"",""EN"")"),"BC very good.")</f>
        <v>BC very good.</v>
      </c>
    </row>
    <row r="1951" ht="14.25" customHeight="1">
      <c r="A1951" s="1">
        <v>100.0</v>
      </c>
      <c r="B1951" s="1" t="s">
        <v>819</v>
      </c>
      <c r="C1951" s="1">
        <v>9.0</v>
      </c>
      <c r="D1951" s="1" t="s">
        <v>6</v>
      </c>
      <c r="E1951" s="1"/>
    </row>
    <row r="1952" ht="14.25" customHeight="1">
      <c r="A1952" s="1">
        <v>100.0</v>
      </c>
      <c r="B1952" s="1" t="s">
        <v>819</v>
      </c>
      <c r="C1952" s="1">
        <v>10.0</v>
      </c>
      <c r="D1952" s="2" t="s">
        <v>875</v>
      </c>
      <c r="E1952" s="1" t="str">
        <f>IFERROR(__xludf.DUMMYFUNCTION("GOOGLETRANSLATE(D1952,""PT"",""EN"")"),"It is a very efficient bank is with unique agility. Super indicate.")</f>
        <v>It is a very efficient bank is with unique agility. Super indicate.</v>
      </c>
    </row>
    <row r="1953" ht="14.25" customHeight="1">
      <c r="A1953" s="1">
        <v>100.0</v>
      </c>
      <c r="B1953" s="1" t="s">
        <v>819</v>
      </c>
      <c r="C1953" s="1">
        <v>10.0</v>
      </c>
      <c r="D1953" s="1" t="s">
        <v>6</v>
      </c>
      <c r="E1953" s="1"/>
    </row>
    <row r="1954" ht="14.25" customHeight="1">
      <c r="A1954" s="1">
        <v>100.0</v>
      </c>
      <c r="B1954" s="1" t="s">
        <v>819</v>
      </c>
      <c r="C1954" s="1">
        <v>10.0</v>
      </c>
      <c r="D1954" s="1" t="s">
        <v>876</v>
      </c>
      <c r="E1954" s="1" t="str">
        <f>IFERROR(__xludf.DUMMYFUNCTION("GOOGLETRANSLATE(D1954,""PT"",""EN"")"),"Personal always ready to answer! Very educated")</f>
        <v>Personal always ready to answer! Very educated</v>
      </c>
    </row>
    <row r="1955" ht="14.25" customHeight="1">
      <c r="A1955" s="1">
        <v>33.0</v>
      </c>
      <c r="B1955" s="1" t="s">
        <v>819</v>
      </c>
      <c r="C1955" s="1">
        <v>1.0</v>
      </c>
      <c r="D1955" s="2" t="s">
        <v>877</v>
      </c>
      <c r="E1955" s="1" t="str">
        <f>IFERROR(__xludf.DUMMYFUNCTION("GOOGLETRANSLATE(D1955,""PT"",""EN"")"),"When I need the app does not work, when I can only send money, even within the established limit, with management authorization.")</f>
        <v>When I need the app does not work, when I can only send money, even within the established limit, with management authorization.</v>
      </c>
    </row>
    <row r="1956" ht="14.25" customHeight="1">
      <c r="A1956" s="1">
        <v>33.0</v>
      </c>
      <c r="B1956" s="1" t="s">
        <v>819</v>
      </c>
      <c r="C1956" s="1">
        <v>6.0</v>
      </c>
      <c r="D1956" s="2" t="s">
        <v>878</v>
      </c>
      <c r="E1956" s="1" t="str">
        <f>IFERROR(__xludf.DUMMYFUNCTION("GOOGLETRANSLATE(D1956,""PT"",""EN"")"),"I have an account for a while, paid tuition is I have no line of credit released, minimal.")</f>
        <v>I have an account for a while, paid tuition is I have no line of credit released, minimal.</v>
      </c>
    </row>
    <row r="1957" ht="14.25" customHeight="1">
      <c r="A1957" s="1">
        <v>100.0</v>
      </c>
      <c r="B1957" s="1" t="s">
        <v>819</v>
      </c>
      <c r="C1957" s="1">
        <v>10.0</v>
      </c>
      <c r="D1957" s="1" t="s">
        <v>879</v>
      </c>
      <c r="E1957" s="1" t="str">
        <f>IFERROR(__xludf.DUMMYFUNCTION("GOOGLETRANSLATE(D1957,""PT"",""EN"")"),"Excellent in everything.")</f>
        <v>Excellent in everything.</v>
      </c>
    </row>
    <row r="1958" ht="14.25" customHeight="1">
      <c r="A1958" s="1">
        <v>100.0</v>
      </c>
      <c r="B1958" s="1" t="s">
        <v>819</v>
      </c>
      <c r="C1958" s="1">
        <v>10.0</v>
      </c>
      <c r="D1958" s="1" t="s">
        <v>97</v>
      </c>
      <c r="E1958" s="1" t="str">
        <f>IFERROR(__xludf.DUMMYFUNCTION("GOOGLETRANSLATE(D1958,""PT"",""EN"")"),"Excellent")</f>
        <v>Excellent</v>
      </c>
    </row>
    <row r="1959" ht="14.25" customHeight="1">
      <c r="A1959" s="1">
        <v>100.0</v>
      </c>
      <c r="B1959" s="1" t="s">
        <v>819</v>
      </c>
      <c r="C1959" s="1">
        <v>10.0</v>
      </c>
      <c r="D1959" s="1" t="s">
        <v>6</v>
      </c>
      <c r="E1959" s="1"/>
    </row>
    <row r="1960" ht="14.25" customHeight="1">
      <c r="A1960" s="1">
        <v>100.0</v>
      </c>
      <c r="B1960" s="1" t="s">
        <v>819</v>
      </c>
      <c r="C1960" s="1">
        <v>10.0</v>
      </c>
      <c r="D1960" s="1" t="s">
        <v>6</v>
      </c>
      <c r="E1960" s="1"/>
    </row>
    <row r="1961" ht="14.25" customHeight="1">
      <c r="A1961" s="1">
        <v>100.0</v>
      </c>
      <c r="B1961" s="1" t="s">
        <v>819</v>
      </c>
      <c r="C1961" s="1">
        <v>10.0</v>
      </c>
      <c r="D1961" s="1" t="s">
        <v>6</v>
      </c>
      <c r="E1961" s="1"/>
    </row>
    <row r="1962" ht="14.25" customHeight="1">
      <c r="A1962" s="1">
        <v>66.0</v>
      </c>
      <c r="B1962" s="1" t="s">
        <v>819</v>
      </c>
      <c r="C1962" s="1">
        <v>8.0</v>
      </c>
      <c r="D1962" s="1" t="s">
        <v>6</v>
      </c>
      <c r="E1962" s="1"/>
    </row>
    <row r="1963" ht="14.25" customHeight="1">
      <c r="A1963" s="1">
        <v>100.0</v>
      </c>
      <c r="B1963" s="1" t="s">
        <v>819</v>
      </c>
      <c r="C1963" s="1">
        <v>10.0</v>
      </c>
      <c r="D1963" s="2" t="s">
        <v>880</v>
      </c>
      <c r="E1963" s="1" t="str">
        <f>IFERROR(__xludf.DUMMYFUNCTION("GOOGLETRANSLATE(D1963,""PT"",""EN"")"),"I like the cooperative. It was my first bank during college is never disappointed me.")</f>
        <v>I like the cooperative. It was my first bank during college is never disappointed me.</v>
      </c>
    </row>
    <row r="1964" ht="14.25" customHeight="1">
      <c r="A1964" s="1">
        <v>100.0</v>
      </c>
      <c r="B1964" s="1" t="s">
        <v>819</v>
      </c>
      <c r="C1964" s="1">
        <v>10.0</v>
      </c>
      <c r="D1964" s="2" t="s">
        <v>881</v>
      </c>
      <c r="E1964" s="1" t="str">
        <f>IFERROR(__xludf.DUMMYFUNCTION("GOOGLETRANSLATE(D1964,""PT"",""EN"")"),"Bank that gives value to the customer")</f>
        <v>Bank that gives value to the customer</v>
      </c>
    </row>
    <row r="1965" ht="14.25" customHeight="1">
      <c r="A1965" s="1">
        <v>100.0</v>
      </c>
      <c r="B1965" s="1" t="s">
        <v>819</v>
      </c>
      <c r="C1965" s="1">
        <v>10.0</v>
      </c>
      <c r="D1965" s="2" t="s">
        <v>882</v>
      </c>
      <c r="E1965" s="1" t="str">
        <f>IFERROR(__xludf.DUMMYFUNCTION("GOOGLETRANSLATE(D1965,""PT"",""EN"")"),"Very top the service is the customer is highly valued.")</f>
        <v>Very top the service is the customer is highly valued.</v>
      </c>
    </row>
    <row r="1966" ht="14.25" customHeight="1">
      <c r="A1966" s="1">
        <v>33.0</v>
      </c>
      <c r="B1966" s="1" t="s">
        <v>819</v>
      </c>
      <c r="C1966" s="1">
        <v>6.0</v>
      </c>
      <c r="D1966" s="1" t="s">
        <v>6</v>
      </c>
      <c r="E1966" s="1"/>
    </row>
    <row r="1967" ht="14.25" customHeight="1">
      <c r="A1967" s="1">
        <v>100.0</v>
      </c>
      <c r="B1967" s="1" t="s">
        <v>819</v>
      </c>
      <c r="C1967" s="1">
        <v>10.0</v>
      </c>
      <c r="D1967" s="1" t="s">
        <v>276</v>
      </c>
      <c r="E1967" s="1" t="str">
        <f>IFERROR(__xludf.DUMMYFUNCTION("GOOGLETRANSLATE(D1967,""PT"",""EN"")"),"Very good service")</f>
        <v>Very good service</v>
      </c>
    </row>
    <row r="1968" ht="14.25" customHeight="1">
      <c r="A1968" s="1">
        <v>100.0</v>
      </c>
      <c r="B1968" s="1" t="s">
        <v>819</v>
      </c>
      <c r="C1968" s="1">
        <v>10.0</v>
      </c>
      <c r="D1968" s="2" t="s">
        <v>883</v>
      </c>
      <c r="E1968" s="1" t="str">
        <f>IFERROR(__xludf.DUMMYFUNCTION("GOOGLETRANSLATE(D1968,""PT"",""EN"")"),"Best bank I have ever worked")</f>
        <v>Best bank I have ever worked</v>
      </c>
    </row>
    <row r="1969" ht="14.25" customHeight="1">
      <c r="A1969" s="1">
        <v>100.0</v>
      </c>
      <c r="B1969" s="1" t="s">
        <v>819</v>
      </c>
      <c r="C1969" s="1">
        <v>10.0</v>
      </c>
      <c r="D1969" s="1" t="s">
        <v>20</v>
      </c>
      <c r="E1969" s="1" t="str">
        <f>IFERROR(__xludf.DUMMYFUNCTION("GOOGLETRANSLATE(D1969,""PT"",""EN"")"),"Very good")</f>
        <v>Very good</v>
      </c>
    </row>
    <row r="1970" ht="14.25" customHeight="1">
      <c r="A1970" s="1">
        <v>100.0</v>
      </c>
      <c r="B1970" s="1" t="s">
        <v>819</v>
      </c>
      <c r="C1970" s="1">
        <v>10.0</v>
      </c>
      <c r="D1970" s="2" t="s">
        <v>884</v>
      </c>
      <c r="E1970" s="1" t="str">
        <f>IFERROR(__xludf.DUMMYFUNCTION("GOOGLETRANSLATE(D1970,""PT"",""EN"")"),"Always answered me well")</f>
        <v>Always answered me well</v>
      </c>
    </row>
    <row r="1971" ht="14.25" customHeight="1">
      <c r="A1971" s="1">
        <v>100.0</v>
      </c>
      <c r="B1971" s="1" t="s">
        <v>819</v>
      </c>
      <c r="C1971" s="1">
        <v>10.0</v>
      </c>
      <c r="D1971" s="1" t="s">
        <v>885</v>
      </c>
      <c r="E1971" s="1" t="str">
        <f>IFERROR(__xludf.DUMMYFUNCTION("GOOGLETRANSLATE(D1971,""PT"",""EN"")"),"Total service satisfaction")</f>
        <v>Total service satisfaction</v>
      </c>
    </row>
    <row r="1972" ht="14.25" customHeight="1">
      <c r="A1972" s="1">
        <v>33.0</v>
      </c>
      <c r="B1972" s="1" t="s">
        <v>819</v>
      </c>
      <c r="C1972" s="1">
        <v>0.0</v>
      </c>
      <c r="D1972" s="1" t="s">
        <v>6</v>
      </c>
      <c r="E1972" s="1"/>
    </row>
    <row r="1973" ht="14.25" customHeight="1">
      <c r="A1973" s="1">
        <v>100.0</v>
      </c>
      <c r="B1973" s="1" t="s">
        <v>819</v>
      </c>
      <c r="C1973" s="1">
        <v>10.0</v>
      </c>
      <c r="D1973" s="1" t="s">
        <v>6</v>
      </c>
      <c r="E1973" s="1"/>
    </row>
    <row r="1974" ht="14.25" customHeight="1">
      <c r="A1974" s="1">
        <v>100.0</v>
      </c>
      <c r="B1974" s="1" t="s">
        <v>819</v>
      </c>
      <c r="C1974" s="1">
        <v>10.0</v>
      </c>
      <c r="D1974" s="1" t="s">
        <v>6</v>
      </c>
      <c r="E1974" s="1"/>
    </row>
    <row r="1975" ht="14.25" customHeight="1">
      <c r="A1975" s="1">
        <v>100.0</v>
      </c>
      <c r="B1975" s="1" t="s">
        <v>819</v>
      </c>
      <c r="C1975" s="1">
        <v>10.0</v>
      </c>
      <c r="D1975" s="2" t="s">
        <v>886</v>
      </c>
      <c r="E1975" s="1" t="str">
        <f>IFERROR(__xludf.DUMMYFUNCTION("GOOGLETRANSLATE(D1975,""PT"",""EN"")"),"Excellence bank")</f>
        <v>Excellence bank</v>
      </c>
    </row>
    <row r="1976" ht="14.25" customHeight="1">
      <c r="A1976" s="1">
        <v>66.0</v>
      </c>
      <c r="B1976" s="1" t="s">
        <v>819</v>
      </c>
      <c r="C1976" s="1">
        <v>7.0</v>
      </c>
      <c r="D1976" s="1" t="s">
        <v>6</v>
      </c>
      <c r="E1976" s="1"/>
    </row>
    <row r="1977" ht="14.25" customHeight="1">
      <c r="A1977" s="1">
        <v>33.0</v>
      </c>
      <c r="B1977" s="1" t="s">
        <v>819</v>
      </c>
      <c r="C1977" s="1">
        <v>0.0</v>
      </c>
      <c r="D1977" s="2" t="s">
        <v>887</v>
      </c>
      <c r="E1977" s="1" t="str">
        <f>IFERROR(__xludf.DUMMYFUNCTION("GOOGLETRANSLATE(D1977,""PT"",""EN"")"),"Inhumans ...")</f>
        <v>Inhumans ...</v>
      </c>
    </row>
    <row r="1978" ht="14.25" customHeight="1">
      <c r="A1978" s="1">
        <v>100.0</v>
      </c>
      <c r="B1978" s="1" t="s">
        <v>819</v>
      </c>
      <c r="C1978" s="1">
        <v>10.0</v>
      </c>
      <c r="D1978" s="1" t="s">
        <v>6</v>
      </c>
      <c r="E1978" s="1"/>
    </row>
    <row r="1979" ht="14.25" customHeight="1">
      <c r="A1979" s="1">
        <v>33.0</v>
      </c>
      <c r="B1979" s="1" t="s">
        <v>819</v>
      </c>
      <c r="C1979" s="1">
        <v>0.0</v>
      </c>
      <c r="D1979" s="2" t="s">
        <v>888</v>
      </c>
      <c r="E1979" s="1" t="str">
        <f>IFERROR(__xludf.DUMMYFUNCTION("GOOGLETRANSLATE(D1979,""PT"",""EN"")"),"I did not see any advantage in opening this account, so I will close it soon")</f>
        <v>I did not see any advantage in opening this account, so I will close it soon</v>
      </c>
    </row>
    <row r="1980" ht="14.25" customHeight="1">
      <c r="A1980" s="1">
        <v>33.0</v>
      </c>
      <c r="B1980" s="1" t="s">
        <v>819</v>
      </c>
      <c r="C1980" s="1">
        <v>2.0</v>
      </c>
      <c r="D1980" s="2" t="s">
        <v>889</v>
      </c>
      <c r="E1980" s="1" t="str">
        <f>IFERROR(__xludf.DUMMYFUNCTION("GOOGLETRANSLATE(D1980,""PT"",""EN"")"),"Dissatisfied for not passing information right to the customer")</f>
        <v>Dissatisfied for not passing information right to the customer</v>
      </c>
    </row>
    <row r="1981" ht="14.25" customHeight="1">
      <c r="A1981" s="1">
        <v>100.0</v>
      </c>
      <c r="B1981" s="1" t="s">
        <v>819</v>
      </c>
      <c r="C1981" s="1">
        <v>10.0</v>
      </c>
      <c r="D1981" s="1" t="s">
        <v>890</v>
      </c>
      <c r="E1981" s="1" t="str">
        <f>IFERROR(__xludf.DUMMYFUNCTION("GOOGLETRANSLATE(D1981,""PT"",""EN"")"),"SERVICE")</f>
        <v>SERVICE</v>
      </c>
    </row>
    <row r="1982" ht="14.25" customHeight="1">
      <c r="A1982" s="1">
        <v>100.0</v>
      </c>
      <c r="B1982" s="1" t="s">
        <v>819</v>
      </c>
      <c r="C1982" s="1">
        <v>10.0</v>
      </c>
      <c r="D1982" s="1" t="s">
        <v>6</v>
      </c>
      <c r="E1982" s="1"/>
    </row>
    <row r="1983" ht="14.25" customHeight="1">
      <c r="A1983" s="1">
        <v>33.0</v>
      </c>
      <c r="B1983" s="1" t="s">
        <v>819</v>
      </c>
      <c r="C1983" s="1">
        <v>1.0</v>
      </c>
      <c r="D1983" s="1" t="s">
        <v>6</v>
      </c>
      <c r="E1983" s="1"/>
    </row>
    <row r="1984" ht="14.25" customHeight="1">
      <c r="A1984" s="1">
        <v>100.0</v>
      </c>
      <c r="B1984" s="1" t="s">
        <v>819</v>
      </c>
      <c r="C1984" s="1">
        <v>10.0</v>
      </c>
      <c r="D1984" s="1" t="s">
        <v>6</v>
      </c>
      <c r="E1984" s="1"/>
    </row>
    <row r="1985" ht="14.25" customHeight="1">
      <c r="A1985" s="1">
        <v>100.0</v>
      </c>
      <c r="B1985" s="1" t="s">
        <v>819</v>
      </c>
      <c r="C1985" s="1">
        <v>10.0</v>
      </c>
      <c r="D1985" s="1" t="s">
        <v>6</v>
      </c>
      <c r="E1985" s="1"/>
    </row>
    <row r="1986" ht="14.25" customHeight="1">
      <c r="A1986" s="1">
        <v>100.0</v>
      </c>
      <c r="B1986" s="1" t="s">
        <v>819</v>
      </c>
      <c r="C1986" s="1">
        <v>10.0</v>
      </c>
      <c r="D1986" s="1" t="s">
        <v>6</v>
      </c>
      <c r="E1986" s="1"/>
    </row>
    <row r="1987" ht="14.25" customHeight="1">
      <c r="A1987" s="1">
        <v>33.0</v>
      </c>
      <c r="B1987" s="1" t="s">
        <v>819</v>
      </c>
      <c r="C1987" s="1">
        <v>0.0</v>
      </c>
      <c r="D1987" s="1" t="s">
        <v>6</v>
      </c>
      <c r="E1987" s="1"/>
    </row>
    <row r="1988" ht="14.25" customHeight="1">
      <c r="A1988" s="1">
        <v>100.0</v>
      </c>
      <c r="B1988" s="1" t="s">
        <v>819</v>
      </c>
      <c r="C1988" s="1">
        <v>10.0</v>
      </c>
      <c r="D1988" s="1" t="s">
        <v>891</v>
      </c>
      <c r="E1988" s="1" t="str">
        <f>IFERROR(__xludf.DUMMYFUNCTION("GOOGLETRANSLATE(D1988,""PT"",""EN"")"),"Great service!!")</f>
        <v>Great service!!</v>
      </c>
    </row>
    <row r="1989" ht="14.25" customHeight="1">
      <c r="A1989" s="1">
        <v>100.0</v>
      </c>
      <c r="B1989" s="1" t="s">
        <v>819</v>
      </c>
      <c r="C1989" s="1">
        <v>10.0</v>
      </c>
      <c r="D1989" s="1" t="s">
        <v>6</v>
      </c>
      <c r="E1989" s="1"/>
    </row>
    <row r="1990" ht="14.25" customHeight="1">
      <c r="A1990" s="1">
        <v>33.0</v>
      </c>
      <c r="B1990" s="1" t="s">
        <v>819</v>
      </c>
      <c r="C1990" s="1">
        <v>5.0</v>
      </c>
      <c r="D1990" s="1" t="s">
        <v>6</v>
      </c>
      <c r="E1990" s="1"/>
    </row>
    <row r="1991" ht="14.25" customHeight="1">
      <c r="A1991" s="1">
        <v>33.0</v>
      </c>
      <c r="B1991" s="1" t="s">
        <v>819</v>
      </c>
      <c r="C1991" s="1">
        <v>2.0</v>
      </c>
      <c r="D1991" s="2" t="s">
        <v>892</v>
      </c>
      <c r="E1991" s="1" t="str">
        <f>IFERROR(__xludf.DUMMYFUNCTION("GOOGLETRANSLATE(D1991,""PT"",""EN"")"),"They know nothing to explain")</f>
        <v>They know nothing to explain</v>
      </c>
    </row>
    <row r="1992" ht="14.25" customHeight="1">
      <c r="A1992" s="1">
        <v>100.0</v>
      </c>
      <c r="B1992" s="1" t="s">
        <v>819</v>
      </c>
      <c r="C1992" s="1">
        <v>10.0</v>
      </c>
      <c r="D1992" s="1" t="s">
        <v>893</v>
      </c>
      <c r="E1992" s="1" t="str">
        <f>IFERROR(__xludf.DUMMYFUNCTION("GOOGLETRANSLATE(D1992,""PT"",""EN"")"),"Very personal service.")</f>
        <v>Very personal service.</v>
      </c>
    </row>
    <row r="1993" ht="14.25" customHeight="1">
      <c r="A1993" s="1">
        <v>33.0</v>
      </c>
      <c r="B1993" s="1" t="s">
        <v>819</v>
      </c>
      <c r="C1993" s="1">
        <v>0.0</v>
      </c>
      <c r="D1993" s="1" t="s">
        <v>6</v>
      </c>
      <c r="E1993" s="1"/>
    </row>
    <row r="1994" ht="14.25" customHeight="1">
      <c r="A1994" s="1">
        <v>33.0</v>
      </c>
      <c r="B1994" s="1" t="s">
        <v>819</v>
      </c>
      <c r="C1994" s="1">
        <v>0.0</v>
      </c>
      <c r="D1994" s="1" t="s">
        <v>6</v>
      </c>
      <c r="E1994" s="1"/>
    </row>
    <row r="1995" ht="14.25" customHeight="1">
      <c r="A1995" s="1">
        <v>100.0</v>
      </c>
      <c r="B1995" s="1" t="s">
        <v>819</v>
      </c>
      <c r="C1995" s="1">
        <v>10.0</v>
      </c>
      <c r="D1995" s="1" t="s">
        <v>6</v>
      </c>
      <c r="E1995" s="1"/>
    </row>
    <row r="1996" ht="14.25" customHeight="1">
      <c r="A1996" s="1">
        <v>100.0</v>
      </c>
      <c r="B1996" s="1" t="s">
        <v>819</v>
      </c>
      <c r="C1996" s="1">
        <v>10.0</v>
      </c>
      <c r="D1996" s="1" t="s">
        <v>6</v>
      </c>
      <c r="E1996" s="1"/>
    </row>
    <row r="1997" ht="14.25" customHeight="1">
      <c r="A1997" s="1">
        <v>100.0</v>
      </c>
      <c r="B1997" s="1" t="s">
        <v>819</v>
      </c>
      <c r="C1997" s="1">
        <v>9.0</v>
      </c>
      <c r="D1997" s="1" t="s">
        <v>6</v>
      </c>
      <c r="E1997" s="1"/>
    </row>
    <row r="1998" ht="14.25" customHeight="1">
      <c r="A1998" s="1">
        <v>33.0</v>
      </c>
      <c r="B1998" s="1" t="s">
        <v>819</v>
      </c>
      <c r="C1998" s="1">
        <v>3.0</v>
      </c>
      <c r="D1998" s="1" t="s">
        <v>6</v>
      </c>
      <c r="E1998" s="1"/>
    </row>
    <row r="1999" ht="14.25" customHeight="1">
      <c r="A1999" s="1">
        <v>100.0</v>
      </c>
      <c r="B1999" s="1" t="s">
        <v>819</v>
      </c>
      <c r="C1999" s="1">
        <v>10.0</v>
      </c>
      <c r="D1999" s="1" t="s">
        <v>6</v>
      </c>
      <c r="E1999" s="1"/>
    </row>
    <row r="2000" ht="14.25" customHeight="1">
      <c r="A2000" s="1">
        <v>100.0</v>
      </c>
      <c r="B2000" s="1" t="s">
        <v>819</v>
      </c>
      <c r="C2000" s="1">
        <v>10.0</v>
      </c>
      <c r="D2000" s="1" t="s">
        <v>6</v>
      </c>
      <c r="E2000" s="1"/>
    </row>
    <row r="2001" ht="14.25" customHeight="1">
      <c r="A2001" s="1">
        <v>33.0</v>
      </c>
      <c r="B2001" s="1" t="s">
        <v>819</v>
      </c>
      <c r="C2001" s="1">
        <v>1.0</v>
      </c>
      <c r="D2001" s="1" t="s">
        <v>894</v>
      </c>
      <c r="E2001" s="1" t="str">
        <f>IFERROR(__xludf.DUMMYFUNCTION("GOOGLETRANSLATE(D2001,""PT"",""EN"")"),"Nothing different, even less interesting than digital banks like Nubank, Inter, C6, App Tbm lets you want")</f>
        <v>Nothing different, even less interesting than digital banks like Nubank, Inter, C6, App Tbm lets you want</v>
      </c>
    </row>
    <row r="2002" ht="14.25" customHeight="1">
      <c r="A2002" s="1">
        <v>33.0</v>
      </c>
      <c r="B2002" s="1" t="s">
        <v>819</v>
      </c>
      <c r="C2002" s="1">
        <v>0.0</v>
      </c>
      <c r="D2002" s="1" t="s">
        <v>6</v>
      </c>
      <c r="E2002" s="1"/>
    </row>
    <row r="2003" ht="14.25" customHeight="1">
      <c r="A2003" s="1">
        <v>100.0</v>
      </c>
      <c r="B2003" s="1" t="s">
        <v>819</v>
      </c>
      <c r="C2003" s="1">
        <v>10.0</v>
      </c>
      <c r="D2003" s="1" t="s">
        <v>6</v>
      </c>
      <c r="E2003" s="1"/>
    </row>
    <row r="2004" ht="14.25" customHeight="1">
      <c r="A2004" s="1">
        <v>33.0</v>
      </c>
      <c r="B2004" s="1" t="s">
        <v>819</v>
      </c>
      <c r="C2004" s="1">
        <v>0.0</v>
      </c>
      <c r="D2004" s="1" t="s">
        <v>895</v>
      </c>
      <c r="E2004" s="1" t="str">
        <f>IFERROR(__xludf.DUMMYFUNCTION("GOOGLETRANSLATE(D2004,""PT"",""EN"")"),"Lack of management, qualified for legal clients. At Sicoob Credijur - Agência Santo Ivo")</f>
        <v>Lack of management, qualified for legal clients. At Sicoob Credijur - Agência Santo Ivo</v>
      </c>
    </row>
    <row r="2005" ht="14.25" customHeight="1">
      <c r="A2005" s="1">
        <v>66.0</v>
      </c>
      <c r="B2005" s="1" t="s">
        <v>819</v>
      </c>
      <c r="C2005" s="1">
        <v>8.0</v>
      </c>
      <c r="D2005" s="1" t="s">
        <v>6</v>
      </c>
      <c r="E2005" s="1"/>
    </row>
    <row r="2006" ht="14.25" customHeight="1">
      <c r="A2006" s="1">
        <v>33.0</v>
      </c>
      <c r="B2006" s="1" t="s">
        <v>819</v>
      </c>
      <c r="C2006" s="1">
        <v>0.0</v>
      </c>
      <c r="D2006" s="2" t="s">
        <v>896</v>
      </c>
      <c r="E2006" s="1" t="str">
        <f>IFERROR(__xludf.DUMMYFUNCTION("GOOGLETRANSLATE(D2006,""PT"",""EN"")"),"Nevertheless, there is no credit restriction as well as proving net income of R $ 20,000.00 monthly, I was denied credit desired of R $ 60,000.00. Several times.")</f>
        <v>Nevertheless, there is no credit restriction as well as proving net income of R $ 20,000.00 monthly, I was denied credit desired of R $ 60,000.00. Several times.</v>
      </c>
    </row>
    <row r="2007" ht="14.25" customHeight="1">
      <c r="A2007" s="1">
        <v>33.0</v>
      </c>
      <c r="B2007" s="1" t="s">
        <v>819</v>
      </c>
      <c r="C2007" s="1">
        <v>0.0</v>
      </c>
      <c r="D2007" s="1" t="s">
        <v>6</v>
      </c>
      <c r="E2007" s="1"/>
    </row>
    <row r="2008" ht="14.25" customHeight="1">
      <c r="A2008" s="1">
        <v>100.0</v>
      </c>
      <c r="B2008" s="1" t="s">
        <v>819</v>
      </c>
      <c r="C2008" s="1">
        <v>9.0</v>
      </c>
      <c r="D2008" s="1" t="s">
        <v>6</v>
      </c>
      <c r="E2008" s="1"/>
    </row>
    <row r="2009" ht="14.25" customHeight="1">
      <c r="A2009" s="1">
        <v>100.0</v>
      </c>
      <c r="B2009" s="1" t="s">
        <v>819</v>
      </c>
      <c r="C2009" s="1">
        <v>10.0</v>
      </c>
      <c r="D2009" s="2" t="s">
        <v>897</v>
      </c>
      <c r="E2009" s="1" t="str">
        <f>IFERROR(__xludf.DUMMYFUNCTION("GOOGLETRANSLATE(D2009,""PT"",""EN"")"),"it is very good")</f>
        <v>it is very good</v>
      </c>
    </row>
    <row r="2010" ht="14.25" customHeight="1">
      <c r="A2010" s="1">
        <v>33.0</v>
      </c>
      <c r="B2010" s="1" t="s">
        <v>819</v>
      </c>
      <c r="C2010" s="1">
        <v>0.0</v>
      </c>
      <c r="D2010" s="2" t="s">
        <v>898</v>
      </c>
      <c r="E2010" s="1" t="str">
        <f>IFERROR(__xludf.DUMMYFUNCTION("GOOGLETRANSLATE(D2010,""PT"",""EN"")"),"I do not use the account is still accumulates account maintenance debt. I do not recommend!")</f>
        <v>I do not use the account is still accumulates account maintenance debt. I do not recommend!</v>
      </c>
    </row>
    <row r="2011" ht="14.25" customHeight="1">
      <c r="A2011" s="1">
        <v>33.0</v>
      </c>
      <c r="B2011" s="1" t="s">
        <v>819</v>
      </c>
      <c r="C2011" s="1">
        <v>5.0</v>
      </c>
      <c r="D2011" s="1" t="s">
        <v>899</v>
      </c>
      <c r="E2011" s="1" t="str">
        <f>IFERROR(__xludf.DUMMYFUNCTION("GOOGLETRANSLATE(D2011,""PT"",""EN"")"),"There is high turnover of employees, not to mention the lack of communication of the exchanges, bank is relationship.")</f>
        <v>There is high turnover of employees, not to mention the lack of communication of the exchanges, bank is relationship.</v>
      </c>
    </row>
    <row r="2012" ht="14.25" customHeight="1">
      <c r="A2012" s="1">
        <v>100.0</v>
      </c>
      <c r="B2012" s="1" t="s">
        <v>819</v>
      </c>
      <c r="C2012" s="1">
        <v>9.0</v>
      </c>
      <c r="D2012" s="1" t="s">
        <v>900</v>
      </c>
      <c r="E2012" s="1" t="str">
        <f>IFERROR(__xludf.DUMMYFUNCTION("GOOGLETRANSLATE(D2012,""PT"",""EN"")"),"Very good service!")</f>
        <v>Very good service!</v>
      </c>
    </row>
    <row r="2013" ht="14.25" customHeight="1">
      <c r="A2013" s="1">
        <v>33.0</v>
      </c>
      <c r="B2013" s="1" t="s">
        <v>819</v>
      </c>
      <c r="C2013" s="1">
        <v>0.0</v>
      </c>
      <c r="D2013" s="1" t="s">
        <v>6</v>
      </c>
      <c r="E2013" s="1"/>
    </row>
    <row r="2014" ht="14.25" customHeight="1">
      <c r="A2014" s="1">
        <v>33.0</v>
      </c>
      <c r="B2014" s="1" t="s">
        <v>819</v>
      </c>
      <c r="C2014" s="1">
        <v>0.0</v>
      </c>
      <c r="D2014" s="1" t="s">
        <v>901</v>
      </c>
      <c r="E2014" s="1"/>
    </row>
    <row r="2015" ht="14.25" customHeight="1">
      <c r="A2015" s="1">
        <v>33.0</v>
      </c>
      <c r="B2015" s="1" t="s">
        <v>819</v>
      </c>
      <c r="C2015" s="1">
        <v>3.0</v>
      </c>
      <c r="D2015" s="2" t="s">
        <v>902</v>
      </c>
      <c r="E2015" s="1" t="str">
        <f>IFERROR(__xludf.DUMMYFUNCTION("GOOGLETRANSLATE(D2015,""PT"",""EN"")"),"I did not get a satisfactory service. My account CNPJ I have no limit is or checkbook I can")</f>
        <v>I did not get a satisfactory service. My account CNPJ I have no limit is or checkbook I can</v>
      </c>
    </row>
    <row r="2016" ht="14.25" customHeight="1">
      <c r="A2016" s="1">
        <v>100.0</v>
      </c>
      <c r="B2016" s="1" t="s">
        <v>819</v>
      </c>
      <c r="C2016" s="1">
        <v>9.0</v>
      </c>
      <c r="D2016" s="1" t="s">
        <v>903</v>
      </c>
      <c r="E2016" s="1" t="str">
        <f>IFERROR(__xludf.DUMMYFUNCTION("GOOGLETRANSLATE(D2016,""PT"",""EN"")"),"The note would be 10, but the cooperative's service is desired.")</f>
        <v>The note would be 10, but the cooperative's service is desired.</v>
      </c>
    </row>
    <row r="2017" ht="14.25" customHeight="1">
      <c r="A2017" s="1">
        <v>33.0</v>
      </c>
      <c r="B2017" s="1" t="s">
        <v>819</v>
      </c>
      <c r="C2017" s="1">
        <v>6.0</v>
      </c>
      <c r="D2017" s="1" t="s">
        <v>904</v>
      </c>
      <c r="E2017" s="1" t="str">
        <f>IFERROR(__xludf.DUMMYFUNCTION("GOOGLETRANSLATE(D2017,""PT"",""EN"")"),"a lot of bureaucracy")</f>
        <v>a lot of bureaucracy</v>
      </c>
    </row>
    <row r="2018" ht="14.25" customHeight="1">
      <c r="A2018" s="1">
        <v>33.0</v>
      </c>
      <c r="B2018" s="1" t="s">
        <v>819</v>
      </c>
      <c r="C2018" s="1">
        <v>4.0</v>
      </c>
      <c r="D2018" s="1" t="s">
        <v>718</v>
      </c>
      <c r="E2018" s="1" t="str">
        <f>IFERROR(__xludf.DUMMYFUNCTION("GOOGLETRANSLATE(D2018,""PT"",""EN"")"),"agility")</f>
        <v>agility</v>
      </c>
    </row>
    <row r="2019" ht="14.25" customHeight="1">
      <c r="A2019" s="1">
        <v>100.0</v>
      </c>
      <c r="B2019" s="1" t="s">
        <v>819</v>
      </c>
      <c r="C2019" s="1">
        <v>10.0</v>
      </c>
      <c r="D2019" s="1" t="s">
        <v>905</v>
      </c>
      <c r="E2019" s="1" t="str">
        <f>IFERROR(__xludf.DUMMYFUNCTION("GOOGLETRANSLATE(D2019,""PT"",""EN"")"),"Costs x Benefits")</f>
        <v>Costs x Benefits</v>
      </c>
    </row>
    <row r="2020" ht="14.25" customHeight="1">
      <c r="A2020" s="1">
        <v>100.0</v>
      </c>
      <c r="B2020" s="1" t="s">
        <v>819</v>
      </c>
      <c r="C2020" s="1">
        <v>10.0</v>
      </c>
      <c r="D2020" s="1" t="s">
        <v>6</v>
      </c>
      <c r="E2020" s="1"/>
    </row>
    <row r="2021" ht="14.25" customHeight="1">
      <c r="A2021" s="1">
        <v>100.0</v>
      </c>
      <c r="B2021" s="1" t="s">
        <v>819</v>
      </c>
      <c r="C2021" s="1">
        <v>10.0</v>
      </c>
      <c r="D2021" s="2" t="s">
        <v>906</v>
      </c>
      <c r="E2021" s="1" t="str">
        <f>IFERROR(__xludf.DUMMYFUNCTION("GOOGLETRANSLATE(D2021,""PT"",""EN"")"),"Best bank we have ever worked today!")</f>
        <v>Best bank we have ever worked today!</v>
      </c>
    </row>
    <row r="2022" ht="14.25" customHeight="1">
      <c r="A2022" s="1">
        <v>33.0</v>
      </c>
      <c r="B2022" s="1" t="s">
        <v>819</v>
      </c>
      <c r="C2022" s="1">
        <v>1.0</v>
      </c>
      <c r="D2022" s="2" t="s">
        <v>907</v>
      </c>
      <c r="E2022" s="1" t="str">
        <f>IFERROR(__xludf.DUMMYFUNCTION("GOOGLETRANSLATE(D2022,""PT"",""EN"")"),"Very difficult to get a loan")</f>
        <v>Very difficult to get a loan</v>
      </c>
    </row>
    <row r="2023" ht="14.25" customHeight="1">
      <c r="A2023" s="1">
        <v>100.0</v>
      </c>
      <c r="B2023" s="1" t="s">
        <v>819</v>
      </c>
      <c r="C2023" s="1">
        <v>10.0</v>
      </c>
      <c r="D2023" s="2" t="s">
        <v>908</v>
      </c>
      <c r="E2023" s="1" t="str">
        <f>IFERROR(__xludf.DUMMYFUNCTION("GOOGLETRANSLATE(D2023,""PT"",""EN"")"),"Attention, care is the differentiated treatment of employees.")</f>
        <v>Attention, care is the differentiated treatment of employees.</v>
      </c>
    </row>
    <row r="2024" ht="14.25" customHeight="1">
      <c r="A2024" s="1">
        <v>100.0</v>
      </c>
      <c r="B2024" s="1" t="s">
        <v>819</v>
      </c>
      <c r="C2024" s="1">
        <v>10.0</v>
      </c>
      <c r="D2024" s="2" t="s">
        <v>909</v>
      </c>
      <c r="E2024" s="1" t="str">
        <f>IFERROR(__xludf.DUMMYFUNCTION("GOOGLETRANSLATE(D2024,""PT"",""EN"")"),"Agility is attention with the account holder")</f>
        <v>Agility is attention with the account holder</v>
      </c>
    </row>
    <row r="2025" ht="14.25" customHeight="1">
      <c r="A2025" s="1">
        <v>100.0</v>
      </c>
      <c r="B2025" s="1" t="s">
        <v>819</v>
      </c>
      <c r="C2025" s="1">
        <v>10.0</v>
      </c>
      <c r="D2025" s="2" t="s">
        <v>910</v>
      </c>
      <c r="E2025" s="1" t="str">
        <f>IFERROR(__xludf.DUMMYFUNCTION("GOOGLETRANSLATE(D2025,""PT"",""EN"")"),"Great for")</f>
        <v>Great for</v>
      </c>
    </row>
    <row r="2026" ht="14.25" customHeight="1">
      <c r="A2026" s="1">
        <v>33.0</v>
      </c>
      <c r="B2026" s="1" t="s">
        <v>819</v>
      </c>
      <c r="C2026" s="1">
        <v>5.0</v>
      </c>
      <c r="D2026" s="2" t="s">
        <v>911</v>
      </c>
      <c r="E2026" s="1" t="str">
        <f>IFERROR(__xludf.DUMMYFUNCTION("GOOGLETRANSLATE(D2026,""PT"",""EN"")"),"Price in the service package is to decrease interest on the card machine")</f>
        <v>Price in the service package is to decrease interest on the card machine</v>
      </c>
    </row>
    <row r="2027" ht="14.25" customHeight="1">
      <c r="A2027" s="1">
        <v>100.0</v>
      </c>
      <c r="B2027" s="1" t="s">
        <v>819</v>
      </c>
      <c r="C2027" s="1">
        <v>10.0</v>
      </c>
      <c r="D2027" s="2" t="s">
        <v>912</v>
      </c>
      <c r="E2027" s="1" t="str">
        <f>IFERROR(__xludf.DUMMYFUNCTION("GOOGLETRANSLATE(D2027,""PT"",""EN"")"),"I have found ease in all aspects when dealing with Sicoob/Credijur: Great personal service is by call, the application works perfectly is security in treatment with resources under the confidence of Sicoob/Credijur.")</f>
        <v>I have found ease in all aspects when dealing with Sicoob/Credijur: Great personal service is by call, the application works perfectly is security in treatment with resources under the confidence of Sicoob/Credijur.</v>
      </c>
    </row>
    <row r="2028" ht="14.25" customHeight="1">
      <c r="A2028" s="1">
        <v>66.0</v>
      </c>
      <c r="B2028" s="1" t="s">
        <v>819</v>
      </c>
      <c r="C2028" s="1">
        <v>8.0</v>
      </c>
      <c r="D2028" s="2" t="s">
        <v>913</v>
      </c>
      <c r="E2028" s="1" t="str">
        <f>IFERROR(__xludf.DUMMYFUNCTION("GOOGLETRANSLATE(D2028,""PT"",""EN"")"),"Great service, agile application, but the distant physical bank")</f>
        <v>Great service, agile application, but the distant physical bank</v>
      </c>
    </row>
    <row r="2029" ht="14.25" customHeight="1">
      <c r="A2029" s="1">
        <v>100.0</v>
      </c>
      <c r="B2029" s="1" t="s">
        <v>819</v>
      </c>
      <c r="C2029" s="1">
        <v>10.0</v>
      </c>
      <c r="D2029" s="1" t="s">
        <v>6</v>
      </c>
      <c r="E2029" s="1"/>
    </row>
    <row r="2030" ht="14.25" customHeight="1">
      <c r="A2030" s="1">
        <v>100.0</v>
      </c>
      <c r="B2030" s="1" t="s">
        <v>819</v>
      </c>
      <c r="C2030" s="1">
        <v>10.0</v>
      </c>
      <c r="D2030" s="1" t="s">
        <v>914</v>
      </c>
      <c r="E2030" s="1" t="str">
        <f>IFERROR(__xludf.DUMMYFUNCTION("GOOGLETRANSLATE(D2030,""PT"",""EN"")"),"Everything easy to solve")</f>
        <v>Everything easy to solve</v>
      </c>
    </row>
    <row r="2031" ht="14.25" customHeight="1">
      <c r="A2031" s="1">
        <v>100.0</v>
      </c>
      <c r="B2031" s="1" t="s">
        <v>819</v>
      </c>
      <c r="C2031" s="1">
        <v>9.0</v>
      </c>
      <c r="D2031" s="2" t="s">
        <v>915</v>
      </c>
      <c r="E2031" s="1" t="str">
        <f>IFERROR(__xludf.DUMMYFUNCTION("GOOGLETRANSLATE(D2031,""PT"",""EN"")"),"Great service is supreme the need for the cooperative")</f>
        <v>Great service is supreme the need for the cooperative</v>
      </c>
    </row>
    <row r="2032" ht="14.25" customHeight="1">
      <c r="A2032" s="1">
        <v>100.0</v>
      </c>
      <c r="B2032" s="1" t="s">
        <v>819</v>
      </c>
      <c r="C2032" s="1">
        <v>10.0</v>
      </c>
      <c r="D2032" s="1" t="s">
        <v>6</v>
      </c>
      <c r="E2032" s="1"/>
    </row>
    <row r="2033" ht="14.25" customHeight="1">
      <c r="A2033" s="1">
        <v>100.0</v>
      </c>
      <c r="B2033" s="1" t="s">
        <v>819</v>
      </c>
      <c r="C2033" s="1">
        <v>10.0</v>
      </c>
      <c r="D2033" s="1" t="s">
        <v>916</v>
      </c>
      <c r="E2033" s="1" t="str">
        <f>IFERROR(__xludf.DUMMYFUNCTION("GOOGLETRANSLATE(D2033,""PT"",""EN"")"),"I am very well attended to the bank")</f>
        <v>I am very well attended to the bank</v>
      </c>
    </row>
    <row r="2034" ht="14.25" customHeight="1">
      <c r="A2034" s="1">
        <v>100.0</v>
      </c>
      <c r="B2034" s="1" t="s">
        <v>819</v>
      </c>
      <c r="C2034" s="1">
        <v>10.0</v>
      </c>
      <c r="D2034" s="1" t="s">
        <v>917</v>
      </c>
      <c r="E2034" s="1" t="str">
        <f>IFERROR(__xludf.DUMMYFUNCTION("GOOGLETRANSLATE(D2034,""PT"",""EN"")"),"Service,")</f>
        <v>Service,</v>
      </c>
    </row>
    <row r="2035" ht="14.25" customHeight="1">
      <c r="A2035" s="1">
        <v>33.0</v>
      </c>
      <c r="B2035" s="1" t="s">
        <v>819</v>
      </c>
      <c r="C2035" s="1">
        <v>1.0</v>
      </c>
      <c r="D2035" s="1" t="s">
        <v>6</v>
      </c>
      <c r="E2035" s="1"/>
    </row>
    <row r="2036" ht="14.25" customHeight="1">
      <c r="A2036" s="1">
        <v>100.0</v>
      </c>
      <c r="B2036" s="1" t="s">
        <v>819</v>
      </c>
      <c r="C2036" s="1">
        <v>10.0</v>
      </c>
      <c r="D2036" s="2" t="s">
        <v>918</v>
      </c>
      <c r="E2036" s="1" t="str">
        <f>IFERROR(__xludf.DUMMYFUNCTION("GOOGLETRANSLATE(D2036,""PT"",""EN"")"),"Fast service is commitment to the cooperative")</f>
        <v>Fast service is commitment to the cooperative</v>
      </c>
    </row>
    <row r="2037" ht="14.25" customHeight="1">
      <c r="A2037" s="1">
        <v>100.0</v>
      </c>
      <c r="B2037" s="1" t="s">
        <v>819</v>
      </c>
      <c r="C2037" s="1">
        <v>9.0</v>
      </c>
      <c r="D2037" s="1" t="s">
        <v>6</v>
      </c>
      <c r="E2037" s="1"/>
    </row>
    <row r="2038" ht="14.25" customHeight="1">
      <c r="A2038" s="1">
        <v>33.0</v>
      </c>
      <c r="B2038" s="1" t="s">
        <v>819</v>
      </c>
      <c r="C2038" s="1">
        <v>1.0</v>
      </c>
      <c r="D2038" s="2" t="s">
        <v>919</v>
      </c>
      <c r="E2038" s="1" t="str">
        <f>IFERROR(__xludf.DUMMYFUNCTION("GOOGLETRANSLATE(D2038,""PT"",""EN"")"),"Lack of information from the service team. I already have an account, my wife too. I tried to turn mine into a joint account is the bank was extremely inefficient is ineffective, lacking basic information. Not to mention that it took more than 6 months to"&amp;" tell me the correct procedure until I gave up.")</f>
        <v>Lack of information from the service team. I already have an account, my wife too. I tried to turn mine into a joint account is the bank was extremely inefficient is ineffective, lacking basic information. Not to mention that it took more than 6 months to tell me the correct procedure until I gave up.</v>
      </c>
    </row>
    <row r="2039" ht="14.25" customHeight="1">
      <c r="A2039" s="1">
        <v>100.0</v>
      </c>
      <c r="B2039" s="1" t="s">
        <v>819</v>
      </c>
      <c r="C2039" s="1">
        <v>10.0</v>
      </c>
      <c r="D2039" s="2" t="s">
        <v>920</v>
      </c>
      <c r="E2039" s="1" t="str">
        <f>IFERROR(__xludf.DUMMYFUNCTION("GOOGLETRANSLATE(D2039,""PT"",""EN"")"),"I was always well attended to my problems, great collaborators !!")</f>
        <v>I was always well attended to my problems, great collaborators !!</v>
      </c>
    </row>
    <row r="2040" ht="14.25" customHeight="1">
      <c r="A2040" s="1">
        <v>100.0</v>
      </c>
      <c r="B2040" s="1" t="s">
        <v>819</v>
      </c>
      <c r="C2040" s="1">
        <v>10.0</v>
      </c>
      <c r="D2040" s="1" t="s">
        <v>6</v>
      </c>
      <c r="E2040" s="1"/>
    </row>
    <row r="2041" ht="14.25" customHeight="1">
      <c r="A2041" s="1">
        <v>33.0</v>
      </c>
      <c r="B2041" s="1" t="s">
        <v>819</v>
      </c>
      <c r="C2041" s="1">
        <v>1.0</v>
      </c>
      <c r="D2041" s="2" t="s">
        <v>921</v>
      </c>
      <c r="E2041" s="1" t="str">
        <f>IFERROR(__xludf.DUMMYFUNCTION("GOOGLETRANSLATE(D2041,""PT"",""EN"")"),"I canceled my credit card is yet to debit spending on my social security number. My name is restricted unfairly. So I do not recommend")</f>
        <v>I canceled my credit card is yet to debit spending on my social security number. My name is restricted unfairly. So I do not recommend</v>
      </c>
    </row>
    <row r="2042" ht="14.25" customHeight="1">
      <c r="A2042" s="1">
        <v>100.0</v>
      </c>
      <c r="B2042" s="1" t="s">
        <v>819</v>
      </c>
      <c r="C2042" s="1">
        <v>10.0</v>
      </c>
      <c r="D2042" s="1" t="s">
        <v>922</v>
      </c>
      <c r="E2042" s="1" t="str">
        <f>IFERROR(__xludf.DUMMYFUNCTION("GOOGLETRANSLATE(D2042,""PT"",""EN"")"),"Services provided")</f>
        <v>Services provided</v>
      </c>
    </row>
    <row r="2043" ht="14.25" customHeight="1">
      <c r="A2043" s="1">
        <v>100.0</v>
      </c>
      <c r="B2043" s="1" t="s">
        <v>819</v>
      </c>
      <c r="C2043" s="1">
        <v>10.0</v>
      </c>
      <c r="D2043" s="2" t="s">
        <v>923</v>
      </c>
      <c r="E2043" s="1" t="str">
        <f>IFERROR(__xludf.DUMMYFUNCTION("GOOGLETRANSLATE(D2043,""PT"",""EN"")"),"Excellence in face -to -face service is a great app.")</f>
        <v>Excellence in face -to -face service is a great app.</v>
      </c>
    </row>
    <row r="2044" ht="14.25" customHeight="1">
      <c r="A2044" s="1">
        <v>100.0</v>
      </c>
      <c r="B2044" s="1" t="s">
        <v>819</v>
      </c>
      <c r="C2044" s="1">
        <v>10.0</v>
      </c>
      <c r="D2044" s="2" t="s">
        <v>924</v>
      </c>
      <c r="E2044" s="1" t="str">
        <f>IFERROR(__xludf.DUMMYFUNCTION("GOOGLETRANSLATE(D2044,""PT"",""EN"")"),"Attentive staff is kind with quick services")</f>
        <v>Attentive staff is kind with quick services</v>
      </c>
    </row>
    <row r="2045" ht="14.25" customHeight="1">
      <c r="A2045" s="1">
        <v>33.0</v>
      </c>
      <c r="B2045" s="1" t="s">
        <v>819</v>
      </c>
      <c r="C2045" s="1">
        <v>2.0</v>
      </c>
      <c r="D2045" s="2" t="s">
        <v>925</v>
      </c>
      <c r="E2045" s="1" t="str">
        <f>IFERROR(__xludf.DUMMYFUNCTION("GOOGLETRANSLATE(D2045,""PT"",""EN"")"),"Not what I imagined")</f>
        <v>Not what I imagined</v>
      </c>
    </row>
    <row r="2046" ht="14.25" customHeight="1">
      <c r="A2046" s="1">
        <v>33.0</v>
      </c>
      <c r="B2046" s="1" t="s">
        <v>819</v>
      </c>
      <c r="C2046" s="1">
        <v>4.0</v>
      </c>
      <c r="D2046" s="2" t="s">
        <v>926</v>
      </c>
      <c r="E2046" s="1" t="str">
        <f>IFERROR(__xludf.DUMMYFUNCTION("GOOGLETRANSLATE(D2046,""PT"",""EN"")"),"Not what I imagined about Sicoob")</f>
        <v>Not what I imagined about Sicoob</v>
      </c>
    </row>
    <row r="2047" ht="14.25" customHeight="1">
      <c r="A2047" s="1">
        <v>33.0</v>
      </c>
      <c r="B2047" s="1" t="s">
        <v>819</v>
      </c>
      <c r="C2047" s="1">
        <v>3.0</v>
      </c>
      <c r="D2047" s="1" t="s">
        <v>6</v>
      </c>
      <c r="E2047" s="1"/>
    </row>
    <row r="2048" ht="14.25" customHeight="1">
      <c r="A2048" s="1">
        <v>100.0</v>
      </c>
      <c r="B2048" s="1" t="s">
        <v>819</v>
      </c>
      <c r="C2048" s="1">
        <v>10.0</v>
      </c>
      <c r="D2048" s="1" t="s">
        <v>87</v>
      </c>
      <c r="E2048" s="1" t="str">
        <f>IFERROR(__xludf.DUMMYFUNCTION("GOOGLETRANSLATE(D2048,""PT"",""EN"")"),"Personalized service")</f>
        <v>Personalized service</v>
      </c>
    </row>
    <row r="2049" ht="14.25" customHeight="1">
      <c r="A2049" s="1">
        <v>66.0</v>
      </c>
      <c r="B2049" s="1" t="s">
        <v>819</v>
      </c>
      <c r="C2049" s="1">
        <v>7.0</v>
      </c>
      <c r="D2049" s="1" t="s">
        <v>6</v>
      </c>
      <c r="E2049" s="1"/>
    </row>
    <row r="2050" ht="14.25" customHeight="1">
      <c r="A2050" s="1">
        <v>100.0</v>
      </c>
      <c r="B2050" s="1" t="s">
        <v>819</v>
      </c>
      <c r="C2050" s="1">
        <v>10.0</v>
      </c>
      <c r="D2050" s="1" t="s">
        <v>626</v>
      </c>
      <c r="E2050" s="1" t="str">
        <f>IFERROR(__xludf.DUMMYFUNCTION("GOOGLETRANSLATE(D2050,""PT"",""EN"")"),"Great service.")</f>
        <v>Great service.</v>
      </c>
    </row>
    <row r="2051" ht="14.25" customHeight="1">
      <c r="A2051" s="1">
        <v>100.0</v>
      </c>
      <c r="B2051" s="1" t="s">
        <v>819</v>
      </c>
      <c r="C2051" s="1">
        <v>10.0</v>
      </c>
      <c r="D2051" s="1" t="s">
        <v>6</v>
      </c>
      <c r="E2051" s="1"/>
    </row>
    <row r="2052" ht="14.25" customHeight="1">
      <c r="A2052" s="1">
        <v>33.0</v>
      </c>
      <c r="B2052" s="1" t="s">
        <v>819</v>
      </c>
      <c r="C2052" s="1">
        <v>5.0</v>
      </c>
      <c r="D2052" s="1" t="s">
        <v>6</v>
      </c>
      <c r="E2052" s="1"/>
    </row>
    <row r="2053" ht="14.25" customHeight="1">
      <c r="A2053" s="1">
        <v>100.0</v>
      </c>
      <c r="B2053" s="1" t="s">
        <v>819</v>
      </c>
      <c r="C2053" s="1">
        <v>10.0</v>
      </c>
      <c r="D2053" s="1" t="s">
        <v>6</v>
      </c>
      <c r="E2053" s="1"/>
    </row>
    <row r="2054" ht="14.25" customHeight="1">
      <c r="A2054" s="1">
        <v>100.0</v>
      </c>
      <c r="B2054" s="1" t="s">
        <v>819</v>
      </c>
      <c r="C2054" s="1">
        <v>9.0</v>
      </c>
      <c r="D2054" s="1" t="s">
        <v>604</v>
      </c>
      <c r="E2054" s="1" t="str">
        <f>IFERROR(__xludf.DUMMYFUNCTION("GOOGLETRANSLATE(D2054,""PT"",""EN"")"),"Special service")</f>
        <v>Special service</v>
      </c>
    </row>
    <row r="2055" ht="14.25" customHeight="1">
      <c r="A2055" s="1">
        <v>100.0</v>
      </c>
      <c r="B2055" s="1" t="s">
        <v>819</v>
      </c>
      <c r="C2055" s="1">
        <v>10.0</v>
      </c>
      <c r="D2055" s="1" t="s">
        <v>37</v>
      </c>
      <c r="E2055" s="1" t="str">
        <f>IFERROR(__xludf.DUMMYFUNCTION("GOOGLETRANSLATE(D2055,""PT"",""EN"")"),"Great service")</f>
        <v>Great service</v>
      </c>
    </row>
    <row r="2056" ht="14.25" customHeight="1">
      <c r="A2056" s="1">
        <v>66.0</v>
      </c>
      <c r="B2056" s="1" t="s">
        <v>819</v>
      </c>
      <c r="C2056" s="1">
        <v>7.0</v>
      </c>
      <c r="D2056" s="1" t="s">
        <v>6</v>
      </c>
      <c r="E2056" s="1"/>
    </row>
    <row r="2057" ht="14.25" customHeight="1">
      <c r="A2057" s="1">
        <v>100.0</v>
      </c>
      <c r="B2057" s="1" t="s">
        <v>819</v>
      </c>
      <c r="C2057" s="1">
        <v>9.0</v>
      </c>
      <c r="D2057" s="2" t="s">
        <v>927</v>
      </c>
      <c r="E2057" s="1" t="str">
        <f>IFERROR(__xludf.DUMMYFUNCTION("GOOGLETRANSLATE(D2057,""PT"",""EN"")"),"Great service, committed management.")</f>
        <v>Great service, committed management.</v>
      </c>
    </row>
    <row r="2058" ht="14.25" customHeight="1">
      <c r="A2058" s="1">
        <v>33.0</v>
      </c>
      <c r="B2058" s="1" t="s">
        <v>819</v>
      </c>
      <c r="C2058" s="1">
        <v>6.0</v>
      </c>
      <c r="D2058" s="2" t="s">
        <v>928</v>
      </c>
      <c r="E2058" s="1" t="str">
        <f>IFERROR(__xludf.DUMMYFUNCTION("GOOGLETRANSLATE(D2058,""PT"",""EN"")"),"Structure, quality service, but it is very difficult to access business lines.")</f>
        <v>Structure, quality service, but it is very difficult to access business lines.</v>
      </c>
    </row>
    <row r="2059" ht="14.25" customHeight="1">
      <c r="A2059" s="1">
        <v>100.0</v>
      </c>
      <c r="B2059" s="1" t="s">
        <v>819</v>
      </c>
      <c r="C2059" s="1">
        <v>10.0</v>
      </c>
      <c r="D2059" s="1" t="s">
        <v>87</v>
      </c>
      <c r="E2059" s="1" t="str">
        <f>IFERROR(__xludf.DUMMYFUNCTION("GOOGLETRANSLATE(D2059,""PT"",""EN"")"),"Personalized service")</f>
        <v>Personalized service</v>
      </c>
    </row>
    <row r="2060" ht="14.25" customHeight="1">
      <c r="A2060" s="1">
        <v>33.0</v>
      </c>
      <c r="B2060" s="1" t="s">
        <v>819</v>
      </c>
      <c r="C2060" s="1">
        <v>6.0</v>
      </c>
      <c r="D2060" s="1" t="s">
        <v>6</v>
      </c>
      <c r="E2060" s="1"/>
    </row>
    <row r="2061" ht="14.25" customHeight="1">
      <c r="A2061" s="1">
        <v>100.0</v>
      </c>
      <c r="B2061" s="1" t="s">
        <v>819</v>
      </c>
      <c r="C2061" s="1">
        <v>10.0</v>
      </c>
      <c r="D2061" s="1" t="s">
        <v>6</v>
      </c>
      <c r="E2061" s="1"/>
    </row>
    <row r="2062" ht="14.25" customHeight="1">
      <c r="A2062" s="1">
        <v>33.0</v>
      </c>
      <c r="B2062" s="1" t="s">
        <v>819</v>
      </c>
      <c r="C2062" s="1">
        <v>0.0</v>
      </c>
      <c r="D2062" s="1" t="s">
        <v>6</v>
      </c>
      <c r="E2062" s="1"/>
    </row>
    <row r="2063" ht="14.25" customHeight="1">
      <c r="A2063" s="1">
        <v>100.0</v>
      </c>
      <c r="B2063" s="1" t="s">
        <v>819</v>
      </c>
      <c r="C2063" s="1">
        <v>10.0</v>
      </c>
      <c r="D2063" s="1" t="s">
        <v>6</v>
      </c>
      <c r="E2063" s="1"/>
    </row>
    <row r="2064" ht="14.25" customHeight="1">
      <c r="A2064" s="1">
        <v>66.0</v>
      </c>
      <c r="B2064" s="1" t="s">
        <v>819</v>
      </c>
      <c r="C2064" s="1">
        <v>7.0</v>
      </c>
      <c r="D2064" s="1" t="s">
        <v>6</v>
      </c>
      <c r="E2064" s="1"/>
    </row>
    <row r="2065" ht="14.25" customHeight="1">
      <c r="A2065" s="1">
        <v>33.0</v>
      </c>
      <c r="B2065" s="1" t="s">
        <v>819</v>
      </c>
      <c r="C2065" s="1">
        <v>6.0</v>
      </c>
      <c r="D2065" s="2" t="s">
        <v>929</v>
      </c>
      <c r="E2065" s="1" t="str">
        <f>IFERROR(__xludf.DUMMYFUNCTION("GOOGLETRANSLATE(D2065,""PT"",""EN"")"),"Management service has worsened a lot in recent years")</f>
        <v>Management service has worsened a lot in recent years</v>
      </c>
    </row>
    <row r="2066" ht="14.25" customHeight="1">
      <c r="A2066" s="1">
        <v>66.0</v>
      </c>
      <c r="B2066" s="1" t="s">
        <v>819</v>
      </c>
      <c r="C2066" s="1">
        <v>7.0</v>
      </c>
      <c r="D2066" s="2" t="s">
        <v>930</v>
      </c>
      <c r="E2066" s="1" t="str">
        <f>IFERROR(__xludf.DUMMYFUNCTION("GOOGLETRANSLATE(D2066,""PT"",""EN"")"),"It could be better if they accepted a foreign number in the app, for those who live outside, can not change anything in the app")</f>
        <v>It could be better if they accepted a foreign number in the app, for those who live outside, can not change anything in the app</v>
      </c>
    </row>
    <row r="2067" ht="14.25" customHeight="1">
      <c r="A2067" s="1">
        <v>33.0</v>
      </c>
      <c r="B2067" s="1" t="s">
        <v>819</v>
      </c>
      <c r="C2067" s="1">
        <v>5.0</v>
      </c>
      <c r="D2067" s="2" t="s">
        <v>931</v>
      </c>
      <c r="E2067" s="1" t="str">
        <f>IFERROR(__xludf.DUMMYFUNCTION("GOOGLETRANSLATE(D2067,""PT"",""EN"")"),"It's a bank with .. with better rates than others .. but credit line is difficult is remote care is difficult ... If you want to solve something you have to waste time is going to the agency. I'm 5 months trying to update the corporate name is I can't ..."&amp;" I will have to go there to solve a simple situation.")</f>
        <v>It's a bank with .. with better rates than others .. but credit line is difficult is remote care is difficult ... If you want to solve something you have to waste time is going to the agency. I'm 5 months trying to update the corporate name is I can't ... I will have to go there to solve a simple situation.</v>
      </c>
    </row>
    <row r="2068" ht="14.25" customHeight="1">
      <c r="A2068" s="1">
        <v>33.0</v>
      </c>
      <c r="B2068" s="1" t="s">
        <v>819</v>
      </c>
      <c r="C2068" s="1">
        <v>0.0</v>
      </c>
      <c r="D2068" s="1" t="s">
        <v>6</v>
      </c>
      <c r="E2068" s="1"/>
    </row>
    <row r="2069" ht="14.25" customHeight="1">
      <c r="A2069" s="1">
        <v>100.0</v>
      </c>
      <c r="B2069" s="1" t="s">
        <v>819</v>
      </c>
      <c r="C2069" s="1">
        <v>10.0</v>
      </c>
      <c r="D2069" s="1" t="s">
        <v>6</v>
      </c>
      <c r="E2069" s="1"/>
    </row>
    <row r="2070" ht="14.25" customHeight="1">
      <c r="A2070" s="1">
        <v>33.0</v>
      </c>
      <c r="B2070" s="1" t="s">
        <v>819</v>
      </c>
      <c r="C2070" s="1">
        <v>0.0</v>
      </c>
      <c r="D2070" s="2" t="s">
        <v>932</v>
      </c>
      <c r="E2070" s="1" t="str">
        <f>IFERROR(__xludf.DUMMYFUNCTION("GOOGLETRANSLATE(D2070,""PT"",""EN"")"),"Would not indicate for niguem")</f>
        <v>Would not indicate for niguem</v>
      </c>
    </row>
    <row r="2071" ht="14.25" customHeight="1">
      <c r="A2071" s="1">
        <v>100.0</v>
      </c>
      <c r="B2071" s="1" t="s">
        <v>819</v>
      </c>
      <c r="C2071" s="1">
        <v>10.0</v>
      </c>
      <c r="D2071" s="1" t="s">
        <v>9</v>
      </c>
      <c r="E2071" s="1" t="str">
        <f>IFERROR(__xludf.DUMMYFUNCTION("GOOGLETRANSLATE(D2071,""PT"",""EN"")"),"10")</f>
        <v>10</v>
      </c>
    </row>
    <row r="2072" ht="14.25" customHeight="1">
      <c r="A2072" s="1">
        <v>100.0</v>
      </c>
      <c r="B2072" s="1" t="s">
        <v>819</v>
      </c>
      <c r="C2072" s="1">
        <v>10.0</v>
      </c>
      <c r="D2072" s="2" t="s">
        <v>933</v>
      </c>
      <c r="E2072" s="1" t="str">
        <f>IFERROR(__xludf.DUMMYFUNCTION("GOOGLETRANSLATE(D2072,""PT"",""EN"")"),"Cooperative Sicoob is a different bank, seems to be close to the customer, has no freshness with time, the customer has autonomy feels comfortable. In addition to having better overdraft rates is others. This makes the difference.")</f>
        <v>Cooperative Sicoob is a different bank, seems to be close to the customer, has no freshness with time, the customer has autonomy feels comfortable. In addition to having better overdraft rates is others. This makes the difference.</v>
      </c>
    </row>
    <row r="2073" ht="14.25" customHeight="1">
      <c r="A2073" s="1">
        <v>100.0</v>
      </c>
      <c r="B2073" s="1" t="s">
        <v>819</v>
      </c>
      <c r="C2073" s="1">
        <v>10.0</v>
      </c>
      <c r="D2073" s="1" t="s">
        <v>6</v>
      </c>
      <c r="E2073" s="1"/>
    </row>
    <row r="2074" ht="14.25" customHeight="1">
      <c r="A2074" s="1">
        <v>100.0</v>
      </c>
      <c r="B2074" s="1" t="s">
        <v>819</v>
      </c>
      <c r="C2074" s="1">
        <v>10.0</v>
      </c>
      <c r="D2074" s="1" t="s">
        <v>6</v>
      </c>
      <c r="E2074" s="1"/>
    </row>
    <row r="2075" ht="14.25" customHeight="1">
      <c r="A2075" s="1">
        <v>66.0</v>
      </c>
      <c r="B2075" s="1" t="s">
        <v>819</v>
      </c>
      <c r="C2075" s="1">
        <v>8.0</v>
      </c>
      <c r="D2075" s="1" t="s">
        <v>934</v>
      </c>
      <c r="E2075" s="1" t="str">
        <f>IFERROR(__xludf.DUMMYFUNCTION("GOOGLETRANSLATE(D2075,""PT"",""EN"")"),"Differentiated personal service")</f>
        <v>Differentiated personal service</v>
      </c>
    </row>
    <row r="2076" ht="14.25" customHeight="1">
      <c r="A2076" s="1">
        <v>100.0</v>
      </c>
      <c r="B2076" s="1" t="s">
        <v>819</v>
      </c>
      <c r="C2076" s="1">
        <v>10.0</v>
      </c>
      <c r="D2076" s="2" t="s">
        <v>935</v>
      </c>
      <c r="E2076" s="1" t="str">
        <f>IFERROR(__xludf.DUMMYFUNCTION("GOOGLETRANSLATE(D2076,""PT"",""EN"")"),"Sicoob is amazing ...")</f>
        <v>Sicoob is amazing ...</v>
      </c>
    </row>
    <row r="2077" ht="14.25" customHeight="1">
      <c r="A2077" s="1">
        <v>100.0</v>
      </c>
      <c r="B2077" s="1" t="s">
        <v>819</v>
      </c>
      <c r="C2077" s="1">
        <v>10.0</v>
      </c>
      <c r="D2077" s="1" t="s">
        <v>85</v>
      </c>
      <c r="E2077" s="1" t="str">
        <f>IFERROR(__xludf.DUMMYFUNCTION("GOOGLETRANSLATE(D2077,""PT"",""EN"")"),"Service")</f>
        <v>Service</v>
      </c>
    </row>
    <row r="2078" ht="14.25" customHeight="1">
      <c r="A2078" s="1">
        <v>100.0</v>
      </c>
      <c r="B2078" s="1" t="s">
        <v>819</v>
      </c>
      <c r="C2078" s="1">
        <v>9.0</v>
      </c>
      <c r="D2078" s="1" t="s">
        <v>6</v>
      </c>
      <c r="E2078" s="1"/>
    </row>
    <row r="2079" ht="14.25" customHeight="1">
      <c r="A2079" s="1">
        <v>66.0</v>
      </c>
      <c r="B2079" s="1" t="s">
        <v>819</v>
      </c>
      <c r="C2079" s="1">
        <v>8.0</v>
      </c>
      <c r="D2079" s="1" t="s">
        <v>6</v>
      </c>
      <c r="E2079" s="1"/>
    </row>
    <row r="2080" ht="14.25" customHeight="1">
      <c r="A2080" s="1">
        <v>33.0</v>
      </c>
      <c r="B2080" s="1" t="s">
        <v>819</v>
      </c>
      <c r="C2080" s="1">
        <v>6.0</v>
      </c>
      <c r="D2080" s="2" t="s">
        <v>936</v>
      </c>
      <c r="E2080" s="1" t="str">
        <f>IFERROR(__xludf.DUMMYFUNCTION("GOOGLETRANSLATE(D2080,""PT"",""EN"")"),"Lack of market technology monitoring, example: use of credit/debit cards in digital wallets, the main Apple Pay. It is unnecessary bureaucracy these days in various options that competitors digitally make available, such as various investment options. In "&amp;"addition to the smartphone application to have a very bad usability, slow is often unavailability. Due to all these negative points related to daily digital use of Sicoob products, I am transferring my movement is products, both individual and legal to an"&amp;"other bank. It is commendable the initiative of cooperative banks, really proximity to managers are very positive points, but when there is a removal of bureaucracies for digital media, especially with a considerable increase in the agility of relatively "&amp;"routine referrals, the need for contacts with People become irrelevant. In this same context, we can say that the need to be in person in my agency to enable operations via mobile application, and there are numerous safe technological alternatives for thi"&amp;"s task, demonstrates how outdated this model is.")</f>
        <v>Lack of market technology monitoring, example: use of credit/debit cards in digital wallets, the main Apple Pay. It is unnecessary bureaucracy these days in various options that competitors digitally make available, such as various investment options. In addition to the smartphone application to have a very bad usability, slow is often unavailability. Due to all these negative points related to daily digital use of Sicoob products, I am transferring my movement is products, both individual and legal to another bank. It is commendable the initiative of cooperative banks, really proximity to managers are very positive points, but when there is a removal of bureaucracies for digital media, especially with a considerable increase in the agility of relatively routine referrals, the need for contacts with People become irrelevant. In this same context, we can say that the need to be in person in my agency to enable operations via mobile application, and there are numerous safe technological alternatives for this task, demonstrates how outdated this model is.</v>
      </c>
    </row>
    <row r="2081" ht="14.25" customHeight="1">
      <c r="A2081" s="1">
        <v>33.0</v>
      </c>
      <c r="B2081" s="1" t="s">
        <v>819</v>
      </c>
      <c r="C2081" s="1">
        <v>3.0</v>
      </c>
      <c r="D2081" s="2" t="s">
        <v>937</v>
      </c>
      <c r="E2081" s="1" t="str">
        <f>IFERROR(__xludf.DUMMYFUNCTION("GOOGLETRANSLATE(D2081,""PT"",""EN"")"),"Every time changes the account manager is always difficult to have contact with them.")</f>
        <v>Every time changes the account manager is always difficult to have contact with them.</v>
      </c>
    </row>
    <row r="2082" ht="14.25" customHeight="1">
      <c r="A2082" s="1">
        <v>100.0</v>
      </c>
      <c r="B2082" s="1" t="s">
        <v>819</v>
      </c>
      <c r="C2082" s="1">
        <v>10.0</v>
      </c>
      <c r="D2082" s="2" t="s">
        <v>938</v>
      </c>
      <c r="E2082" s="1" t="str">
        <f>IFERROR(__xludf.DUMMYFUNCTION("GOOGLETRANSLATE(D2082,""PT"",""EN"")"),"Good rates. Good credit. Agencies with good service is without queues. This is the main beyond the great rates.")</f>
        <v>Good rates. Good credit. Agencies with good service is without queues. This is the main beyond the great rates.</v>
      </c>
    </row>
    <row r="2083" ht="14.25" customHeight="1">
      <c r="A2083" s="1">
        <v>100.0</v>
      </c>
      <c r="B2083" s="1" t="s">
        <v>819</v>
      </c>
      <c r="C2083" s="1">
        <v>10.0</v>
      </c>
      <c r="D2083" s="1" t="s">
        <v>939</v>
      </c>
      <c r="E2083" s="1" t="str">
        <f>IFERROR(__xludf.DUMMYFUNCTION("GOOGLETRANSLATE(D2083,""PT"",""EN"")"),"Full bank")</f>
        <v>Full bank</v>
      </c>
    </row>
    <row r="2084" ht="14.25" customHeight="1">
      <c r="A2084" s="1">
        <v>100.0</v>
      </c>
      <c r="B2084" s="1" t="s">
        <v>819</v>
      </c>
      <c r="C2084" s="1">
        <v>9.0</v>
      </c>
      <c r="D2084" s="1" t="s">
        <v>6</v>
      </c>
      <c r="E2084" s="1"/>
    </row>
    <row r="2085" ht="14.25" customHeight="1">
      <c r="A2085" s="1">
        <v>100.0</v>
      </c>
      <c r="B2085" s="1" t="s">
        <v>819</v>
      </c>
      <c r="C2085" s="1">
        <v>10.0</v>
      </c>
      <c r="D2085" s="1" t="s">
        <v>940</v>
      </c>
      <c r="E2085" s="1" t="str">
        <f>IFERROR(__xludf.DUMMYFUNCTION("GOOGLETRANSLATE(D2085,""PT"",""EN"")"),"Sensational bank without words")</f>
        <v>Sensational bank without words</v>
      </c>
    </row>
    <row r="2086" ht="14.25" customHeight="1">
      <c r="A2086" s="1">
        <v>100.0</v>
      </c>
      <c r="B2086" s="1" t="s">
        <v>819</v>
      </c>
      <c r="C2086" s="1">
        <v>10.0</v>
      </c>
      <c r="D2086" s="1" t="s">
        <v>342</v>
      </c>
      <c r="E2086" s="1" t="str">
        <f>IFERROR(__xludf.DUMMYFUNCTION("GOOGLETRANSLATE(D2086,""PT"",""EN"")"),"Perfect service")</f>
        <v>Perfect service</v>
      </c>
    </row>
    <row r="2087" ht="14.25" customHeight="1">
      <c r="A2087" s="1">
        <v>100.0</v>
      </c>
      <c r="B2087" s="1" t="s">
        <v>819</v>
      </c>
      <c r="C2087" s="1">
        <v>9.0</v>
      </c>
      <c r="D2087" s="2" t="s">
        <v>941</v>
      </c>
      <c r="E2087" s="1" t="str">
        <f>IFERROR(__xludf.DUMMYFUNCTION("GOOGLETRANSLATE(D2087,""PT"",""EN"")"),"I just didn't give grade 10 because I am trying to open the app since Thursday to do pix is ​​not open for anything.")</f>
        <v>I just didn't give grade 10 because I am trying to open the app since Thursday to do pix is ​​not open for anything.</v>
      </c>
    </row>
    <row r="2088" ht="14.25" customHeight="1">
      <c r="A2088" s="1">
        <v>66.0</v>
      </c>
      <c r="B2088" s="1" t="s">
        <v>819</v>
      </c>
      <c r="C2088" s="1">
        <v>8.0</v>
      </c>
      <c r="D2088" s="2" t="s">
        <v>942</v>
      </c>
      <c r="E2088" s="1" t="str">
        <f>IFERROR(__xludf.DUMMYFUNCTION("GOOGLETRANSLATE(D2088,""PT"",""EN"")"),"The manager does not want or has no discretion to serve the customer in what exceeds what he says, determined by the bank.")</f>
        <v>The manager does not want or has no discretion to serve the customer in what exceeds what he says, determined by the bank.</v>
      </c>
    </row>
    <row r="2089" ht="14.25" customHeight="1">
      <c r="A2089" s="1">
        <v>100.0</v>
      </c>
      <c r="B2089" s="1" t="s">
        <v>819</v>
      </c>
      <c r="C2089" s="1">
        <v>10.0</v>
      </c>
      <c r="D2089" s="1" t="s">
        <v>6</v>
      </c>
      <c r="E2089" s="1"/>
    </row>
    <row r="2090" ht="14.25" customHeight="1">
      <c r="A2090" s="1">
        <v>100.0</v>
      </c>
      <c r="B2090" s="1" t="s">
        <v>819</v>
      </c>
      <c r="C2090" s="1">
        <v>9.0</v>
      </c>
      <c r="D2090" s="1" t="s">
        <v>6</v>
      </c>
      <c r="E2090" s="1"/>
    </row>
    <row r="2091" ht="14.25" customHeight="1">
      <c r="A2091" s="1">
        <v>100.0</v>
      </c>
      <c r="B2091" s="1" t="s">
        <v>819</v>
      </c>
      <c r="C2091" s="1">
        <v>10.0</v>
      </c>
      <c r="D2091" s="1" t="s">
        <v>6</v>
      </c>
      <c r="E2091" s="1"/>
    </row>
    <row r="2092" ht="14.25" customHeight="1">
      <c r="A2092" s="1">
        <v>66.0</v>
      </c>
      <c r="B2092" s="1" t="s">
        <v>819</v>
      </c>
      <c r="C2092" s="1">
        <v>8.0</v>
      </c>
      <c r="D2092" s="1" t="s">
        <v>6</v>
      </c>
      <c r="E2092" s="1"/>
    </row>
    <row r="2093" ht="14.25" customHeight="1">
      <c r="A2093" s="1">
        <v>33.0</v>
      </c>
      <c r="B2093" s="1" t="s">
        <v>819</v>
      </c>
      <c r="C2093" s="1">
        <v>2.0</v>
      </c>
      <c r="D2093" s="2" t="s">
        <v>943</v>
      </c>
      <c r="E2093" s="1" t="str">
        <f>IFERROR(__xludf.DUMMYFUNCTION("GOOGLETRANSLATE(D2093,""PT"",""EN"")"),"Sicoob became a commercial bank, like any other, no longer has the differential it had before. Today the customer is just non -serum. In addition to this has no credit lines suitable for my needs is requires the same bureaucracy as commercial banks.")</f>
        <v>Sicoob became a commercial bank, like any other, no longer has the differential it had before. Today the customer is just non -serum. In addition to this has no credit lines suitable for my needs is requires the same bureaucracy as commercial banks.</v>
      </c>
    </row>
    <row r="2094" ht="14.25" customHeight="1">
      <c r="A2094" s="1">
        <v>33.0</v>
      </c>
      <c r="B2094" s="1" t="s">
        <v>819</v>
      </c>
      <c r="C2094" s="1">
        <v>2.0</v>
      </c>
      <c r="D2094" s="2" t="s">
        <v>423</v>
      </c>
      <c r="E2094" s="1" t="str">
        <f>IFERROR(__xludf.DUMMYFUNCTION("GOOGLETRANSLATE(D2094,""PT"",""EN"")"),"terrible")</f>
        <v>terrible</v>
      </c>
    </row>
    <row r="2095" ht="14.25" customHeight="1">
      <c r="A2095" s="1">
        <v>66.0</v>
      </c>
      <c r="B2095" s="1" t="s">
        <v>819</v>
      </c>
      <c r="C2095" s="1">
        <v>8.0</v>
      </c>
      <c r="D2095" s="2" t="s">
        <v>944</v>
      </c>
      <c r="E2095" s="1" t="str">
        <f>IFERROR(__xludf.DUMMYFUNCTION("GOOGLETRANSLATE(D2095,""PT"",""EN"")"),"Some services are still inefficient, such as interest rates in relation to the financial institutions of Paragraphs, but would not exchange Sicoob for a private bank.")</f>
        <v>Some services are still inefficient, such as interest rates in relation to the financial institutions of Paragraphs, but would not exchange Sicoob for a private bank.</v>
      </c>
    </row>
    <row r="2096" ht="14.25" customHeight="1">
      <c r="A2096" s="1">
        <v>100.0</v>
      </c>
      <c r="B2096" s="1" t="s">
        <v>819</v>
      </c>
      <c r="C2096" s="1">
        <v>10.0</v>
      </c>
      <c r="D2096" s="1" t="s">
        <v>6</v>
      </c>
      <c r="E2096" s="1"/>
    </row>
    <row r="2097" ht="14.25" customHeight="1">
      <c r="A2097" s="1">
        <v>100.0</v>
      </c>
      <c r="B2097" s="1" t="s">
        <v>819</v>
      </c>
      <c r="C2097" s="1">
        <v>10.0</v>
      </c>
      <c r="D2097" s="2" t="s">
        <v>945</v>
      </c>
      <c r="E2097" s="1" t="str">
        <f>IFERROR(__xludf.DUMMYFUNCTION("GOOGLETRANSLATE(D2097,""PT"",""EN"")"),"I am attended very carefully, honesty is clarity.")</f>
        <v>I am attended very carefully, honesty is clarity.</v>
      </c>
    </row>
    <row r="2098" ht="14.25" customHeight="1">
      <c r="A2098" s="1">
        <v>100.0</v>
      </c>
      <c r="B2098" s="1" t="s">
        <v>819</v>
      </c>
      <c r="C2098" s="1">
        <v>10.0</v>
      </c>
      <c r="D2098" s="1" t="s">
        <v>85</v>
      </c>
      <c r="E2098" s="1" t="str">
        <f>IFERROR(__xludf.DUMMYFUNCTION("GOOGLETRANSLATE(D2098,""PT"",""EN"")"),"Service")</f>
        <v>Service</v>
      </c>
    </row>
    <row r="2099" ht="14.25" customHeight="1">
      <c r="A2099" s="1">
        <v>100.0</v>
      </c>
      <c r="B2099" s="1" t="s">
        <v>819</v>
      </c>
      <c r="C2099" s="1">
        <v>9.0</v>
      </c>
      <c r="D2099" s="2" t="s">
        <v>946</v>
      </c>
      <c r="E2099" s="1" t="str">
        <f>IFERROR(__xludf.DUMMYFUNCTION("GOOGLETRANSLATE(D2099,""PT"",""EN"")"),"It was not 10 because the second account does not have the same access to extracts is limits that the holder has. For example, if the account is joint is the two have card, as the second user will know whether there are limit on the card or not for use.")</f>
        <v>It was not 10 because the second account does not have the same access to extracts is limits that the holder has. For example, if the account is joint is the two have card, as the second user will know whether there are limit on the card or not for use.</v>
      </c>
    </row>
    <row r="2100" ht="14.25" customHeight="1">
      <c r="A2100" s="1">
        <v>100.0</v>
      </c>
      <c r="B2100" s="1" t="s">
        <v>819</v>
      </c>
      <c r="C2100" s="1">
        <v>10.0</v>
      </c>
      <c r="D2100" s="1" t="s">
        <v>6</v>
      </c>
      <c r="E2100" s="1"/>
    </row>
    <row r="2101" ht="14.25" customHeight="1">
      <c r="A2101" s="1">
        <v>33.0</v>
      </c>
      <c r="B2101" s="1" t="s">
        <v>819</v>
      </c>
      <c r="C2101" s="1">
        <v>5.0</v>
      </c>
      <c r="D2101" s="2" t="s">
        <v>947</v>
      </c>
      <c r="E2101" s="1" t="str">
        <f>IFERROR(__xludf.DUMMYFUNCTION("GOOGLETRANSLATE(D2101,""PT"",""EN"")"),"Limited investment range. Lower rates in the investment lower than paral public banks offer")</f>
        <v>Limited investment range. Lower rates in the investment lower than paral public banks offer</v>
      </c>
    </row>
    <row r="2102" ht="14.25" customHeight="1">
      <c r="A2102" s="1">
        <v>100.0</v>
      </c>
      <c r="B2102" s="1" t="s">
        <v>819</v>
      </c>
      <c r="C2102" s="1">
        <v>9.0</v>
      </c>
      <c r="D2102" s="1" t="s">
        <v>948</v>
      </c>
      <c r="E2102" s="1" t="str">
        <f>IFERROR(__xludf.DUMMYFUNCTION("GOOGLETRANSLATE(D2102,""PT"",""EN"")"),"Bank service is good")</f>
        <v>Bank service is good</v>
      </c>
    </row>
    <row r="2103" ht="14.25" customHeight="1">
      <c r="A2103" s="1">
        <v>100.0</v>
      </c>
      <c r="B2103" s="1" t="s">
        <v>819</v>
      </c>
      <c r="C2103" s="1">
        <v>9.0</v>
      </c>
      <c r="D2103" s="2" t="s">
        <v>949</v>
      </c>
      <c r="E2103" s="1" t="str">
        <f>IFERROR(__xludf.DUMMYFUNCTION("GOOGLETRANSLATE(D2103,""PT"",""EN"")"),"personality in service is participation in the results")</f>
        <v>personality in service is participation in the results</v>
      </c>
    </row>
    <row r="2104" ht="14.25" customHeight="1">
      <c r="A2104" s="1">
        <v>100.0</v>
      </c>
      <c r="B2104" s="1" t="s">
        <v>819</v>
      </c>
      <c r="C2104" s="1">
        <v>10.0</v>
      </c>
      <c r="D2104" s="1" t="s">
        <v>6</v>
      </c>
      <c r="E2104" s="1"/>
    </row>
    <row r="2105" ht="14.25" customHeight="1">
      <c r="A2105" s="1">
        <v>100.0</v>
      </c>
      <c r="B2105" s="1" t="s">
        <v>819</v>
      </c>
      <c r="C2105" s="1">
        <v>10.0</v>
      </c>
      <c r="D2105" s="1" t="s">
        <v>950</v>
      </c>
      <c r="E2105" s="1" t="str">
        <f>IFERROR(__xludf.DUMMYFUNCTION("GOOGLETRANSLATE(D2105,""PT"",""EN"")"),"Sicoob is very good")</f>
        <v>Sicoob is very good</v>
      </c>
    </row>
    <row r="2106" ht="14.25" customHeight="1">
      <c r="A2106" s="1">
        <v>100.0</v>
      </c>
      <c r="B2106" s="1" t="s">
        <v>819</v>
      </c>
      <c r="C2106" s="1">
        <v>10.0</v>
      </c>
      <c r="D2106" s="1" t="s">
        <v>951</v>
      </c>
      <c r="E2106" s="1" t="str">
        <f>IFERROR(__xludf.DUMMYFUNCTION("GOOGLETRANSLATE(D2106,""PT"",""EN"")"),"Service, agility.")</f>
        <v>Service, agility.</v>
      </c>
    </row>
    <row r="2107" ht="14.25" customHeight="1">
      <c r="A2107" s="1">
        <v>100.0</v>
      </c>
      <c r="B2107" s="1" t="s">
        <v>819</v>
      </c>
      <c r="C2107" s="1">
        <v>10.0</v>
      </c>
      <c r="D2107" s="1" t="s">
        <v>952</v>
      </c>
      <c r="E2107" s="1"/>
    </row>
    <row r="2108" ht="14.25" customHeight="1">
      <c r="A2108" s="1">
        <v>100.0</v>
      </c>
      <c r="B2108" s="1" t="s">
        <v>819</v>
      </c>
      <c r="C2108" s="1">
        <v>10.0</v>
      </c>
      <c r="D2108" s="1" t="s">
        <v>6</v>
      </c>
      <c r="E2108" s="1"/>
    </row>
    <row r="2109" ht="14.25" customHeight="1">
      <c r="A2109" s="1">
        <v>100.0</v>
      </c>
      <c r="B2109" s="1" t="s">
        <v>819</v>
      </c>
      <c r="C2109" s="1">
        <v>9.0</v>
      </c>
      <c r="D2109" s="1" t="s">
        <v>953</v>
      </c>
      <c r="E2109" s="1" t="str">
        <f>IFERROR(__xludf.DUMMYFUNCTION("GOOGLETRANSLATE(D2109,""PT"",""EN"")"),"Always very well clarified in all my financial doubts")</f>
        <v>Always very well clarified in all my financial doubts</v>
      </c>
    </row>
    <row r="2110" ht="14.25" customHeight="1">
      <c r="A2110" s="1">
        <v>33.0</v>
      </c>
      <c r="B2110" s="1" t="s">
        <v>819</v>
      </c>
      <c r="C2110" s="1">
        <v>0.0</v>
      </c>
      <c r="D2110" s="2" t="s">
        <v>954</v>
      </c>
      <c r="E2110" s="1" t="str">
        <f>IFERROR(__xludf.DUMMYFUNCTION("GOOGLETRANSLATE(D2110,""PT"",""EN"")"),"Break of confidence is poor service provided by manager Cesar.")</f>
        <v>Break of confidence is poor service provided by manager Cesar.</v>
      </c>
    </row>
    <row r="2111" ht="14.25" customHeight="1">
      <c r="A2111" s="1">
        <v>100.0</v>
      </c>
      <c r="B2111" s="1" t="s">
        <v>819</v>
      </c>
      <c r="C2111" s="1">
        <v>10.0</v>
      </c>
      <c r="D2111" s="2" t="s">
        <v>955</v>
      </c>
      <c r="E2111" s="1" t="str">
        <f>IFERROR(__xludf.DUMMYFUNCTION("GOOGLETRANSLATE(D2111,""PT"",""EN"")"),"It is an institution that treats its associates well.")</f>
        <v>It is an institution that treats its associates well.</v>
      </c>
    </row>
    <row r="2112" ht="14.25" customHeight="1">
      <c r="A2112" s="1">
        <v>100.0</v>
      </c>
      <c r="B2112" s="1" t="s">
        <v>819</v>
      </c>
      <c r="C2112" s="1">
        <v>10.0</v>
      </c>
      <c r="D2112" s="1" t="s">
        <v>956</v>
      </c>
      <c r="E2112" s="1" t="str">
        <f>IFERROR(__xludf.DUMMYFUNCTION("GOOGLETRANSLATE(D2112,""PT"",""EN"")"),"I was always well attended well")</f>
        <v>I was always well attended well</v>
      </c>
    </row>
    <row r="2113" ht="14.25" customHeight="1">
      <c r="A2113" s="1">
        <v>100.0</v>
      </c>
      <c r="B2113" s="1" t="s">
        <v>819</v>
      </c>
      <c r="C2113" s="1">
        <v>10.0</v>
      </c>
      <c r="D2113" s="2" t="s">
        <v>957</v>
      </c>
      <c r="E2113" s="1" t="str">
        <f>IFERROR(__xludf.DUMMYFUNCTION("GOOGLETRANSLATE(D2113,""PT"",""EN"")"),"Good service, education, extremely uncomplicated app, facilities is speed for loans is financing.")</f>
        <v>Good service, education, extremely uncomplicated app, facilities is speed for loans is financing.</v>
      </c>
    </row>
    <row r="2114" ht="14.25" customHeight="1">
      <c r="A2114" s="1">
        <v>33.0</v>
      </c>
      <c r="B2114" s="1" t="s">
        <v>819</v>
      </c>
      <c r="C2114" s="1">
        <v>0.0</v>
      </c>
      <c r="D2114" s="1" t="s">
        <v>901</v>
      </c>
      <c r="E2114" s="1"/>
    </row>
    <row r="2115" ht="14.25" customHeight="1">
      <c r="A2115" s="1">
        <v>100.0</v>
      </c>
      <c r="B2115" s="1" t="s">
        <v>819</v>
      </c>
      <c r="C2115" s="1">
        <v>10.0</v>
      </c>
      <c r="D2115" s="1" t="s">
        <v>6</v>
      </c>
      <c r="E2115" s="1"/>
    </row>
    <row r="2116" ht="14.25" customHeight="1">
      <c r="A2116" s="1">
        <v>100.0</v>
      </c>
      <c r="B2116" s="1" t="s">
        <v>819</v>
      </c>
      <c r="C2116" s="1">
        <v>10.0</v>
      </c>
      <c r="D2116" s="1" t="s">
        <v>6</v>
      </c>
      <c r="E2116" s="1"/>
    </row>
    <row r="2117" ht="14.25" customHeight="1">
      <c r="A2117" s="1">
        <v>100.0</v>
      </c>
      <c r="B2117" s="1" t="s">
        <v>819</v>
      </c>
      <c r="C2117" s="1">
        <v>9.0</v>
      </c>
      <c r="D2117" s="1" t="s">
        <v>166</v>
      </c>
      <c r="E2117" s="1" t="str">
        <f>IFERROR(__xludf.DUMMYFUNCTION("GOOGLETRANSLATE(D2117,""PT"",""EN"")"),"Excellent service.")</f>
        <v>Excellent service.</v>
      </c>
    </row>
    <row r="2118" ht="14.25" customHeight="1">
      <c r="A2118" s="1">
        <v>33.0</v>
      </c>
      <c r="B2118" s="1" t="s">
        <v>819</v>
      </c>
      <c r="C2118" s="1">
        <v>3.0</v>
      </c>
      <c r="D2118" s="2" t="s">
        <v>958</v>
      </c>
      <c r="E2118" s="1" t="str">
        <f>IFERROR(__xludf.DUMMYFUNCTION("GOOGLETRANSLATE(D2118,""PT"",""EN"")"),"I have never received any Product Products from the bank, card limits, loans, etc.")</f>
        <v>I have never received any Product Products from the bank, card limits, loans, etc.</v>
      </c>
    </row>
    <row r="2119" ht="14.25" customHeight="1">
      <c r="A2119" s="1">
        <v>33.0</v>
      </c>
      <c r="B2119" s="1" t="s">
        <v>819</v>
      </c>
      <c r="C2119" s="1">
        <v>0.0</v>
      </c>
      <c r="D2119" s="2" t="s">
        <v>959</v>
      </c>
      <c r="E2119" s="1" t="str">
        <f>IFERROR(__xludf.DUMMYFUNCTION("GOOGLETRANSLATE(D2119,""PT"",""EN"")"),"The manager's service is pesse never gives return, do not send card by mail everything has to go in person at the agency, even to end the account what is absurd because today all agencies of other banks do the procedures with electronic signature ... They"&amp;" do not release credit lines even with highly revenue statements of the company, extremely stuck in this bank, we just do not close the bill because it has to go to the agency in person .... Pessimo we do not indicate to anyone, we have a great relationsh"&amp;"ip with the Banco do Brasil that does not meet the managers part is credited lines promptly .... A disappointment Sicoob is not able to move the bill there because there is no motivation to the customer.")</f>
        <v>The manager's service is pesse never gives return, do not send card by mail everything has to go in person at the agency, even to end the account what is absurd because today all agencies of other banks do the procedures with electronic signature ... They do not release credit lines even with highly revenue statements of the company, extremely stuck in this bank, we just do not close the bill because it has to go to the agency in person .... Pessimo we do not indicate to anyone, we have a great relationship with the Banco do Brasil that does not meet the managers part is credited lines promptly .... A disappointment Sicoob is not able to move the bill there because there is no motivation to the customer.</v>
      </c>
    </row>
    <row r="2120" ht="14.25" customHeight="1">
      <c r="A2120" s="1">
        <v>100.0</v>
      </c>
      <c r="B2120" s="1" t="s">
        <v>819</v>
      </c>
      <c r="C2120" s="1">
        <v>10.0</v>
      </c>
      <c r="D2120" s="1" t="s">
        <v>6</v>
      </c>
      <c r="E2120" s="1"/>
    </row>
    <row r="2121" ht="14.25" customHeight="1">
      <c r="A2121" s="1">
        <v>100.0</v>
      </c>
      <c r="B2121" s="1" t="s">
        <v>819</v>
      </c>
      <c r="C2121" s="1">
        <v>9.0</v>
      </c>
      <c r="D2121" s="1" t="s">
        <v>6</v>
      </c>
      <c r="E2121" s="1"/>
    </row>
    <row r="2122" ht="14.25" customHeight="1">
      <c r="A2122" s="1">
        <v>100.0</v>
      </c>
      <c r="B2122" s="1" t="s">
        <v>819</v>
      </c>
      <c r="C2122" s="1">
        <v>10.0</v>
      </c>
      <c r="D2122" s="2" t="s">
        <v>960</v>
      </c>
      <c r="E2122" s="1" t="str">
        <f>IFERROR(__xludf.DUMMYFUNCTION("GOOGLETRANSLATE(D2122,""PT"",""EN"")"),"The negotiations is the dynamics that employees have makes all the difference.")</f>
        <v>The negotiations is the dynamics that employees have makes all the difference.</v>
      </c>
    </row>
    <row r="2123" ht="14.25" customHeight="1">
      <c r="A2123" s="1">
        <v>100.0</v>
      </c>
      <c r="B2123" s="1" t="s">
        <v>819</v>
      </c>
      <c r="C2123" s="1">
        <v>10.0</v>
      </c>
      <c r="D2123" s="1" t="s">
        <v>6</v>
      </c>
      <c r="E2123" s="1"/>
    </row>
    <row r="2124" ht="14.25" customHeight="1">
      <c r="A2124" s="1">
        <v>100.0</v>
      </c>
      <c r="B2124" s="1" t="s">
        <v>819</v>
      </c>
      <c r="C2124" s="1">
        <v>9.0</v>
      </c>
      <c r="D2124" s="1" t="s">
        <v>6</v>
      </c>
      <c r="E2124" s="1"/>
    </row>
    <row r="2125" ht="14.25" customHeight="1">
      <c r="A2125" s="1">
        <v>33.0</v>
      </c>
      <c r="B2125" s="1" t="s">
        <v>819</v>
      </c>
      <c r="C2125" s="1">
        <v>5.0</v>
      </c>
      <c r="D2125" s="1" t="s">
        <v>6</v>
      </c>
      <c r="E2125" s="1"/>
    </row>
    <row r="2126" ht="14.25" customHeight="1">
      <c r="A2126" s="1">
        <v>100.0</v>
      </c>
      <c r="B2126" s="1" t="s">
        <v>819</v>
      </c>
      <c r="C2126" s="1">
        <v>10.0</v>
      </c>
      <c r="D2126" s="2" t="s">
        <v>961</v>
      </c>
      <c r="E2126" s="1" t="str">
        <f>IFERROR(__xludf.DUMMYFUNCTION("GOOGLETRANSLATE(D2126,""PT"",""EN"")"),"Besides very helpful very helpful. Great service, very efficient!")</f>
        <v>Besides very helpful very helpful. Great service, very efficient!</v>
      </c>
    </row>
    <row r="2127" ht="14.25" customHeight="1">
      <c r="A2127" s="1">
        <v>100.0</v>
      </c>
      <c r="B2127" s="1" t="s">
        <v>819</v>
      </c>
      <c r="C2127" s="1">
        <v>10.0</v>
      </c>
      <c r="D2127" s="1" t="s">
        <v>962</v>
      </c>
      <c r="E2127" s="1" t="str">
        <f>IFERROR(__xludf.DUMMYFUNCTION("GOOGLETRANSLATE(D2127,""PT"",""EN"")"),"GOOD SERVICE....")</f>
        <v>GOOD SERVICE....</v>
      </c>
    </row>
    <row r="2128" ht="14.25" customHeight="1">
      <c r="A2128" s="1">
        <v>66.0</v>
      </c>
      <c r="B2128" s="1" t="s">
        <v>819</v>
      </c>
      <c r="C2128" s="1">
        <v>7.0</v>
      </c>
      <c r="D2128" s="1" t="s">
        <v>6</v>
      </c>
      <c r="E2128" s="1"/>
    </row>
    <row r="2129" ht="14.25" customHeight="1">
      <c r="A2129" s="1">
        <v>66.0</v>
      </c>
      <c r="B2129" s="1" t="s">
        <v>819</v>
      </c>
      <c r="C2129" s="1">
        <v>8.0</v>
      </c>
      <c r="D2129" s="1" t="s">
        <v>963</v>
      </c>
      <c r="E2129" s="1" t="str">
        <f>IFERROR(__xludf.DUMMYFUNCTION("GOOGLETRANSLATE(D2129,""PT"",""EN"")"),"I'm a short time ago with you, so I still need to know your policy better ....")</f>
        <v>I'm a short time ago with you, so I still need to know your policy better ....</v>
      </c>
    </row>
    <row r="2130" ht="14.25" customHeight="1">
      <c r="A2130" s="1">
        <v>33.0</v>
      </c>
      <c r="B2130" s="1" t="s">
        <v>819</v>
      </c>
      <c r="C2130" s="1">
        <v>0.0</v>
      </c>
      <c r="D2130" s="1" t="s">
        <v>6</v>
      </c>
      <c r="E2130" s="1"/>
    </row>
    <row r="2131" ht="14.25" customHeight="1">
      <c r="A2131" s="1">
        <v>33.0</v>
      </c>
      <c r="B2131" s="1" t="s">
        <v>819</v>
      </c>
      <c r="C2131" s="1">
        <v>6.0</v>
      </c>
      <c r="D2131" s="2" t="s">
        <v>964</v>
      </c>
      <c r="E2131" s="1" t="str">
        <f>IFERROR(__xludf.DUMMYFUNCTION("GOOGLETRANSLATE(D2131,""PT"",""EN"")"),"It could have options of pages of slips in the credit.")</f>
        <v>It could have options of pages of slips in the credit.</v>
      </c>
    </row>
    <row r="2132" ht="14.25" customHeight="1">
      <c r="A2132" s="1">
        <v>100.0</v>
      </c>
      <c r="B2132" s="1" t="s">
        <v>819</v>
      </c>
      <c r="C2132" s="1">
        <v>10.0</v>
      </c>
      <c r="D2132" s="2" t="s">
        <v>965</v>
      </c>
      <c r="E2132" s="1" t="str">
        <f>IFERROR(__xludf.DUMMYFUNCTION("GOOGLETRANSLATE(D2132,""PT"",""EN"")"),"I really like practicality is the ease of systems is service.")</f>
        <v>I really like practicality is the ease of systems is service.</v>
      </c>
    </row>
    <row r="2133" ht="14.25" customHeight="1">
      <c r="A2133" s="1">
        <v>66.0</v>
      </c>
      <c r="B2133" s="1" t="s">
        <v>819</v>
      </c>
      <c r="C2133" s="1">
        <v>7.0</v>
      </c>
      <c r="D2133" s="1" t="s">
        <v>966</v>
      </c>
      <c r="E2133" s="1" t="str">
        <f>IFERROR(__xludf.DUMMYFUNCTION("GOOGLETRANSLATE(D2133,""PT"",""EN"")"),"The service was once better. Personnel turnover is large")</f>
        <v>The service was once better. Personnel turnover is large</v>
      </c>
    </row>
    <row r="2134" ht="14.25" customHeight="1">
      <c r="A2134" s="1">
        <v>100.0</v>
      </c>
      <c r="B2134" s="1" t="s">
        <v>819</v>
      </c>
      <c r="C2134" s="1">
        <v>10.0</v>
      </c>
      <c r="D2134" s="1" t="s">
        <v>6</v>
      </c>
      <c r="E2134" s="1"/>
    </row>
    <row r="2135" ht="14.25" customHeight="1">
      <c r="A2135" s="1">
        <v>100.0</v>
      </c>
      <c r="B2135" s="1" t="s">
        <v>819</v>
      </c>
      <c r="C2135" s="1">
        <v>10.0</v>
      </c>
      <c r="D2135" s="1" t="s">
        <v>967</v>
      </c>
      <c r="E2135" s="1" t="str">
        <f>IFERROR(__xludf.DUMMYFUNCTION("GOOGLETRANSLATE(D2135,""PT"",""EN"")"),"Deliver what you promise.")</f>
        <v>Deliver what you promise.</v>
      </c>
    </row>
    <row r="2136" ht="14.25" customHeight="1">
      <c r="A2136" s="1">
        <v>100.0</v>
      </c>
      <c r="B2136" s="1" t="s">
        <v>819</v>
      </c>
      <c r="C2136" s="1">
        <v>10.0</v>
      </c>
      <c r="D2136" s="2" t="s">
        <v>968</v>
      </c>
      <c r="E2136" s="1" t="str">
        <f>IFERROR(__xludf.DUMMYFUNCTION("GOOGLETRANSLATE(D2136,""PT"",""EN"")"),"I never had a problem agility is commitment ❤️")</f>
        <v>I never had a problem agility is commitment ❤️</v>
      </c>
    </row>
    <row r="2137" ht="14.25" customHeight="1">
      <c r="A2137" s="1">
        <v>66.0</v>
      </c>
      <c r="B2137" s="1" t="s">
        <v>819</v>
      </c>
      <c r="C2137" s="1">
        <v>8.0</v>
      </c>
      <c r="D2137" s="1" t="s">
        <v>6</v>
      </c>
      <c r="E2137" s="1"/>
    </row>
    <row r="2138" ht="14.25" customHeight="1">
      <c r="A2138" s="1">
        <v>100.0</v>
      </c>
      <c r="B2138" s="1" t="s">
        <v>819</v>
      </c>
      <c r="C2138" s="1">
        <v>10.0</v>
      </c>
      <c r="D2138" s="1" t="s">
        <v>9</v>
      </c>
      <c r="E2138" s="1" t="str">
        <f>IFERROR(__xludf.DUMMYFUNCTION("GOOGLETRANSLATE(D2138,""PT"",""EN"")"),"10")</f>
        <v>10</v>
      </c>
    </row>
    <row r="2139" ht="14.25" customHeight="1">
      <c r="A2139" s="1">
        <v>66.0</v>
      </c>
      <c r="B2139" s="1" t="s">
        <v>819</v>
      </c>
      <c r="C2139" s="1">
        <v>8.0</v>
      </c>
      <c r="D2139" s="1" t="s">
        <v>969</v>
      </c>
      <c r="E2139" s="1" t="str">
        <f>IFERROR(__xludf.DUMMYFUNCTION("GOOGLETRANSLATE(D2139,""PT"",""EN"")"),"Lower interest")</f>
        <v>Lower interest</v>
      </c>
    </row>
    <row r="2140" ht="14.25" customHeight="1">
      <c r="A2140" s="1">
        <v>100.0</v>
      </c>
      <c r="B2140" s="1" t="s">
        <v>819</v>
      </c>
      <c r="C2140" s="1">
        <v>10.0</v>
      </c>
      <c r="D2140" s="2" t="s">
        <v>970</v>
      </c>
      <c r="E2140" s="1" t="str">
        <f>IFERROR(__xludf.DUMMYFUNCTION("GOOGLETRANSLATE(D2140,""PT"",""EN"")"),"Simple, safe, correct is excellent rates")</f>
        <v>Simple, safe, correct is excellent rates</v>
      </c>
    </row>
    <row r="2141" ht="14.25" customHeight="1">
      <c r="A2141" s="1">
        <v>33.0</v>
      </c>
      <c r="B2141" s="1" t="s">
        <v>971</v>
      </c>
      <c r="C2141" s="1">
        <v>2.0</v>
      </c>
      <c r="D2141" s="1" t="s">
        <v>6</v>
      </c>
      <c r="E2141" s="1"/>
    </row>
    <row r="2142" ht="14.25" customHeight="1">
      <c r="A2142" s="1">
        <v>100.0</v>
      </c>
      <c r="B2142" s="1" t="s">
        <v>971</v>
      </c>
      <c r="C2142" s="1">
        <v>10.0</v>
      </c>
      <c r="D2142" s="2" t="s">
        <v>208</v>
      </c>
      <c r="E2142" s="1" t="str">
        <f>IFERROR(__xludf.DUMMYFUNCTION("GOOGLETRANSLATE(D2142,""PT"",""EN"")"),"excellent")</f>
        <v>excellent</v>
      </c>
    </row>
    <row r="2143" ht="14.25" customHeight="1">
      <c r="A2143" s="1">
        <v>66.0</v>
      </c>
      <c r="B2143" s="1" t="s">
        <v>819</v>
      </c>
      <c r="C2143" s="1">
        <v>8.0</v>
      </c>
      <c r="D2143" s="2" t="s">
        <v>972</v>
      </c>
      <c r="E2143" s="1" t="str">
        <f>IFERROR(__xludf.DUMMYFUNCTION("GOOGLETRANSLATE(D2143,""PT"",""EN"")"),"The bank is very good, but still sins in the delay in opening an account is in credit analysis")</f>
        <v>The bank is very good, but still sins in the delay in opening an account is in credit analysis</v>
      </c>
    </row>
    <row r="2144" ht="14.25" customHeight="1">
      <c r="A2144" s="1">
        <v>100.0</v>
      </c>
      <c r="B2144" s="1" t="s">
        <v>971</v>
      </c>
      <c r="C2144" s="1">
        <v>10.0</v>
      </c>
      <c r="D2144" s="2" t="s">
        <v>973</v>
      </c>
      <c r="E2144" s="1" t="str">
        <f>IFERROR(__xludf.DUMMYFUNCTION("GOOGLETRANSLATE(D2144,""PT"",""EN"")"),"Speed ​​is non -service")</f>
        <v>Speed ​​is non -service</v>
      </c>
    </row>
    <row r="2145" ht="14.25" customHeight="1">
      <c r="A2145" s="1">
        <v>100.0</v>
      </c>
      <c r="B2145" s="1" t="s">
        <v>971</v>
      </c>
      <c r="C2145" s="1">
        <v>10.0</v>
      </c>
      <c r="D2145" s="1" t="s">
        <v>85</v>
      </c>
      <c r="E2145" s="1" t="str">
        <f>IFERROR(__xludf.DUMMYFUNCTION("GOOGLETRANSLATE(D2145,""PT"",""EN"")"),"Service")</f>
        <v>Service</v>
      </c>
    </row>
    <row r="2146" ht="14.25" customHeight="1">
      <c r="A2146" s="1">
        <v>100.0</v>
      </c>
      <c r="B2146" s="1" t="s">
        <v>971</v>
      </c>
      <c r="C2146" s="1">
        <v>10.0</v>
      </c>
      <c r="D2146" s="2" t="s">
        <v>974</v>
      </c>
      <c r="E2146" s="1" t="str">
        <f>IFERROR(__xludf.DUMMYFUNCTION("GOOGLETRANSLATE(D2146,""PT"",""EN"")"),"The Sicoob Benefits")</f>
        <v>The Sicoob Benefits</v>
      </c>
    </row>
    <row r="2147" ht="14.25" customHeight="1">
      <c r="A2147" s="1">
        <v>100.0</v>
      </c>
      <c r="B2147" s="1" t="s">
        <v>971</v>
      </c>
      <c r="C2147" s="1">
        <v>10.0</v>
      </c>
      <c r="D2147" s="1" t="s">
        <v>6</v>
      </c>
      <c r="E2147" s="1"/>
    </row>
    <row r="2148" ht="14.25" customHeight="1">
      <c r="A2148" s="1">
        <v>100.0</v>
      </c>
      <c r="B2148" s="1" t="s">
        <v>971</v>
      </c>
      <c r="C2148" s="1">
        <v>10.0</v>
      </c>
      <c r="D2148" s="2" t="s">
        <v>975</v>
      </c>
      <c r="E2148" s="1" t="str">
        <f>IFERROR(__xludf.DUMMYFUNCTION("GOOGLETRANSLATE(D2148,""PT"",""EN"")"),"Full service is agile")</f>
        <v>Full service is agile</v>
      </c>
    </row>
    <row r="2149" ht="14.25" customHeight="1">
      <c r="A2149" s="1">
        <v>100.0</v>
      </c>
      <c r="B2149" s="1" t="s">
        <v>971</v>
      </c>
      <c r="C2149" s="1">
        <v>10.0</v>
      </c>
      <c r="D2149" s="1" t="s">
        <v>9</v>
      </c>
      <c r="E2149" s="1" t="str">
        <f>IFERROR(__xludf.DUMMYFUNCTION("GOOGLETRANSLATE(D2149,""PT"",""EN"")"),"10")</f>
        <v>10</v>
      </c>
    </row>
    <row r="2150" ht="14.25" customHeight="1">
      <c r="A2150" s="1">
        <v>100.0</v>
      </c>
      <c r="B2150" s="1" t="s">
        <v>971</v>
      </c>
      <c r="C2150" s="1">
        <v>10.0</v>
      </c>
      <c r="D2150" s="1" t="s">
        <v>6</v>
      </c>
      <c r="E2150" s="1"/>
    </row>
    <row r="2151" ht="14.25" customHeight="1">
      <c r="A2151" s="1">
        <v>100.0</v>
      </c>
      <c r="B2151" s="1" t="s">
        <v>971</v>
      </c>
      <c r="C2151" s="1">
        <v>9.0</v>
      </c>
      <c r="D2151" s="2" t="s">
        <v>976</v>
      </c>
      <c r="E2151" s="1" t="str">
        <f>IFERROR(__xludf.DUMMYFUNCTION("GOOGLETRANSLATE(D2151,""PT"",""EN"")"),"Because no one is 10")</f>
        <v>Because no one is 10</v>
      </c>
    </row>
    <row r="2152" ht="14.25" customHeight="1">
      <c r="A2152" s="1">
        <v>100.0</v>
      </c>
      <c r="B2152" s="1" t="s">
        <v>971</v>
      </c>
      <c r="C2152" s="1">
        <v>10.0</v>
      </c>
      <c r="D2152" s="2" t="s">
        <v>977</v>
      </c>
      <c r="E2152" s="1" t="str">
        <f>IFERROR(__xludf.DUMMYFUNCTION("GOOGLETRANSLATE(D2152,""PT"",""EN"")"),"Even by phone were always helpful is quick to answer me")</f>
        <v>Even by phone were always helpful is quick to answer me</v>
      </c>
    </row>
    <row r="2153" ht="14.25" customHeight="1">
      <c r="A2153" s="1">
        <v>100.0</v>
      </c>
      <c r="B2153" s="1" t="s">
        <v>971</v>
      </c>
      <c r="C2153" s="1">
        <v>10.0</v>
      </c>
      <c r="D2153" s="1" t="s">
        <v>978</v>
      </c>
      <c r="E2153" s="1" t="str">
        <f>IFERROR(__xludf.DUMMYFUNCTION("GOOGLETRANSLATE(D2153,""PT"",""EN"")"),"Good service, personalized")</f>
        <v>Good service, personalized</v>
      </c>
    </row>
    <row r="2154" ht="14.25" customHeight="1">
      <c r="A2154" s="1">
        <v>100.0</v>
      </c>
      <c r="B2154" s="1" t="s">
        <v>971</v>
      </c>
      <c r="C2154" s="1">
        <v>10.0</v>
      </c>
      <c r="D2154" s="1" t="s">
        <v>6</v>
      </c>
      <c r="E2154" s="1"/>
    </row>
    <row r="2155" ht="14.25" customHeight="1">
      <c r="A2155" s="1">
        <v>100.0</v>
      </c>
      <c r="B2155" s="1" t="s">
        <v>971</v>
      </c>
      <c r="C2155" s="1">
        <v>10.0</v>
      </c>
      <c r="D2155" s="1" t="s">
        <v>6</v>
      </c>
      <c r="E2155" s="1"/>
    </row>
    <row r="2156" ht="14.25" customHeight="1">
      <c r="A2156" s="1">
        <v>100.0</v>
      </c>
      <c r="B2156" s="1" t="s">
        <v>971</v>
      </c>
      <c r="C2156" s="1">
        <v>10.0</v>
      </c>
      <c r="D2156" s="1" t="s">
        <v>6</v>
      </c>
      <c r="E2156" s="1"/>
    </row>
    <row r="2157" ht="14.25" customHeight="1">
      <c r="A2157" s="1">
        <v>33.0</v>
      </c>
      <c r="B2157" s="1" t="s">
        <v>971</v>
      </c>
      <c r="C2157" s="1">
        <v>0.0</v>
      </c>
      <c r="D2157" s="2" t="s">
        <v>979</v>
      </c>
      <c r="E2157" s="1" t="str">
        <f>IFERROR(__xludf.DUMMYFUNCTION("GOOGLETRANSLATE(D2157,""PT"",""EN"")"),"Movement My Account All year in high values ​​is the bank does not offer a credit card")</f>
        <v>Movement My Account All year in high values ​​is the bank does not offer a credit card</v>
      </c>
    </row>
    <row r="2158" ht="14.25" customHeight="1">
      <c r="A2158" s="1">
        <v>33.0</v>
      </c>
      <c r="B2158" s="1" t="s">
        <v>971</v>
      </c>
      <c r="C2158" s="1">
        <v>0.0</v>
      </c>
      <c r="D2158" s="1" t="s">
        <v>6</v>
      </c>
      <c r="E2158" s="1"/>
    </row>
    <row r="2159" ht="14.25" customHeight="1">
      <c r="A2159" s="1">
        <v>33.0</v>
      </c>
      <c r="B2159" s="1" t="s">
        <v>971</v>
      </c>
      <c r="C2159" s="1">
        <v>0.0</v>
      </c>
      <c r="D2159" s="1" t="s">
        <v>980</v>
      </c>
      <c r="E2159" s="1" t="str">
        <f>IFERROR(__xludf.DUMMYFUNCTION("GOOGLETRANSLATE(D2159,""PT"",""EN"")"),"Horrible")</f>
        <v>Horrible</v>
      </c>
    </row>
    <row r="2160" ht="14.25" customHeight="1">
      <c r="A2160" s="1">
        <v>100.0</v>
      </c>
      <c r="B2160" s="1" t="s">
        <v>971</v>
      </c>
      <c r="C2160" s="1">
        <v>10.0</v>
      </c>
      <c r="D2160" s="1" t="s">
        <v>6</v>
      </c>
      <c r="E2160" s="1"/>
    </row>
    <row r="2161" ht="14.25" customHeight="1">
      <c r="A2161" s="1">
        <v>100.0</v>
      </c>
      <c r="B2161" s="1" t="s">
        <v>971</v>
      </c>
      <c r="C2161" s="1">
        <v>10.0</v>
      </c>
      <c r="D2161" s="1" t="s">
        <v>981</v>
      </c>
      <c r="E2161" s="1" t="str">
        <f>IFERROR(__xludf.DUMMYFUNCTION("GOOGLETRANSLATE(D2161,""PT"",""EN"")"),"It's an excellent bank !!")</f>
        <v>It's an excellent bank !!</v>
      </c>
    </row>
    <row r="2162" ht="14.25" customHeight="1">
      <c r="A2162" s="1">
        <v>100.0</v>
      </c>
      <c r="B2162" s="1" t="s">
        <v>971</v>
      </c>
      <c r="C2162" s="1">
        <v>10.0</v>
      </c>
      <c r="D2162" s="1" t="s">
        <v>85</v>
      </c>
      <c r="E2162" s="1" t="str">
        <f>IFERROR(__xludf.DUMMYFUNCTION("GOOGLETRANSLATE(D2162,""PT"",""EN"")"),"Service")</f>
        <v>Service</v>
      </c>
    </row>
    <row r="2163" ht="14.25" customHeight="1">
      <c r="A2163" s="1">
        <v>100.0</v>
      </c>
      <c r="B2163" s="1" t="s">
        <v>971</v>
      </c>
      <c r="C2163" s="1">
        <v>10.0</v>
      </c>
      <c r="D2163" s="1" t="s">
        <v>6</v>
      </c>
      <c r="E2163" s="1"/>
    </row>
    <row r="2164" ht="14.25" customHeight="1">
      <c r="A2164" s="1">
        <v>100.0</v>
      </c>
      <c r="B2164" s="1" t="s">
        <v>971</v>
      </c>
      <c r="C2164" s="1">
        <v>10.0</v>
      </c>
      <c r="D2164" s="1" t="s">
        <v>347</v>
      </c>
      <c r="E2164" s="1" t="str">
        <f>IFERROR(__xludf.DUMMYFUNCTION("GOOGLETRANSLATE(D2164,""PT"",""EN"")"),"Good service!")</f>
        <v>Good service!</v>
      </c>
    </row>
    <row r="2165" ht="14.25" customHeight="1">
      <c r="A2165" s="1">
        <v>66.0</v>
      </c>
      <c r="B2165" s="1" t="s">
        <v>971</v>
      </c>
      <c r="C2165" s="1">
        <v>8.0</v>
      </c>
      <c r="D2165" s="1" t="s">
        <v>6</v>
      </c>
      <c r="E2165" s="1"/>
    </row>
    <row r="2166" ht="14.25" customHeight="1">
      <c r="A2166" s="1">
        <v>66.0</v>
      </c>
      <c r="B2166" s="1" t="s">
        <v>971</v>
      </c>
      <c r="C2166" s="1">
        <v>8.0</v>
      </c>
      <c r="D2166" s="1" t="s">
        <v>6</v>
      </c>
      <c r="E2166" s="1"/>
    </row>
    <row r="2167" ht="14.25" customHeight="1">
      <c r="A2167" s="1">
        <v>100.0</v>
      </c>
      <c r="B2167" s="1" t="s">
        <v>971</v>
      </c>
      <c r="C2167" s="1">
        <v>10.0</v>
      </c>
      <c r="D2167" s="1" t="s">
        <v>6</v>
      </c>
      <c r="E2167" s="1"/>
    </row>
    <row r="2168" ht="14.25" customHeight="1">
      <c r="A2168" s="1">
        <v>33.0</v>
      </c>
      <c r="B2168" s="1" t="s">
        <v>971</v>
      </c>
      <c r="C2168" s="1">
        <v>5.0</v>
      </c>
      <c r="D2168" s="2" t="s">
        <v>982</v>
      </c>
      <c r="E2168" s="1" t="str">
        <f>IFERROR(__xludf.DUMMYFUNCTION("GOOGLETRANSLATE(D2168,""PT"",""EN"")"),"A good bank does not have a teti a teti with the customer")</f>
        <v>A good bank does not have a teti a teti with the customer</v>
      </c>
    </row>
    <row r="2169" ht="14.25" customHeight="1">
      <c r="A2169" s="1">
        <v>100.0</v>
      </c>
      <c r="B2169" s="1" t="s">
        <v>971</v>
      </c>
      <c r="C2169" s="1">
        <v>10.0</v>
      </c>
      <c r="D2169" s="1" t="s">
        <v>6</v>
      </c>
      <c r="E2169" s="1"/>
    </row>
    <row r="2170" ht="14.25" customHeight="1">
      <c r="A2170" s="1">
        <v>100.0</v>
      </c>
      <c r="B2170" s="1" t="s">
        <v>971</v>
      </c>
      <c r="C2170" s="1">
        <v>10.0</v>
      </c>
      <c r="D2170" s="1" t="s">
        <v>62</v>
      </c>
      <c r="E2170" s="1" t="str">
        <f>IFERROR(__xludf.DUMMYFUNCTION("GOOGLETRANSLATE(D2170,""PT"",""EN"")"),"Good service")</f>
        <v>Good service</v>
      </c>
    </row>
    <row r="2171" ht="14.25" customHeight="1">
      <c r="A2171" s="1">
        <v>100.0</v>
      </c>
      <c r="B2171" s="1" t="s">
        <v>971</v>
      </c>
      <c r="C2171" s="1">
        <v>10.0</v>
      </c>
      <c r="D2171" s="1" t="s">
        <v>6</v>
      </c>
      <c r="E2171" s="1"/>
    </row>
    <row r="2172" ht="14.25" customHeight="1">
      <c r="A2172" s="1">
        <v>100.0</v>
      </c>
      <c r="B2172" s="1" t="s">
        <v>971</v>
      </c>
      <c r="C2172" s="1">
        <v>10.0</v>
      </c>
      <c r="D2172" s="1" t="s">
        <v>18</v>
      </c>
      <c r="E2172" s="1" t="str">
        <f>IFERROR(__xludf.DUMMYFUNCTION("GOOGLETRANSLATE(D2172,""PT"",""EN"")"),"Trust")</f>
        <v>Trust</v>
      </c>
    </row>
    <row r="2173" ht="14.25" customHeight="1">
      <c r="A2173" s="1">
        <v>33.0</v>
      </c>
      <c r="B2173" s="1" t="s">
        <v>971</v>
      </c>
      <c r="C2173" s="1">
        <v>0.0</v>
      </c>
      <c r="D2173" s="1" t="s">
        <v>6</v>
      </c>
      <c r="E2173" s="1"/>
    </row>
    <row r="2174" ht="14.25" customHeight="1">
      <c r="A2174" s="1">
        <v>100.0</v>
      </c>
      <c r="B2174" s="1" t="s">
        <v>971</v>
      </c>
      <c r="C2174" s="1">
        <v>9.0</v>
      </c>
      <c r="D2174" s="1" t="s">
        <v>6</v>
      </c>
      <c r="E2174" s="1"/>
    </row>
    <row r="2175" ht="14.25" customHeight="1">
      <c r="A2175" s="1">
        <v>100.0</v>
      </c>
      <c r="B2175" s="1" t="s">
        <v>971</v>
      </c>
      <c r="C2175" s="1">
        <v>9.0</v>
      </c>
      <c r="D2175" s="1" t="s">
        <v>6</v>
      </c>
      <c r="E2175" s="1"/>
    </row>
    <row r="2176" ht="14.25" customHeight="1">
      <c r="A2176" s="1">
        <v>100.0</v>
      </c>
      <c r="B2176" s="1" t="s">
        <v>971</v>
      </c>
      <c r="C2176" s="1">
        <v>10.0</v>
      </c>
      <c r="D2176" s="1" t="s">
        <v>6</v>
      </c>
      <c r="E2176" s="1"/>
    </row>
    <row r="2177" ht="14.25" customHeight="1">
      <c r="A2177" s="1">
        <v>100.0</v>
      </c>
      <c r="B2177" s="1" t="s">
        <v>971</v>
      </c>
      <c r="C2177" s="1">
        <v>10.0</v>
      </c>
      <c r="D2177" s="1" t="s">
        <v>6</v>
      </c>
      <c r="E2177" s="1"/>
    </row>
    <row r="2178" ht="14.25" customHeight="1">
      <c r="A2178" s="1">
        <v>100.0</v>
      </c>
      <c r="B2178" s="1" t="s">
        <v>971</v>
      </c>
      <c r="C2178" s="1">
        <v>10.0</v>
      </c>
      <c r="D2178" s="1" t="s">
        <v>6</v>
      </c>
      <c r="E2178" s="1"/>
    </row>
    <row r="2179" ht="14.25" customHeight="1">
      <c r="A2179" s="1">
        <v>33.0</v>
      </c>
      <c r="B2179" s="1" t="s">
        <v>971</v>
      </c>
      <c r="C2179" s="1">
        <v>0.0</v>
      </c>
      <c r="D2179" s="2" t="s">
        <v>983</v>
      </c>
      <c r="E2179" s="1" t="str">
        <f>IFERROR(__xludf.DUMMYFUNCTION("GOOGLETRANSLATE(D2179,""PT"",""EN"")"),"0 service, the credit, 0 works.")</f>
        <v>0 service, the credit, 0 works.</v>
      </c>
    </row>
    <row r="2180" ht="14.25" customHeight="1">
      <c r="A2180" s="1">
        <v>33.0</v>
      </c>
      <c r="B2180" s="1" t="s">
        <v>971</v>
      </c>
      <c r="C2180" s="1">
        <v>0.0</v>
      </c>
      <c r="D2180" s="2" t="s">
        <v>984</v>
      </c>
      <c r="E2180" s="1" t="str">
        <f>IFERROR(__xludf.DUMMYFUNCTION("GOOGLETRANSLATE(D2180,""PT"",""EN"")"),"Bank does not offer you a credit card")</f>
        <v>Bank does not offer you a credit card</v>
      </c>
    </row>
    <row r="2181" ht="14.25" customHeight="1">
      <c r="A2181" s="1">
        <v>33.0</v>
      </c>
      <c r="B2181" s="1" t="s">
        <v>971</v>
      </c>
      <c r="C2181" s="1">
        <v>0.0</v>
      </c>
      <c r="D2181" s="1" t="s">
        <v>6</v>
      </c>
      <c r="E2181" s="1"/>
    </row>
    <row r="2182" ht="14.25" customHeight="1">
      <c r="A2182" s="1">
        <v>100.0</v>
      </c>
      <c r="B2182" s="1" t="s">
        <v>971</v>
      </c>
      <c r="C2182" s="1">
        <v>10.0</v>
      </c>
      <c r="D2182" s="1" t="s">
        <v>985</v>
      </c>
      <c r="E2182" s="1" t="str">
        <f>IFERROR(__xludf.DUMMYFUNCTION("GOOGLETRANSLATE(D2182,""PT"",""EN"")"),"Competence!!")</f>
        <v>Competence!!</v>
      </c>
    </row>
    <row r="2183" ht="14.25" customHeight="1">
      <c r="A2183" s="1">
        <v>100.0</v>
      </c>
      <c r="B2183" s="1" t="s">
        <v>971</v>
      </c>
      <c r="C2183" s="1">
        <v>9.0</v>
      </c>
      <c r="D2183" s="2" t="s">
        <v>986</v>
      </c>
      <c r="E2183" s="1" t="str">
        <f>IFERROR(__xludf.DUMMYFUNCTION("GOOGLETRANSLATE(D2183,""PT"",""EN"")"),"Banco Sicoob is a wonder, meets all the needs of a great cooperative, I am very happy to be part of this family.")</f>
        <v>Banco Sicoob is a wonder, meets all the needs of a great cooperative, I am very happy to be part of this family.</v>
      </c>
    </row>
    <row r="2184" ht="14.25" customHeight="1">
      <c r="A2184" s="1">
        <v>33.0</v>
      </c>
      <c r="B2184" s="1" t="s">
        <v>971</v>
      </c>
      <c r="C2184" s="1">
        <v>5.0</v>
      </c>
      <c r="D2184" s="1" t="s">
        <v>6</v>
      </c>
      <c r="E2184" s="1"/>
    </row>
    <row r="2185" ht="14.25" customHeight="1">
      <c r="A2185" s="1">
        <v>100.0</v>
      </c>
      <c r="B2185" s="1" t="s">
        <v>971</v>
      </c>
      <c r="C2185" s="1">
        <v>10.0</v>
      </c>
      <c r="D2185" s="1" t="s">
        <v>6</v>
      </c>
      <c r="E2185" s="1"/>
    </row>
    <row r="2186" ht="14.25" customHeight="1">
      <c r="A2186" s="1">
        <v>33.0</v>
      </c>
      <c r="B2186" s="1" t="s">
        <v>971</v>
      </c>
      <c r="C2186" s="1">
        <v>2.0</v>
      </c>
      <c r="D2186" s="1" t="s">
        <v>6</v>
      </c>
      <c r="E2186" s="1"/>
    </row>
    <row r="2187" ht="14.25" customHeight="1">
      <c r="A2187" s="1">
        <v>100.0</v>
      </c>
      <c r="B2187" s="1" t="s">
        <v>971</v>
      </c>
      <c r="C2187" s="1">
        <v>10.0</v>
      </c>
      <c r="D2187" s="1" t="s">
        <v>6</v>
      </c>
      <c r="E2187" s="1"/>
    </row>
    <row r="2188" ht="14.25" customHeight="1">
      <c r="A2188" s="1">
        <v>100.0</v>
      </c>
      <c r="B2188" s="1" t="s">
        <v>971</v>
      </c>
      <c r="C2188" s="1">
        <v>9.0</v>
      </c>
      <c r="D2188" s="1" t="s">
        <v>6</v>
      </c>
      <c r="E2188" s="1"/>
    </row>
    <row r="2189" ht="14.25" customHeight="1">
      <c r="A2189" s="1">
        <v>33.0</v>
      </c>
      <c r="B2189" s="1" t="s">
        <v>971</v>
      </c>
      <c r="C2189" s="1">
        <v>5.0</v>
      </c>
      <c r="D2189" s="2" t="s">
        <v>987</v>
      </c>
      <c r="E2189" s="1" t="str">
        <f>IFERROR(__xludf.DUMMYFUNCTION("GOOGLETRANSLATE(D2189,""PT"",""EN"")"),"I need credit line is credit card ... It's none of this offers me. I'm going to another bank that I already have credit.")</f>
        <v>I need credit line is credit card ... It's none of this offers me. I'm going to another bank that I already have credit.</v>
      </c>
    </row>
    <row r="2190" ht="14.25" customHeight="1">
      <c r="A2190" s="1">
        <v>100.0</v>
      </c>
      <c r="B2190" s="1" t="s">
        <v>971</v>
      </c>
      <c r="C2190" s="1">
        <v>10.0</v>
      </c>
      <c r="D2190" s="1" t="s">
        <v>6</v>
      </c>
      <c r="E2190" s="1"/>
    </row>
    <row r="2191" ht="14.25" customHeight="1">
      <c r="A2191" s="1">
        <v>100.0</v>
      </c>
      <c r="B2191" s="1" t="s">
        <v>971</v>
      </c>
      <c r="C2191" s="1">
        <v>9.0</v>
      </c>
      <c r="D2191" s="1" t="s">
        <v>6</v>
      </c>
      <c r="E2191" s="1"/>
    </row>
    <row r="2192" ht="14.25" customHeight="1">
      <c r="A2192" s="1">
        <v>100.0</v>
      </c>
      <c r="B2192" s="1" t="s">
        <v>971</v>
      </c>
      <c r="C2192" s="1">
        <v>9.0</v>
      </c>
      <c r="D2192" s="1" t="s">
        <v>6</v>
      </c>
      <c r="E2192" s="1"/>
    </row>
    <row r="2193" ht="14.25" customHeight="1">
      <c r="A2193" s="1">
        <v>100.0</v>
      </c>
      <c r="B2193" s="1" t="s">
        <v>971</v>
      </c>
      <c r="C2193" s="1">
        <v>10.0</v>
      </c>
      <c r="D2193" s="1" t="s">
        <v>988</v>
      </c>
      <c r="E2193" s="1" t="str">
        <f>IFERROR(__xludf.DUMMYFUNCTION("GOOGLETRANSLATE(D2193,""PT"",""EN"")"),"The best bank of all time!")</f>
        <v>The best bank of all time!</v>
      </c>
    </row>
    <row r="2194" ht="14.25" customHeight="1">
      <c r="A2194" s="1">
        <v>66.0</v>
      </c>
      <c r="B2194" s="1" t="s">
        <v>971</v>
      </c>
      <c r="C2194" s="1">
        <v>8.0</v>
      </c>
      <c r="D2194" s="2" t="s">
        <v>408</v>
      </c>
      <c r="E2194" s="1" t="str">
        <f>IFERROR(__xludf.DUMMYFUNCTION("GOOGLETRANSLATE(D2194,""PT"",""EN"")"),"No comments")</f>
        <v>No comments</v>
      </c>
    </row>
    <row r="2195" ht="14.25" customHeight="1">
      <c r="A2195" s="1">
        <v>66.0</v>
      </c>
      <c r="B2195" s="1" t="s">
        <v>971</v>
      </c>
      <c r="C2195" s="1">
        <v>7.0</v>
      </c>
      <c r="D2195" s="2" t="s">
        <v>989</v>
      </c>
      <c r="E2195" s="1" t="str">
        <f>IFERROR(__xludf.DUMMYFUNCTION("GOOGLETRANSLATE(D2195,""PT"",""EN"")"),"Service, attention with customers, is the opportunities")</f>
        <v>Service, attention with customers, is the opportunities</v>
      </c>
    </row>
    <row r="2196" ht="14.25" customHeight="1">
      <c r="A2196" s="1">
        <v>33.0</v>
      </c>
      <c r="B2196" s="1" t="s">
        <v>971</v>
      </c>
      <c r="C2196" s="1">
        <v>0.0</v>
      </c>
      <c r="D2196" s="1" t="s">
        <v>6</v>
      </c>
      <c r="E2196" s="1"/>
    </row>
    <row r="2197" ht="14.25" customHeight="1">
      <c r="A2197" s="1">
        <v>33.0</v>
      </c>
      <c r="B2197" s="1" t="s">
        <v>971</v>
      </c>
      <c r="C2197" s="1">
        <v>1.0</v>
      </c>
      <c r="D2197" s="2" t="s">
        <v>990</v>
      </c>
      <c r="E2197" s="1" t="str">
        <f>IFERROR(__xludf.DUMMYFUNCTION("GOOGLETRANSLATE(D2197,""PT"",""EN"")"),"The bank is complicated is bureaucratic, charge fees, did not evolve into the new reality, as other banking institutions are doing.")</f>
        <v>The bank is complicated is bureaucratic, charge fees, did not evolve into the new reality, as other banking institutions are doing.</v>
      </c>
    </row>
    <row r="2198" ht="14.25" customHeight="1">
      <c r="A2198" s="1">
        <v>100.0</v>
      </c>
      <c r="B2198" s="1" t="s">
        <v>971</v>
      </c>
      <c r="C2198" s="1">
        <v>9.0</v>
      </c>
      <c r="D2198" s="2" t="s">
        <v>991</v>
      </c>
      <c r="E2198" s="1" t="str">
        <f>IFERROR(__xludf.DUMMYFUNCTION("GOOGLETRANSLATE(D2198,""PT"",""EN"")"),"I like work is your service is your rates are low, of ways that does not weigh on the account.")</f>
        <v>I like work is your service is your rates are low, of ways that does not weigh on the account.</v>
      </c>
    </row>
    <row r="2199" ht="14.25" customHeight="1">
      <c r="A2199" s="1">
        <v>100.0</v>
      </c>
      <c r="B2199" s="1" t="s">
        <v>971</v>
      </c>
      <c r="C2199" s="1">
        <v>10.0</v>
      </c>
      <c r="D2199" s="1" t="s">
        <v>62</v>
      </c>
      <c r="E2199" s="1" t="str">
        <f>IFERROR(__xludf.DUMMYFUNCTION("GOOGLETRANSLATE(D2199,""PT"",""EN"")"),"Good service")</f>
        <v>Good service</v>
      </c>
    </row>
    <row r="2200" ht="14.25" customHeight="1">
      <c r="A2200" s="1">
        <v>33.0</v>
      </c>
      <c r="B2200" s="1" t="s">
        <v>971</v>
      </c>
      <c r="C2200" s="1">
        <v>4.0</v>
      </c>
      <c r="D2200" s="1" t="s">
        <v>6</v>
      </c>
      <c r="E2200" s="1"/>
    </row>
    <row r="2201" ht="14.25" customHeight="1">
      <c r="A2201" s="1">
        <v>100.0</v>
      </c>
      <c r="B2201" s="1" t="s">
        <v>971</v>
      </c>
      <c r="C2201" s="1">
        <v>10.0</v>
      </c>
      <c r="D2201" s="2" t="s">
        <v>992</v>
      </c>
      <c r="E2201" s="1" t="str">
        <f>IFERROR(__xludf.DUMMYFUNCTION("GOOGLETRANSLATE(D2201,""PT"",""EN"")"),"It's a qualified bank to serve all your customers!")</f>
        <v>It's a qualified bank to serve all your customers!</v>
      </c>
    </row>
    <row r="2202" ht="14.25" customHeight="1">
      <c r="A2202" s="1">
        <v>100.0</v>
      </c>
      <c r="B2202" s="1" t="s">
        <v>971</v>
      </c>
      <c r="C2202" s="1">
        <v>10.0</v>
      </c>
      <c r="D2202" s="1" t="s">
        <v>6</v>
      </c>
      <c r="E2202" s="1"/>
    </row>
    <row r="2203" ht="14.25" customHeight="1">
      <c r="A2203" s="1">
        <v>100.0</v>
      </c>
      <c r="B2203" s="1" t="s">
        <v>971</v>
      </c>
      <c r="C2203" s="1">
        <v>10.0</v>
      </c>
      <c r="D2203" s="2" t="s">
        <v>593</v>
      </c>
      <c r="E2203" s="1" t="str">
        <f>IFERROR(__xludf.DUMMYFUNCTION("GOOGLETRANSLATE(D2203,""PT"",""EN"")"),"great service")</f>
        <v>great service</v>
      </c>
    </row>
    <row r="2204" ht="14.25" customHeight="1">
      <c r="A2204" s="1">
        <v>100.0</v>
      </c>
      <c r="B2204" s="1" t="s">
        <v>971</v>
      </c>
      <c r="C2204" s="1">
        <v>10.0</v>
      </c>
      <c r="D2204" s="1" t="s">
        <v>6</v>
      </c>
      <c r="E2204" s="1"/>
    </row>
    <row r="2205" ht="14.25" customHeight="1">
      <c r="A2205" s="1">
        <v>66.0</v>
      </c>
      <c r="B2205" s="1" t="s">
        <v>971</v>
      </c>
      <c r="C2205" s="1">
        <v>7.0</v>
      </c>
      <c r="D2205" s="1" t="s">
        <v>6</v>
      </c>
      <c r="E2205" s="1"/>
    </row>
    <row r="2206" ht="14.25" customHeight="1">
      <c r="A2206" s="1">
        <v>100.0</v>
      </c>
      <c r="B2206" s="1" t="s">
        <v>971</v>
      </c>
      <c r="C2206" s="1">
        <v>10.0</v>
      </c>
      <c r="D2206" s="1" t="s">
        <v>85</v>
      </c>
      <c r="E2206" s="1" t="str">
        <f>IFERROR(__xludf.DUMMYFUNCTION("GOOGLETRANSLATE(D2206,""PT"",""EN"")"),"Service")</f>
        <v>Service</v>
      </c>
    </row>
    <row r="2207" ht="14.25" customHeight="1">
      <c r="A2207" s="1">
        <v>100.0</v>
      </c>
      <c r="B2207" s="1" t="s">
        <v>971</v>
      </c>
      <c r="C2207" s="1">
        <v>10.0</v>
      </c>
      <c r="D2207" s="2" t="s">
        <v>993</v>
      </c>
      <c r="E2207" s="1" t="str">
        <f>IFERROR(__xludf.DUMMYFUNCTION("GOOGLETRANSLATE(D2207,""PT"",""EN"")"),"Agility, proximity is easy to contact the agency, not to mention the great service of the girls.")</f>
        <v>Agility, proximity is easy to contact the agency, not to mention the great service of the girls.</v>
      </c>
    </row>
    <row r="2208" ht="14.25" customHeight="1">
      <c r="A2208" s="1">
        <v>66.0</v>
      </c>
      <c r="B2208" s="1" t="s">
        <v>971</v>
      </c>
      <c r="C2208" s="1">
        <v>8.0</v>
      </c>
      <c r="D2208" s="1" t="s">
        <v>803</v>
      </c>
      <c r="E2208" s="1" t="str">
        <f>IFERROR(__xludf.DUMMYFUNCTION("GOOGLETRANSLATE(D2208,""PT"",""EN"")"),"Good")</f>
        <v>Good</v>
      </c>
    </row>
    <row r="2209" ht="14.25" customHeight="1">
      <c r="A2209" s="1">
        <v>100.0</v>
      </c>
      <c r="B2209" s="1" t="s">
        <v>971</v>
      </c>
      <c r="C2209" s="1">
        <v>10.0</v>
      </c>
      <c r="D2209" s="1" t="s">
        <v>994</v>
      </c>
      <c r="E2209" s="1" t="str">
        <f>IFERROR(__xludf.DUMMYFUNCTION("GOOGLETRANSLATE(D2209,""PT"",""EN"")"),"Cordiality in serving employees")</f>
        <v>Cordiality in serving employees</v>
      </c>
    </row>
    <row r="2210" ht="14.25" customHeight="1">
      <c r="A2210" s="1">
        <v>100.0</v>
      </c>
      <c r="B2210" s="1" t="s">
        <v>971</v>
      </c>
      <c r="C2210" s="1">
        <v>10.0</v>
      </c>
      <c r="D2210" s="2" t="s">
        <v>995</v>
      </c>
      <c r="E2210" s="1" t="str">
        <f>IFERROR(__xludf.DUMMYFUNCTION("GOOGLETRANSLATE(D2210,""PT"",""EN"")"),"Practical service is fast.")</f>
        <v>Practical service is fast.</v>
      </c>
    </row>
    <row r="2211" ht="14.25" customHeight="1">
      <c r="A2211" s="1">
        <v>100.0</v>
      </c>
      <c r="B2211" s="1" t="s">
        <v>971</v>
      </c>
      <c r="C2211" s="1">
        <v>10.0</v>
      </c>
      <c r="D2211" s="1" t="s">
        <v>6</v>
      </c>
      <c r="E2211" s="1"/>
    </row>
    <row r="2212" ht="14.25" customHeight="1">
      <c r="A2212" s="1">
        <v>66.0</v>
      </c>
      <c r="B2212" s="1" t="s">
        <v>971</v>
      </c>
      <c r="C2212" s="1">
        <v>7.0</v>
      </c>
      <c r="D2212" s="1" t="s">
        <v>6</v>
      </c>
      <c r="E2212" s="1"/>
    </row>
    <row r="2213" ht="14.25" customHeight="1">
      <c r="A2213" s="1">
        <v>100.0</v>
      </c>
      <c r="B2213" s="1" t="s">
        <v>971</v>
      </c>
      <c r="C2213" s="1">
        <v>10.0</v>
      </c>
      <c r="D2213" s="1" t="s">
        <v>6</v>
      </c>
      <c r="E2213" s="1"/>
    </row>
    <row r="2214" ht="14.25" customHeight="1">
      <c r="A2214" s="1">
        <v>100.0</v>
      </c>
      <c r="B2214" s="1" t="s">
        <v>971</v>
      </c>
      <c r="C2214" s="1">
        <v>10.0</v>
      </c>
      <c r="D2214" s="1" t="s">
        <v>9</v>
      </c>
      <c r="E2214" s="1" t="str">
        <f>IFERROR(__xludf.DUMMYFUNCTION("GOOGLETRANSLATE(D2214,""PT"",""EN"")"),"10")</f>
        <v>10</v>
      </c>
    </row>
    <row r="2215" ht="14.25" customHeight="1">
      <c r="A2215" s="1">
        <v>100.0</v>
      </c>
      <c r="B2215" s="1" t="s">
        <v>971</v>
      </c>
      <c r="C2215" s="1">
        <v>10.0</v>
      </c>
      <c r="D2215" s="1" t="s">
        <v>996</v>
      </c>
      <c r="E2215" s="1" t="str">
        <f>IFERROR(__xludf.DUMMYFUNCTION("GOOGLETRANSLATE(D2215,""PT"",""EN"")"),"The most affordable interest, customer service.")</f>
        <v>The most affordable interest, customer service.</v>
      </c>
    </row>
    <row r="2216" ht="14.25" customHeight="1">
      <c r="A2216" s="1">
        <v>33.0</v>
      </c>
      <c r="B2216" s="1" t="s">
        <v>971</v>
      </c>
      <c r="C2216" s="1">
        <v>0.0</v>
      </c>
      <c r="D2216" s="1" t="s">
        <v>6</v>
      </c>
      <c r="E2216" s="1"/>
    </row>
    <row r="2217" ht="14.25" customHeight="1">
      <c r="A2217" s="1">
        <v>100.0</v>
      </c>
      <c r="B2217" s="1" t="s">
        <v>971</v>
      </c>
      <c r="C2217" s="1">
        <v>9.0</v>
      </c>
      <c r="D2217" s="1" t="s">
        <v>37</v>
      </c>
      <c r="E2217" s="1" t="str">
        <f>IFERROR(__xludf.DUMMYFUNCTION("GOOGLETRANSLATE(D2217,""PT"",""EN"")"),"Great service")</f>
        <v>Great service</v>
      </c>
    </row>
    <row r="2218" ht="14.25" customHeight="1">
      <c r="A2218" s="1">
        <v>100.0</v>
      </c>
      <c r="B2218" s="1" t="s">
        <v>971</v>
      </c>
      <c r="C2218" s="1">
        <v>10.0</v>
      </c>
      <c r="D2218" s="2" t="s">
        <v>997</v>
      </c>
      <c r="E2218" s="1" t="str">
        <f>IFERROR(__xludf.DUMMYFUNCTION("GOOGLETRANSLATE(D2218,""PT"",""EN"")"),"I always indicated! It's look that has time! Now that we are free admission! I indicate even more.")</f>
        <v>I always indicated! It's look that has time! Now that we are free admission! I indicate even more.</v>
      </c>
    </row>
    <row r="2219" ht="14.25" customHeight="1">
      <c r="A2219" s="1">
        <v>33.0</v>
      </c>
      <c r="B2219" s="1" t="s">
        <v>971</v>
      </c>
      <c r="C2219" s="1">
        <v>0.0</v>
      </c>
      <c r="D2219" s="1" t="s">
        <v>6</v>
      </c>
      <c r="E2219" s="1"/>
    </row>
    <row r="2220" ht="14.25" customHeight="1">
      <c r="A2220" s="1">
        <v>100.0</v>
      </c>
      <c r="B2220" s="1" t="s">
        <v>971</v>
      </c>
      <c r="C2220" s="1">
        <v>10.0</v>
      </c>
      <c r="D2220" s="2" t="s">
        <v>998</v>
      </c>
      <c r="E2220" s="1" t="str">
        <f>IFERROR(__xludf.DUMMYFUNCTION("GOOGLETRANSLATE(D2220,""PT"",""EN"")"),"Service is mobile operating system")</f>
        <v>Service is mobile operating system</v>
      </c>
    </row>
    <row r="2221" ht="14.25" customHeight="1">
      <c r="A2221" s="1">
        <v>100.0</v>
      </c>
      <c r="B2221" s="1" t="s">
        <v>971</v>
      </c>
      <c r="C2221" s="1">
        <v>10.0</v>
      </c>
      <c r="D2221" s="2" t="s">
        <v>999</v>
      </c>
      <c r="E2221" s="1" t="str">
        <f>IFERROR(__xludf.DUMMYFUNCTION("GOOGLETRANSLATE(D2221,""PT"",""EN"")"),"Quality of service of your team congratulations")</f>
        <v>Quality of service of your team congratulations</v>
      </c>
    </row>
    <row r="2222" ht="14.25" customHeight="1">
      <c r="A2222" s="1">
        <v>100.0</v>
      </c>
      <c r="B2222" s="1" t="s">
        <v>971</v>
      </c>
      <c r="C2222" s="1">
        <v>10.0</v>
      </c>
      <c r="D2222" s="1" t="s">
        <v>6</v>
      </c>
      <c r="E2222" s="1"/>
    </row>
    <row r="2223" ht="14.25" customHeight="1">
      <c r="A2223" s="1">
        <v>100.0</v>
      </c>
      <c r="B2223" s="1" t="s">
        <v>971</v>
      </c>
      <c r="C2223" s="1">
        <v>10.0</v>
      </c>
      <c r="D2223" s="1" t="s">
        <v>6</v>
      </c>
      <c r="E2223" s="1"/>
    </row>
    <row r="2224" ht="14.25" customHeight="1">
      <c r="A2224" s="1">
        <v>33.0</v>
      </c>
      <c r="B2224" s="1" t="s">
        <v>971</v>
      </c>
      <c r="C2224" s="1">
        <v>0.0</v>
      </c>
      <c r="D2224" s="1" t="s">
        <v>6</v>
      </c>
      <c r="E2224" s="1"/>
    </row>
    <row r="2225" ht="14.25" customHeight="1">
      <c r="A2225" s="1">
        <v>33.0</v>
      </c>
      <c r="B2225" s="1" t="s">
        <v>971</v>
      </c>
      <c r="C2225" s="1">
        <v>0.0</v>
      </c>
      <c r="D2225" s="2" t="s">
        <v>1000</v>
      </c>
      <c r="E2225" s="1" t="str">
        <f>IFERROR(__xludf.DUMMYFUNCTION("GOOGLETRANSLATE(D2225,""PT"",""EN"")"),"I didn't like the bank, very curled service….")</f>
        <v>I didn't like the bank, very curled service….</v>
      </c>
    </row>
    <row r="2226" ht="14.25" customHeight="1">
      <c r="A2226" s="1">
        <v>33.0</v>
      </c>
      <c r="B2226" s="1" t="s">
        <v>971</v>
      </c>
      <c r="C2226" s="1">
        <v>2.0</v>
      </c>
      <c r="D2226" s="1" t="s">
        <v>1001</v>
      </c>
      <c r="E2226" s="1" t="str">
        <f>IFERROR(__xludf.DUMMYFUNCTION("GOOGLETRANSLATE(D2226,""PT"",""EN"")"),"Lack of limit release.")</f>
        <v>Lack of limit release.</v>
      </c>
    </row>
    <row r="2227" ht="14.25" customHeight="1">
      <c r="A2227" s="1">
        <v>100.0</v>
      </c>
      <c r="B2227" s="1" t="s">
        <v>971</v>
      </c>
      <c r="C2227" s="1">
        <v>10.0</v>
      </c>
      <c r="D2227" s="1" t="s">
        <v>6</v>
      </c>
      <c r="E2227" s="1"/>
    </row>
    <row r="2228" ht="14.25" customHeight="1">
      <c r="A2228" s="1">
        <v>33.0</v>
      </c>
      <c r="B2228" s="1" t="s">
        <v>971</v>
      </c>
      <c r="C2228" s="1">
        <v>0.0</v>
      </c>
      <c r="D2228" s="2" t="s">
        <v>1002</v>
      </c>
      <c r="E2228" s="1" t="str">
        <f>IFERROR(__xludf.DUMMYFUNCTION("GOOGLETRANSLATE(D2228,""PT"",""EN"")"),"Note 0. The institution's lack of transparency is its employees, lack of efficiency in the processes.")</f>
        <v>Note 0. The institution's lack of transparency is its employees, lack of efficiency in the processes.</v>
      </c>
    </row>
    <row r="2229" ht="14.25" customHeight="1">
      <c r="A2229" s="1">
        <v>100.0</v>
      </c>
      <c r="B2229" s="1" t="s">
        <v>971</v>
      </c>
      <c r="C2229" s="1">
        <v>10.0</v>
      </c>
      <c r="D2229" s="2" t="s">
        <v>1003</v>
      </c>
      <c r="E2229" s="1" t="str">
        <f>IFERROR(__xludf.DUMMYFUNCTION("GOOGLETRANSLATE(D2229,""PT"",""EN"")"),"I was very well received the manager Marcos always answered me his attention, including the rates are lower. Ease for loans etc")</f>
        <v>I was very well received the manager Marcos always answered me his attention, including the rates are lower. Ease for loans etc</v>
      </c>
    </row>
    <row r="2230" ht="14.25" customHeight="1">
      <c r="A2230" s="1">
        <v>100.0</v>
      </c>
      <c r="B2230" s="1" t="s">
        <v>971</v>
      </c>
      <c r="C2230" s="1">
        <v>10.0</v>
      </c>
      <c r="D2230" s="1" t="s">
        <v>6</v>
      </c>
      <c r="E2230" s="1"/>
    </row>
    <row r="2231" ht="14.25" customHeight="1">
      <c r="A2231" s="1">
        <v>100.0</v>
      </c>
      <c r="B2231" s="1" t="s">
        <v>971</v>
      </c>
      <c r="C2231" s="1">
        <v>10.0</v>
      </c>
      <c r="D2231" s="1" t="s">
        <v>6</v>
      </c>
      <c r="E2231" s="1"/>
    </row>
    <row r="2232" ht="14.25" customHeight="1">
      <c r="A2232" s="1">
        <v>33.0</v>
      </c>
      <c r="B2232" s="1" t="s">
        <v>971</v>
      </c>
      <c r="C2232" s="1">
        <v>3.0</v>
      </c>
      <c r="D2232" s="2" t="s">
        <v>1004</v>
      </c>
      <c r="E2232" s="1" t="str">
        <f>IFERROR(__xludf.DUMMYFUNCTION("GOOGLETRANSLATE(D2232,""PT"",""EN"")"),"I couldn't limit I find the app very difficult")</f>
        <v>I couldn't limit I find the app very difficult</v>
      </c>
    </row>
    <row r="2233" ht="14.25" customHeight="1">
      <c r="A2233" s="1">
        <v>100.0</v>
      </c>
      <c r="B2233" s="1" t="s">
        <v>971</v>
      </c>
      <c r="C2233" s="1">
        <v>10.0</v>
      </c>
      <c r="D2233" s="1" t="s">
        <v>1005</v>
      </c>
      <c r="E2233" s="1" t="str">
        <f>IFERROR(__xludf.DUMMYFUNCTION("GOOGLETRANSLATE(D2233,""PT"",""EN"")"),"Ease of operations, personalized service, profitability, participation in leftovers.")</f>
        <v>Ease of operations, personalized service, profitability, participation in leftovers.</v>
      </c>
    </row>
    <row r="2234" ht="14.25" customHeight="1">
      <c r="A2234" s="1">
        <v>100.0</v>
      </c>
      <c r="B2234" s="1" t="s">
        <v>971</v>
      </c>
      <c r="C2234" s="1">
        <v>10.0</v>
      </c>
      <c r="D2234" s="1" t="s">
        <v>1006</v>
      </c>
      <c r="E2234" s="1" t="str">
        <f>IFERROR(__xludf.DUMMYFUNCTION("GOOGLETRANSLATE(D2234,""PT"",""EN"")"),"The best cooperative in Brazil")</f>
        <v>The best cooperative in Brazil</v>
      </c>
    </row>
    <row r="2235" ht="14.25" customHeight="1">
      <c r="A2235" s="1">
        <v>100.0</v>
      </c>
      <c r="B2235" s="1" t="s">
        <v>971</v>
      </c>
      <c r="C2235" s="1">
        <v>10.0</v>
      </c>
      <c r="D2235" s="1" t="s">
        <v>9</v>
      </c>
      <c r="E2235" s="1" t="str">
        <f>IFERROR(__xludf.DUMMYFUNCTION("GOOGLETRANSLATE(D2235,""PT"",""EN"")"),"10")</f>
        <v>10</v>
      </c>
    </row>
    <row r="2236" ht="14.25" customHeight="1">
      <c r="A2236" s="1">
        <v>100.0</v>
      </c>
      <c r="B2236" s="1" t="s">
        <v>971</v>
      </c>
      <c r="C2236" s="1">
        <v>10.0</v>
      </c>
      <c r="D2236" s="1" t="s">
        <v>6</v>
      </c>
      <c r="E2236" s="1"/>
    </row>
    <row r="2237" ht="14.25" customHeight="1">
      <c r="A2237" s="1">
        <v>100.0</v>
      </c>
      <c r="B2237" s="1" t="s">
        <v>971</v>
      </c>
      <c r="C2237" s="1">
        <v>10.0</v>
      </c>
      <c r="D2237" s="1" t="s">
        <v>6</v>
      </c>
      <c r="E2237" s="1"/>
    </row>
    <row r="2238" ht="14.25" customHeight="1">
      <c r="A2238" s="1">
        <v>66.0</v>
      </c>
      <c r="B2238" s="1" t="s">
        <v>971</v>
      </c>
      <c r="C2238" s="1">
        <v>8.0</v>
      </c>
      <c r="D2238" s="1" t="s">
        <v>6</v>
      </c>
      <c r="E2238" s="1"/>
    </row>
    <row r="2239" ht="14.25" customHeight="1">
      <c r="A2239" s="1">
        <v>66.0</v>
      </c>
      <c r="B2239" s="1" t="s">
        <v>971</v>
      </c>
      <c r="C2239" s="1">
        <v>7.0</v>
      </c>
      <c r="D2239" s="2" t="s">
        <v>1007</v>
      </c>
      <c r="E2239" s="1" t="str">
        <f>IFERROR(__xludf.DUMMYFUNCTION("GOOGLETRANSLATE(D2239,""PT"",""EN"")"),"No credit card has to ask the agency personally ask for God's love for management (famous kiss), much delay we are in the 21st century is artificial intelligence")</f>
        <v>No credit card has to ask the agency personally ask for God's love for management (famous kiss), much delay we are in the 21st century is artificial intelligence</v>
      </c>
    </row>
    <row r="2240" ht="14.25" customHeight="1">
      <c r="A2240" s="1">
        <v>33.0</v>
      </c>
      <c r="B2240" s="1" t="s">
        <v>971</v>
      </c>
      <c r="C2240" s="1">
        <v>5.0</v>
      </c>
      <c r="D2240" s="1" t="s">
        <v>1008</v>
      </c>
      <c r="E2240" s="1" t="str">
        <f>IFERROR(__xludf.DUMMYFUNCTION("GOOGLETRANSLATE(D2240,""PT"",""EN"")"),"Leaves some things to do")</f>
        <v>Leaves some things to do</v>
      </c>
    </row>
    <row r="2241" ht="14.25" customHeight="1">
      <c r="A2241" s="1">
        <v>33.0</v>
      </c>
      <c r="B2241" s="1" t="s">
        <v>971</v>
      </c>
      <c r="C2241" s="1">
        <v>1.0</v>
      </c>
      <c r="D2241" s="2" t="s">
        <v>1009</v>
      </c>
      <c r="E2241" s="1" t="str">
        <f>IFERROR(__xludf.DUMMYFUNCTION("GOOGLETRANSLATE(D2241,""PT"",""EN"")"),"Because it has charged improper fees that violates the Central Bank 3,919")</f>
        <v>Because it has charged improper fees that violates the Central Bank 3,919</v>
      </c>
    </row>
    <row r="2242" ht="14.25" customHeight="1">
      <c r="A2242" s="1">
        <v>100.0</v>
      </c>
      <c r="B2242" s="1" t="s">
        <v>971</v>
      </c>
      <c r="C2242" s="1">
        <v>10.0</v>
      </c>
      <c r="D2242" s="1" t="s">
        <v>6</v>
      </c>
      <c r="E2242" s="1"/>
    </row>
    <row r="2243" ht="14.25" customHeight="1">
      <c r="A2243" s="1">
        <v>100.0</v>
      </c>
      <c r="B2243" s="1" t="s">
        <v>971</v>
      </c>
      <c r="C2243" s="1">
        <v>10.0</v>
      </c>
      <c r="D2243" s="1" t="s">
        <v>1010</v>
      </c>
      <c r="E2243" s="1" t="str">
        <f>IFERROR(__xludf.DUMMYFUNCTION("GOOGLETRANSLATE(D2243,""PT"",""EN"")"),"Excellent bank")</f>
        <v>Excellent bank</v>
      </c>
    </row>
    <row r="2244" ht="14.25" customHeight="1">
      <c r="A2244" s="1">
        <v>33.0</v>
      </c>
      <c r="B2244" s="1" t="s">
        <v>971</v>
      </c>
      <c r="C2244" s="1">
        <v>0.0</v>
      </c>
      <c r="D2244" s="2" t="s">
        <v>1011</v>
      </c>
      <c r="E2244" s="1" t="str">
        <f>IFERROR(__xludf.DUMMYFUNCTION("GOOGLETRANSLATE(D2244,""PT"",""EN"")"),"Bank does not meet the need for the super -professional employee member without professionalism talks about his financial life to other clients that at least in my agency")</f>
        <v>Bank does not meet the need for the super -professional employee member without professionalism talks about his financial life to other clients that at least in my agency</v>
      </c>
    </row>
    <row r="2245" ht="14.25" customHeight="1">
      <c r="A2245" s="1">
        <v>100.0</v>
      </c>
      <c r="B2245" s="1" t="s">
        <v>971</v>
      </c>
      <c r="C2245" s="1">
        <v>10.0</v>
      </c>
      <c r="D2245" s="2" t="s">
        <v>1012</v>
      </c>
      <c r="E2245" s="1" t="str">
        <f>IFERROR(__xludf.DUMMYFUNCTION("GOOGLETRANSLATE(D2245,""PT"",""EN"")"),"Good service is functional application.")</f>
        <v>Good service is functional application.</v>
      </c>
    </row>
    <row r="2246" ht="14.25" customHeight="1">
      <c r="A2246" s="1">
        <v>33.0</v>
      </c>
      <c r="B2246" s="1" t="s">
        <v>971</v>
      </c>
      <c r="C2246" s="1">
        <v>0.0</v>
      </c>
      <c r="D2246" s="2" t="s">
        <v>1013</v>
      </c>
      <c r="E2246" s="1" t="str">
        <f>IFERROR(__xludf.DUMMYFUNCTION("GOOGLETRANSLATE(D2246,""PT"",""EN"")"),"No limit is or credit card")</f>
        <v>No limit is or credit card</v>
      </c>
    </row>
    <row r="2247" ht="14.25" customHeight="1">
      <c r="A2247" s="1">
        <v>100.0</v>
      </c>
      <c r="B2247" s="1" t="s">
        <v>971</v>
      </c>
      <c r="C2247" s="1">
        <v>10.0</v>
      </c>
      <c r="D2247" s="1" t="s">
        <v>6</v>
      </c>
      <c r="E2247" s="1"/>
    </row>
    <row r="2248" ht="14.25" customHeight="1">
      <c r="A2248" s="1">
        <v>100.0</v>
      </c>
      <c r="B2248" s="1" t="s">
        <v>971</v>
      </c>
      <c r="C2248" s="1">
        <v>10.0</v>
      </c>
      <c r="D2248" s="2" t="s">
        <v>1014</v>
      </c>
      <c r="E2248" s="1" t="str">
        <f>IFERROR(__xludf.DUMMYFUNCTION("GOOGLETRANSLATE(D2248,""PT"",""EN"")"),"Excellent bank is service!")</f>
        <v>Excellent bank is service!</v>
      </c>
    </row>
    <row r="2249" ht="14.25" customHeight="1">
      <c r="A2249" s="1">
        <v>100.0</v>
      </c>
      <c r="B2249" s="1" t="s">
        <v>971</v>
      </c>
      <c r="C2249" s="1">
        <v>9.0</v>
      </c>
      <c r="D2249" s="1" t="s">
        <v>6</v>
      </c>
      <c r="E2249" s="1"/>
    </row>
    <row r="2250" ht="14.25" customHeight="1">
      <c r="A2250" s="1">
        <v>100.0</v>
      </c>
      <c r="B2250" s="1" t="s">
        <v>971</v>
      </c>
      <c r="C2250" s="1">
        <v>10.0</v>
      </c>
      <c r="D2250" s="1" t="s">
        <v>6</v>
      </c>
      <c r="E2250" s="1"/>
    </row>
    <row r="2251" ht="14.25" customHeight="1">
      <c r="A2251" s="1">
        <v>100.0</v>
      </c>
      <c r="B2251" s="1" t="s">
        <v>971</v>
      </c>
      <c r="C2251" s="1">
        <v>10.0</v>
      </c>
      <c r="D2251" s="2" t="s">
        <v>1015</v>
      </c>
      <c r="E2251" s="1" t="str">
        <f>IFERROR(__xludf.DUMMYFUNCTION("GOOGLETRANSLATE(D2251,""PT"",""EN"")"),"Fantastic, I don't change for any other bank")</f>
        <v>Fantastic, I don't change for any other bank</v>
      </c>
    </row>
    <row r="2252" ht="14.25" customHeight="1">
      <c r="A2252" s="1">
        <v>100.0</v>
      </c>
      <c r="B2252" s="1" t="s">
        <v>971</v>
      </c>
      <c r="C2252" s="1">
        <v>10.0</v>
      </c>
      <c r="D2252" s="1" t="s">
        <v>6</v>
      </c>
      <c r="E2252" s="1"/>
    </row>
    <row r="2253" ht="14.25" customHeight="1">
      <c r="A2253" s="1">
        <v>100.0</v>
      </c>
      <c r="B2253" s="1" t="s">
        <v>971</v>
      </c>
      <c r="C2253" s="1">
        <v>10.0</v>
      </c>
      <c r="D2253" s="1" t="s">
        <v>6</v>
      </c>
      <c r="E2253" s="1"/>
    </row>
    <row r="2254" ht="14.25" customHeight="1">
      <c r="A2254" s="1">
        <v>100.0</v>
      </c>
      <c r="B2254" s="1" t="s">
        <v>971</v>
      </c>
      <c r="C2254" s="1">
        <v>10.0</v>
      </c>
      <c r="D2254" s="1" t="s">
        <v>9</v>
      </c>
      <c r="E2254" s="1" t="str">
        <f>IFERROR(__xludf.DUMMYFUNCTION("GOOGLETRANSLATE(D2254,""PT"",""EN"")"),"10")</f>
        <v>10</v>
      </c>
    </row>
    <row r="2255" ht="14.25" customHeight="1">
      <c r="A2255" s="1">
        <v>33.0</v>
      </c>
      <c r="B2255" s="1" t="s">
        <v>971</v>
      </c>
      <c r="C2255" s="1">
        <v>1.0</v>
      </c>
      <c r="D2255" s="2" t="s">
        <v>1016</v>
      </c>
      <c r="E2255" s="1" t="str">
        <f>IFERROR(__xludf.DUMMYFUNCTION("GOOGLETRANSLATE(D2255,""PT"",""EN"")"),"Send a Credit card that never goes up the value")</f>
        <v>Send a Credit card that never goes up the value</v>
      </c>
    </row>
    <row r="2256" ht="14.25" customHeight="1">
      <c r="A2256" s="1">
        <v>33.0</v>
      </c>
      <c r="B2256" s="1" t="s">
        <v>971</v>
      </c>
      <c r="C2256" s="1">
        <v>1.0</v>
      </c>
      <c r="D2256" s="2" t="s">
        <v>1017</v>
      </c>
      <c r="E2256" s="1" t="str">
        <f>IFERROR(__xludf.DUMMYFUNCTION("GOOGLETRANSLATE(D2256,""PT"",""EN"")"),"Because I opened the account there because I thought it was credit card is not")</f>
        <v>Because I opened the account there because I thought it was credit card is not</v>
      </c>
    </row>
    <row r="2257" ht="14.25" customHeight="1">
      <c r="A2257" s="1">
        <v>33.0</v>
      </c>
      <c r="B2257" s="1" t="s">
        <v>971</v>
      </c>
      <c r="C2257" s="1">
        <v>0.0</v>
      </c>
      <c r="D2257" s="1" t="s">
        <v>6</v>
      </c>
      <c r="E2257" s="1"/>
    </row>
    <row r="2258" ht="14.25" customHeight="1">
      <c r="A2258" s="1">
        <v>33.0</v>
      </c>
      <c r="B2258" s="1" t="s">
        <v>971</v>
      </c>
      <c r="C2258" s="1">
        <v>3.0</v>
      </c>
      <c r="D2258" s="1" t="s">
        <v>6</v>
      </c>
      <c r="E2258" s="1"/>
    </row>
    <row r="2259" ht="14.25" customHeight="1">
      <c r="A2259" s="1">
        <v>100.0</v>
      </c>
      <c r="B2259" s="1" t="s">
        <v>971</v>
      </c>
      <c r="C2259" s="1">
        <v>10.0</v>
      </c>
      <c r="D2259" s="2" t="s">
        <v>1018</v>
      </c>
      <c r="E2259" s="1" t="str">
        <f>IFERROR(__xludf.DUMMYFUNCTION("GOOGLETRANSLATE(D2259,""PT"",""EN"")"),"Good service is speed")</f>
        <v>Good service is speed</v>
      </c>
    </row>
    <row r="2260" ht="14.25" customHeight="1">
      <c r="A2260" s="1">
        <v>33.0</v>
      </c>
      <c r="B2260" s="1" t="s">
        <v>971</v>
      </c>
      <c r="C2260" s="1">
        <v>3.0</v>
      </c>
      <c r="D2260" s="1" t="s">
        <v>6</v>
      </c>
      <c r="E2260" s="1"/>
    </row>
    <row r="2261" ht="14.25" customHeight="1">
      <c r="A2261" s="1">
        <v>33.0</v>
      </c>
      <c r="B2261" s="1" t="s">
        <v>971</v>
      </c>
      <c r="C2261" s="1">
        <v>0.0</v>
      </c>
      <c r="D2261" s="1" t="s">
        <v>6</v>
      </c>
      <c r="E2261" s="1"/>
    </row>
    <row r="2262" ht="14.25" customHeight="1">
      <c r="A2262" s="1">
        <v>100.0</v>
      </c>
      <c r="B2262" s="1" t="s">
        <v>971</v>
      </c>
      <c r="C2262" s="1">
        <v>10.0</v>
      </c>
      <c r="D2262" s="1" t="s">
        <v>62</v>
      </c>
      <c r="E2262" s="1" t="str">
        <f>IFERROR(__xludf.DUMMYFUNCTION("GOOGLETRANSLATE(D2262,""PT"",""EN"")"),"Good service")</f>
        <v>Good service</v>
      </c>
    </row>
    <row r="2263" ht="14.25" customHeight="1">
      <c r="A2263" s="1">
        <v>100.0</v>
      </c>
      <c r="B2263" s="1" t="s">
        <v>971</v>
      </c>
      <c r="C2263" s="1">
        <v>10.0</v>
      </c>
      <c r="D2263" s="1" t="s">
        <v>6</v>
      </c>
      <c r="E2263" s="1"/>
    </row>
    <row r="2264" ht="14.25" customHeight="1">
      <c r="A2264" s="1">
        <v>100.0</v>
      </c>
      <c r="B2264" s="1" t="s">
        <v>971</v>
      </c>
      <c r="C2264" s="1">
        <v>10.0</v>
      </c>
      <c r="D2264" s="1" t="s">
        <v>6</v>
      </c>
      <c r="E2264" s="1"/>
    </row>
    <row r="2265" ht="14.25" customHeight="1">
      <c r="A2265" s="1">
        <v>100.0</v>
      </c>
      <c r="B2265" s="1" t="s">
        <v>971</v>
      </c>
      <c r="C2265" s="1">
        <v>10.0</v>
      </c>
      <c r="D2265" s="1" t="s">
        <v>1019</v>
      </c>
      <c r="E2265" s="1" t="str">
        <f>IFERROR(__xludf.DUMMYFUNCTION("GOOGLETRANSLATE(D2265,""PT"",""EN"")"),"Good relationship")</f>
        <v>Good relationship</v>
      </c>
    </row>
    <row r="2266" ht="14.25" customHeight="1">
      <c r="A2266" s="1">
        <v>100.0</v>
      </c>
      <c r="B2266" s="1" t="s">
        <v>971</v>
      </c>
      <c r="C2266" s="1">
        <v>10.0</v>
      </c>
      <c r="D2266" s="1" t="s">
        <v>6</v>
      </c>
      <c r="E2266" s="1"/>
    </row>
    <row r="2267" ht="14.25" customHeight="1">
      <c r="A2267" s="1">
        <v>100.0</v>
      </c>
      <c r="B2267" s="1" t="s">
        <v>971</v>
      </c>
      <c r="C2267" s="1">
        <v>10.0</v>
      </c>
      <c r="D2267" s="2" t="s">
        <v>1020</v>
      </c>
      <c r="E2267" s="1" t="str">
        <f>IFERROR(__xludf.DUMMYFUNCTION("GOOGLETRANSLATE(D2267,""PT"",""EN"")"),"A practical bank is with excellent service! Very agile in solutions is customer demands!")</f>
        <v>A practical bank is with excellent service! Very agile in solutions is customer demands!</v>
      </c>
    </row>
    <row r="2268" ht="14.25" customHeight="1">
      <c r="A2268" s="1">
        <v>33.0</v>
      </c>
      <c r="B2268" s="1" t="s">
        <v>971</v>
      </c>
      <c r="C2268" s="1">
        <v>3.0</v>
      </c>
      <c r="D2268" s="2" t="s">
        <v>1021</v>
      </c>
      <c r="E2268" s="1" t="str">
        <f>IFERROR(__xludf.DUMMYFUNCTION("GOOGLETRANSLATE(D2268,""PT"",""EN"")"),"I am cooperated with Sicoob but I do not like the idea of ​​not being able to get all my money as soon as I cancel my will or even without canceling after all the money is mine. Another thing the maintenance of the account I am obliged to pay I have check"&amp;"ing account in another bank is not paid maintenance. Ob hope you give me a little attention")</f>
        <v>I am cooperated with Sicoob but I do not like the idea of ​​not being able to get all my money as soon as I cancel my will or even without canceling after all the money is mine. Another thing the maintenance of the account I am obliged to pay I have checking account in another bank is not paid maintenance. Ob hope you give me a little attention</v>
      </c>
    </row>
    <row r="2269" ht="14.25" customHeight="1">
      <c r="A2269" s="1">
        <v>100.0</v>
      </c>
      <c r="B2269" s="1" t="s">
        <v>971</v>
      </c>
      <c r="C2269" s="1">
        <v>10.0</v>
      </c>
      <c r="D2269" s="1" t="s">
        <v>6</v>
      </c>
      <c r="E2269" s="1"/>
    </row>
    <row r="2270" ht="14.25" customHeight="1">
      <c r="A2270" s="1">
        <v>100.0</v>
      </c>
      <c r="B2270" s="1" t="s">
        <v>971</v>
      </c>
      <c r="C2270" s="1">
        <v>10.0</v>
      </c>
      <c r="D2270" s="1" t="s">
        <v>393</v>
      </c>
      <c r="E2270" s="1" t="str">
        <f>IFERROR(__xludf.DUMMYFUNCTION("GOOGLETRANSLATE(D2270,""PT"",""EN"")"),"great")</f>
        <v>great</v>
      </c>
    </row>
    <row r="2271" ht="14.25" customHeight="1">
      <c r="A2271" s="1">
        <v>100.0</v>
      </c>
      <c r="B2271" s="1" t="s">
        <v>971</v>
      </c>
      <c r="C2271" s="1">
        <v>10.0</v>
      </c>
      <c r="D2271" s="2" t="s">
        <v>1022</v>
      </c>
      <c r="E2271" s="1" t="str">
        <f>IFERROR(__xludf.DUMMYFUNCTION("GOOGLETRANSLATE(D2271,""PT"",""EN"")"),"Excellence service is an excellent bank")</f>
        <v>Excellence service is an excellent bank</v>
      </c>
    </row>
    <row r="2272" ht="14.25" customHeight="1">
      <c r="A2272" s="1">
        <v>100.0</v>
      </c>
      <c r="B2272" s="1" t="s">
        <v>971</v>
      </c>
      <c r="C2272" s="1">
        <v>10.0</v>
      </c>
      <c r="D2272" s="2" t="s">
        <v>570</v>
      </c>
      <c r="E2272" s="1" t="str">
        <f>IFERROR(__xludf.DUMMYFUNCTION("GOOGLETRANSLATE(D2272,""PT"",""EN"")"),"Excelent reception")</f>
        <v>Excelent reception</v>
      </c>
    </row>
    <row r="2273" ht="14.25" customHeight="1">
      <c r="A2273" s="1">
        <v>100.0</v>
      </c>
      <c r="B2273" s="1" t="s">
        <v>971</v>
      </c>
      <c r="C2273" s="1">
        <v>10.0</v>
      </c>
      <c r="D2273" s="1" t="s">
        <v>6</v>
      </c>
      <c r="E2273" s="1"/>
    </row>
    <row r="2274" ht="14.25" customHeight="1">
      <c r="A2274" s="1">
        <v>100.0</v>
      </c>
      <c r="B2274" s="1" t="s">
        <v>971</v>
      </c>
      <c r="C2274" s="1">
        <v>10.0</v>
      </c>
      <c r="D2274" s="1" t="s">
        <v>6</v>
      </c>
      <c r="E2274" s="1"/>
    </row>
    <row r="2275" ht="14.25" customHeight="1">
      <c r="A2275" s="1">
        <v>100.0</v>
      </c>
      <c r="B2275" s="1" t="s">
        <v>971</v>
      </c>
      <c r="C2275" s="1">
        <v>10.0</v>
      </c>
      <c r="D2275" s="1" t="s">
        <v>85</v>
      </c>
      <c r="E2275" s="1" t="str">
        <f>IFERROR(__xludf.DUMMYFUNCTION("GOOGLETRANSLATE(D2275,""PT"",""EN"")"),"Service")</f>
        <v>Service</v>
      </c>
    </row>
    <row r="2276" ht="14.25" customHeight="1">
      <c r="A2276" s="1">
        <v>100.0</v>
      </c>
      <c r="B2276" s="1" t="s">
        <v>971</v>
      </c>
      <c r="C2276" s="1">
        <v>10.0</v>
      </c>
      <c r="D2276" s="1" t="s">
        <v>1023</v>
      </c>
      <c r="E2276" s="1" t="str">
        <f>IFERROR(__xludf.DUMMYFUNCTION("GOOGLETRANSLATE(D2276,""PT"",""EN"")"),"Excellent in everything")</f>
        <v>Excellent in everything</v>
      </c>
    </row>
    <row r="2277" ht="14.25" customHeight="1">
      <c r="A2277" s="1">
        <v>66.0</v>
      </c>
      <c r="B2277" s="1" t="s">
        <v>971</v>
      </c>
      <c r="C2277" s="1">
        <v>8.0</v>
      </c>
      <c r="D2277" s="1" t="s">
        <v>6</v>
      </c>
      <c r="E2277" s="1"/>
    </row>
    <row r="2278" ht="14.25" customHeight="1">
      <c r="A2278" s="1">
        <v>100.0</v>
      </c>
      <c r="B2278" s="1" t="s">
        <v>971</v>
      </c>
      <c r="C2278" s="1">
        <v>10.0</v>
      </c>
      <c r="D2278" s="1" t="s">
        <v>9</v>
      </c>
      <c r="E2278" s="1" t="str">
        <f>IFERROR(__xludf.DUMMYFUNCTION("GOOGLETRANSLATE(D2278,""PT"",""EN"")"),"10")</f>
        <v>10</v>
      </c>
    </row>
    <row r="2279" ht="14.25" customHeight="1">
      <c r="A2279" s="1">
        <v>100.0</v>
      </c>
      <c r="B2279" s="1" t="s">
        <v>971</v>
      </c>
      <c r="C2279" s="1">
        <v>10.0</v>
      </c>
      <c r="D2279" s="2" t="s">
        <v>1024</v>
      </c>
      <c r="E2279" s="1" t="str">
        <f>IFERROR(__xludf.DUMMYFUNCTION("GOOGLETRANSLATE(D2279,""PT"",""EN"")"),"Great app, great face -to -face service, comfortable installations is very cortez")</f>
        <v>Great app, great face -to -face service, comfortable installations is very cortez</v>
      </c>
    </row>
    <row r="2280" ht="14.25" customHeight="1">
      <c r="A2280" s="1">
        <v>100.0</v>
      </c>
      <c r="B2280" s="1" t="s">
        <v>971</v>
      </c>
      <c r="C2280" s="1">
        <v>10.0</v>
      </c>
      <c r="D2280" s="1" t="s">
        <v>6</v>
      </c>
      <c r="E2280" s="1"/>
    </row>
    <row r="2281" ht="14.25" customHeight="1">
      <c r="A2281" s="1">
        <v>33.0</v>
      </c>
      <c r="B2281" s="1" t="s">
        <v>971</v>
      </c>
      <c r="C2281" s="1">
        <v>4.0</v>
      </c>
      <c r="D2281" s="2" t="s">
        <v>1025</v>
      </c>
      <c r="E2281" s="1" t="str">
        <f>IFERROR(__xludf.DUMMYFUNCTION("GOOGLETRANSLATE(D2281,""PT"",""EN"")"),"Management does not pay attention to customers, in a business we need attention, as this is a lack of management. For that reason I have already witnessed many customers to leave Sicoob")</f>
        <v>Management does not pay attention to customers, in a business we need attention, as this is a lack of management. For that reason I have already witnessed many customers to leave Sicoob</v>
      </c>
    </row>
    <row r="2282" ht="14.25" customHeight="1">
      <c r="A2282" s="1">
        <v>66.0</v>
      </c>
      <c r="B2282" s="1" t="s">
        <v>971</v>
      </c>
      <c r="C2282" s="1">
        <v>8.0</v>
      </c>
      <c r="D2282" s="1" t="s">
        <v>6</v>
      </c>
      <c r="E2282" s="1"/>
    </row>
    <row r="2283" ht="14.25" customHeight="1">
      <c r="A2283" s="1">
        <v>100.0</v>
      </c>
      <c r="B2283" s="1" t="s">
        <v>971</v>
      </c>
      <c r="C2283" s="1">
        <v>10.0</v>
      </c>
      <c r="D2283" s="1" t="s">
        <v>1026</v>
      </c>
      <c r="E2283" s="1" t="str">
        <f>IFERROR(__xludf.DUMMYFUNCTION("GOOGLETRANSLATE(D2283,""PT"",""EN"")"),"Always")</f>
        <v>Always</v>
      </c>
    </row>
    <row r="2284" ht="14.25" customHeight="1">
      <c r="A2284" s="1">
        <v>100.0</v>
      </c>
      <c r="B2284" s="1" t="s">
        <v>971</v>
      </c>
      <c r="C2284" s="1">
        <v>10.0</v>
      </c>
      <c r="D2284" s="1" t="s">
        <v>6</v>
      </c>
      <c r="E2284" s="1"/>
    </row>
    <row r="2285" ht="14.25" customHeight="1">
      <c r="A2285" s="1">
        <v>33.0</v>
      </c>
      <c r="B2285" s="1" t="s">
        <v>971</v>
      </c>
      <c r="C2285" s="1">
        <v>5.0</v>
      </c>
      <c r="D2285" s="1" t="s">
        <v>6</v>
      </c>
      <c r="E2285" s="1"/>
    </row>
    <row r="2286" ht="14.25" customHeight="1">
      <c r="A2286" s="1">
        <v>33.0</v>
      </c>
      <c r="B2286" s="1" t="s">
        <v>971</v>
      </c>
      <c r="C2286" s="1">
        <v>5.0</v>
      </c>
      <c r="D2286" s="1" t="s">
        <v>6</v>
      </c>
      <c r="E2286" s="1"/>
    </row>
    <row r="2287" ht="14.25" customHeight="1">
      <c r="A2287" s="1">
        <v>100.0</v>
      </c>
      <c r="B2287" s="1" t="s">
        <v>971</v>
      </c>
      <c r="C2287" s="1">
        <v>10.0</v>
      </c>
      <c r="D2287" s="1" t="s">
        <v>1027</v>
      </c>
      <c r="E2287" s="1" t="str">
        <f>IFERROR(__xludf.DUMMYFUNCTION("GOOGLETRANSLATE(D2287,""PT"",""EN"")"),"Service is very good")</f>
        <v>Service is very good</v>
      </c>
    </row>
    <row r="2288" ht="14.25" customHeight="1">
      <c r="A2288" s="1">
        <v>100.0</v>
      </c>
      <c r="B2288" s="1" t="s">
        <v>971</v>
      </c>
      <c r="C2288" s="1">
        <v>10.0</v>
      </c>
      <c r="D2288" s="1" t="s">
        <v>6</v>
      </c>
      <c r="E2288" s="1"/>
    </row>
    <row r="2289" ht="14.25" customHeight="1">
      <c r="A2289" s="1">
        <v>100.0</v>
      </c>
      <c r="B2289" s="1" t="s">
        <v>971</v>
      </c>
      <c r="C2289" s="1">
        <v>10.0</v>
      </c>
      <c r="D2289" s="1" t="s">
        <v>1028</v>
      </c>
      <c r="E2289" s="1" t="str">
        <f>IFERROR(__xludf.DUMMYFUNCTION("GOOGLETRANSLATE(D2289,""PT"",""EN"")"),"A very complete bank")</f>
        <v>A very complete bank</v>
      </c>
    </row>
    <row r="2290" ht="14.25" customHeight="1">
      <c r="A2290" s="1">
        <v>100.0</v>
      </c>
      <c r="B2290" s="1" t="s">
        <v>971</v>
      </c>
      <c r="C2290" s="1">
        <v>10.0</v>
      </c>
      <c r="D2290" s="1" t="s">
        <v>1029</v>
      </c>
      <c r="E2290" s="1" t="str">
        <f>IFERROR(__xludf.DUMMYFUNCTION("GOOGLETRANSLATE(D2290,""PT"",""EN"")"),"My manager")</f>
        <v>My manager</v>
      </c>
    </row>
    <row r="2291" ht="14.25" customHeight="1">
      <c r="A2291" s="1">
        <v>33.0</v>
      </c>
      <c r="B2291" s="1" t="s">
        <v>971</v>
      </c>
      <c r="C2291" s="1">
        <v>2.0</v>
      </c>
      <c r="D2291" s="1" t="s">
        <v>1030</v>
      </c>
      <c r="E2291" s="1" t="str">
        <f>IFERROR(__xludf.DUMMYFUNCTION("GOOGLETRANSLATE(D2291,""PT"",""EN"")"),"Limit outside my income, uninviters is bad functionality.")</f>
        <v>Limit outside my income, uninviters is bad functionality.</v>
      </c>
    </row>
    <row r="2292" ht="14.25" customHeight="1">
      <c r="A2292" s="1">
        <v>100.0</v>
      </c>
      <c r="B2292" s="1" t="s">
        <v>971</v>
      </c>
      <c r="C2292" s="1">
        <v>10.0</v>
      </c>
      <c r="D2292" s="1" t="s">
        <v>1031</v>
      </c>
      <c r="E2292" s="1" t="str">
        <f>IFERROR(__xludf.DUMMYFUNCTION("GOOGLETRANSLATE(D2292,""PT"",""EN"")"),"efficiency")</f>
        <v>efficiency</v>
      </c>
    </row>
    <row r="2293" ht="14.25" customHeight="1">
      <c r="A2293" s="1">
        <v>100.0</v>
      </c>
      <c r="B2293" s="1" t="s">
        <v>971</v>
      </c>
      <c r="C2293" s="1">
        <v>9.0</v>
      </c>
      <c r="D2293" s="1" t="s">
        <v>6</v>
      </c>
      <c r="E2293" s="1"/>
    </row>
    <row r="2294" ht="14.25" customHeight="1">
      <c r="A2294" s="1">
        <v>100.0</v>
      </c>
      <c r="B2294" s="1" t="s">
        <v>971</v>
      </c>
      <c r="C2294" s="1">
        <v>10.0</v>
      </c>
      <c r="D2294" s="1" t="s">
        <v>6</v>
      </c>
      <c r="E2294" s="1"/>
    </row>
    <row r="2295" ht="14.25" customHeight="1">
      <c r="A2295" s="1">
        <v>100.0</v>
      </c>
      <c r="B2295" s="1" t="s">
        <v>971</v>
      </c>
      <c r="C2295" s="1">
        <v>10.0</v>
      </c>
      <c r="D2295" s="1" t="s">
        <v>42</v>
      </c>
      <c r="E2295" s="1" t="str">
        <f>IFERROR(__xludf.DUMMYFUNCTION("GOOGLETRANSLATE(D2295,""PT"",""EN"")"),"good service")</f>
        <v>good service</v>
      </c>
    </row>
    <row r="2296" ht="14.25" customHeight="1">
      <c r="A2296" s="1">
        <v>33.0</v>
      </c>
      <c r="B2296" s="1" t="s">
        <v>971</v>
      </c>
      <c r="C2296" s="1">
        <v>2.0</v>
      </c>
      <c r="D2296" s="2" t="s">
        <v>1032</v>
      </c>
      <c r="E2296" s="1" t="str">
        <f>IFERROR(__xludf.DUMMYFUNCTION("GOOGLETRANSLATE(D2296,""PT"",""EN"")"),"Very complicated to withdraw money in the ATM .. It is worse with the use of the phone ... taking loan on the bank is a delay is still bureaucratic is difficult ....")</f>
        <v>Very complicated to withdraw money in the ATM .. It is worse with the use of the phone ... taking loan on the bank is a delay is still bureaucratic is difficult ....</v>
      </c>
    </row>
    <row r="2297" ht="14.25" customHeight="1">
      <c r="A2297" s="1">
        <v>100.0</v>
      </c>
      <c r="B2297" s="1" t="s">
        <v>971</v>
      </c>
      <c r="C2297" s="1">
        <v>10.0</v>
      </c>
      <c r="D2297" s="1" t="s">
        <v>6</v>
      </c>
      <c r="E2297" s="1"/>
    </row>
    <row r="2298" ht="14.25" customHeight="1">
      <c r="A2298" s="1">
        <v>100.0</v>
      </c>
      <c r="B2298" s="1" t="s">
        <v>971</v>
      </c>
      <c r="C2298" s="1">
        <v>10.0</v>
      </c>
      <c r="D2298" s="1" t="s">
        <v>6</v>
      </c>
      <c r="E2298" s="1"/>
    </row>
    <row r="2299" ht="14.25" customHeight="1">
      <c r="A2299" s="1">
        <v>100.0</v>
      </c>
      <c r="B2299" s="1" t="s">
        <v>971</v>
      </c>
      <c r="C2299" s="1">
        <v>10.0</v>
      </c>
      <c r="D2299" s="2" t="s">
        <v>1033</v>
      </c>
      <c r="E2299" s="1" t="str">
        <f>IFERROR(__xludf.DUMMYFUNCTION("GOOGLETRANSLATE(D2299,""PT"",""EN"")"),"Employee treatment with us is great always attentive is with great patience")</f>
        <v>Employee treatment with us is great always attentive is with great patience</v>
      </c>
    </row>
    <row r="2300" ht="14.25" customHeight="1">
      <c r="A2300" s="1">
        <v>33.0</v>
      </c>
      <c r="B2300" s="1" t="s">
        <v>971</v>
      </c>
      <c r="C2300" s="1">
        <v>0.0</v>
      </c>
      <c r="D2300" s="1" t="s">
        <v>6</v>
      </c>
      <c r="E2300" s="1"/>
    </row>
    <row r="2301" ht="14.25" customHeight="1">
      <c r="A2301" s="1">
        <v>33.0</v>
      </c>
      <c r="B2301" s="1" t="s">
        <v>971</v>
      </c>
      <c r="C2301" s="1">
        <v>1.0</v>
      </c>
      <c r="D2301" s="1" t="s">
        <v>1034</v>
      </c>
      <c r="E2301" s="1" t="str">
        <f>IFERROR(__xludf.DUMMYFUNCTION("GOOGLETRANSLATE(D2301,""PT"",""EN"")"),"Account without benefits")</f>
        <v>Account without benefits</v>
      </c>
    </row>
    <row r="2302" ht="14.25" customHeight="1">
      <c r="A2302" s="1">
        <v>100.0</v>
      </c>
      <c r="B2302" s="1" t="s">
        <v>971</v>
      </c>
      <c r="C2302" s="1">
        <v>10.0</v>
      </c>
      <c r="D2302" s="1" t="s">
        <v>6</v>
      </c>
      <c r="E2302" s="1"/>
    </row>
    <row r="2303" ht="14.25" customHeight="1">
      <c r="A2303" s="1">
        <v>100.0</v>
      </c>
      <c r="B2303" s="1" t="s">
        <v>971</v>
      </c>
      <c r="C2303" s="1">
        <v>10.0</v>
      </c>
      <c r="D2303" s="2" t="s">
        <v>1035</v>
      </c>
      <c r="E2303" s="1" t="str">
        <f>IFERROR(__xludf.DUMMYFUNCTION("GOOGLETRANSLATE(D2303,""PT"",""EN"")"),"I find it easy to work with the Sicoob app is because it does not abuse the charging fees.")</f>
        <v>I find it easy to work with the Sicoob app is because it does not abuse the charging fees.</v>
      </c>
    </row>
    <row r="2304" ht="14.25" customHeight="1">
      <c r="A2304" s="1">
        <v>66.0</v>
      </c>
      <c r="B2304" s="1" t="s">
        <v>971</v>
      </c>
      <c r="C2304" s="1">
        <v>7.0</v>
      </c>
      <c r="D2304" s="2" t="s">
        <v>1036</v>
      </c>
      <c r="E2304" s="1" t="str">
        <f>IFERROR(__xludf.DUMMYFUNCTION("GOOGLETRANSLATE(D2304,""PT"",""EN"")"),"could receive a 10 more abusive interest collection providing a credit card with procon interest Improve financing with little interest rates of 6 year")</f>
        <v>could receive a 10 more abusive interest collection providing a credit card with procon interest Improve financing with little interest rates of 6 year</v>
      </c>
    </row>
    <row r="2305" ht="14.25" customHeight="1">
      <c r="A2305" s="1">
        <v>100.0</v>
      </c>
      <c r="B2305" s="1" t="s">
        <v>971</v>
      </c>
      <c r="C2305" s="1">
        <v>10.0</v>
      </c>
      <c r="D2305" s="1" t="s">
        <v>1037</v>
      </c>
      <c r="E2305" s="1" t="str">
        <f>IFERROR(__xludf.DUMMYFUNCTION("GOOGLETRANSLATE(D2305,""PT"",""EN"")"),"For good service")</f>
        <v>For good service</v>
      </c>
    </row>
    <row r="2306" ht="14.25" customHeight="1">
      <c r="A2306" s="1">
        <v>33.0</v>
      </c>
      <c r="B2306" s="1" t="s">
        <v>971</v>
      </c>
      <c r="C2306" s="1">
        <v>0.0</v>
      </c>
      <c r="D2306" s="1" t="s">
        <v>6</v>
      </c>
      <c r="E2306" s="1"/>
    </row>
    <row r="2307" ht="14.25" customHeight="1">
      <c r="A2307" s="1">
        <v>100.0</v>
      </c>
      <c r="B2307" s="1" t="s">
        <v>971</v>
      </c>
      <c r="C2307" s="1">
        <v>10.0</v>
      </c>
      <c r="D2307" s="1" t="s">
        <v>6</v>
      </c>
      <c r="E2307" s="1"/>
    </row>
    <row r="2308" ht="14.25" customHeight="1">
      <c r="A2308" s="1">
        <v>100.0</v>
      </c>
      <c r="B2308" s="1" t="s">
        <v>971</v>
      </c>
      <c r="C2308" s="1">
        <v>10.0</v>
      </c>
      <c r="D2308" s="2" t="s">
        <v>1038</v>
      </c>
      <c r="E2308" s="1" t="str">
        <f>IFERROR(__xludf.DUMMYFUNCTION("GOOGLETRANSLATE(D2308,""PT"",""EN"")"),"All service is attention that the bank has with me. It's more than a bank for me is a partner")</f>
        <v>All service is attention that the bank has with me. It's more than a bank for me is a partner</v>
      </c>
    </row>
    <row r="2309" ht="14.25" customHeight="1">
      <c r="A2309" s="1">
        <v>100.0</v>
      </c>
      <c r="B2309" s="1" t="s">
        <v>971</v>
      </c>
      <c r="C2309" s="1">
        <v>10.0</v>
      </c>
      <c r="D2309" s="2" t="s">
        <v>1039</v>
      </c>
      <c r="E2309" s="1" t="str">
        <f>IFERROR(__xludf.DUMMYFUNCTION("GOOGLETRANSLATE(D2309,""PT"",""EN"")"),"The service is exceptional. Employees are impeccable in attention is help in all calls. The employee Rafaella is impressive efficient mind is practical. You are to be congratulated!!!")</f>
        <v>The service is exceptional. Employees are impeccable in attention is help in all calls. The employee Rafaella is impressive efficient mind is practical. You are to be congratulated!!!</v>
      </c>
    </row>
    <row r="2310" ht="14.25" customHeight="1">
      <c r="A2310" s="1">
        <v>100.0</v>
      </c>
      <c r="B2310" s="1" t="s">
        <v>971</v>
      </c>
      <c r="C2310" s="1">
        <v>10.0</v>
      </c>
      <c r="D2310" s="1" t="s">
        <v>6</v>
      </c>
      <c r="E2310" s="1"/>
    </row>
    <row r="2311" ht="14.25" customHeight="1">
      <c r="A2311" s="1">
        <v>100.0</v>
      </c>
      <c r="B2311" s="1" t="s">
        <v>971</v>
      </c>
      <c r="C2311" s="1">
        <v>9.0</v>
      </c>
      <c r="D2311" s="1" t="s">
        <v>1040</v>
      </c>
      <c r="E2311" s="1" t="str">
        <f>IFERROR(__xludf.DUMMYFUNCTION("GOOGLETRANSLATE(D2311,""PT"",""EN"")"),"The service is good! More can improve!")</f>
        <v>The service is good! More can improve!</v>
      </c>
    </row>
    <row r="2312" ht="14.25" customHeight="1">
      <c r="A2312" s="1">
        <v>100.0</v>
      </c>
      <c r="B2312" s="1" t="s">
        <v>971</v>
      </c>
      <c r="C2312" s="1">
        <v>10.0</v>
      </c>
      <c r="D2312" s="1" t="s">
        <v>6</v>
      </c>
      <c r="E2312" s="1"/>
    </row>
    <row r="2313" ht="14.25" customHeight="1">
      <c r="A2313" s="1">
        <v>100.0</v>
      </c>
      <c r="B2313" s="1" t="s">
        <v>971</v>
      </c>
      <c r="C2313" s="1">
        <v>10.0</v>
      </c>
      <c r="D2313" s="1" t="s">
        <v>6</v>
      </c>
      <c r="E2313" s="1"/>
    </row>
    <row r="2314" ht="14.25" customHeight="1">
      <c r="A2314" s="1">
        <v>100.0</v>
      </c>
      <c r="B2314" s="1" t="s">
        <v>971</v>
      </c>
      <c r="C2314" s="1">
        <v>10.0</v>
      </c>
      <c r="D2314" s="1" t="s">
        <v>22</v>
      </c>
      <c r="E2314" s="1" t="str">
        <f>IFERROR(__xludf.DUMMYFUNCTION("GOOGLETRANSLATE(D2314,""PT"",""EN"")"),"Excellent service")</f>
        <v>Excellent service</v>
      </c>
    </row>
    <row r="2315" ht="14.25" customHeight="1">
      <c r="A2315" s="1">
        <v>100.0</v>
      </c>
      <c r="B2315" s="1" t="s">
        <v>971</v>
      </c>
      <c r="C2315" s="1">
        <v>10.0</v>
      </c>
      <c r="D2315" s="1" t="s">
        <v>6</v>
      </c>
      <c r="E2315" s="1"/>
    </row>
    <row r="2316" ht="14.25" customHeight="1">
      <c r="A2316" s="1">
        <v>100.0</v>
      </c>
      <c r="B2316" s="1" t="s">
        <v>971</v>
      </c>
      <c r="C2316" s="1">
        <v>9.0</v>
      </c>
      <c r="D2316" s="1" t="s">
        <v>6</v>
      </c>
      <c r="E2316" s="1"/>
    </row>
    <row r="2317" ht="14.25" customHeight="1">
      <c r="A2317" s="1">
        <v>100.0</v>
      </c>
      <c r="B2317" s="1" t="s">
        <v>971</v>
      </c>
      <c r="C2317" s="1">
        <v>9.0</v>
      </c>
      <c r="D2317" s="1" t="s">
        <v>1041</v>
      </c>
      <c r="E2317" s="1" t="str">
        <f>IFERROR(__xludf.DUMMYFUNCTION("GOOGLETRANSLATE(D2317,""PT"",""EN"")"),"Less bureaucratic")</f>
        <v>Less bureaucratic</v>
      </c>
    </row>
    <row r="2318" ht="14.25" customHeight="1">
      <c r="A2318" s="1">
        <v>100.0</v>
      </c>
      <c r="B2318" s="1" t="s">
        <v>971</v>
      </c>
      <c r="C2318" s="1">
        <v>9.0</v>
      </c>
      <c r="D2318" s="1" t="s">
        <v>6</v>
      </c>
      <c r="E2318" s="1"/>
    </row>
    <row r="2319" ht="14.25" customHeight="1">
      <c r="A2319" s="1">
        <v>33.0</v>
      </c>
      <c r="B2319" s="1" t="s">
        <v>971</v>
      </c>
      <c r="C2319" s="1">
        <v>6.0</v>
      </c>
      <c r="D2319" s="2" t="s">
        <v>1042</v>
      </c>
      <c r="E2319" s="1" t="str">
        <f>IFERROR(__xludf.DUMMYFUNCTION("GOOGLETRANSLATE(D2319,""PT"",""EN"")"),"Very bureaucratic is doesn't solve anything through the app everything you have to go to the agency!")</f>
        <v>Very bureaucratic is doesn't solve anything through the app everything you have to go to the agency!</v>
      </c>
    </row>
    <row r="2320" ht="14.25" customHeight="1">
      <c r="A2320" s="1">
        <v>33.0</v>
      </c>
      <c r="B2320" s="1" t="s">
        <v>971</v>
      </c>
      <c r="C2320" s="1">
        <v>0.0</v>
      </c>
      <c r="D2320" s="1" t="s">
        <v>1043</v>
      </c>
      <c r="E2320" s="1" t="str">
        <f>IFERROR(__xludf.DUMMYFUNCTION("GOOGLETRANSLATE(D2320,""PT"",""EN"")"),"Before opening the account was everything beautiful after opening nothing of what they promised")</f>
        <v>Before opening the account was everything beautiful after opening nothing of what they promised</v>
      </c>
    </row>
    <row r="2321" ht="14.25" customHeight="1">
      <c r="A2321" s="1">
        <v>100.0</v>
      </c>
      <c r="B2321" s="1" t="s">
        <v>971</v>
      </c>
      <c r="C2321" s="1">
        <v>10.0</v>
      </c>
      <c r="D2321" s="1" t="s">
        <v>1044</v>
      </c>
      <c r="E2321" s="1" t="str">
        <f>IFERROR(__xludf.DUMMYFUNCTION("GOOGLETRANSLATE(D2321,""PT"",""EN"")"),"RELATIONSHIP")</f>
        <v>RELATIONSHIP</v>
      </c>
    </row>
    <row r="2322" ht="14.25" customHeight="1">
      <c r="A2322" s="1">
        <v>100.0</v>
      </c>
      <c r="B2322" s="1" t="s">
        <v>971</v>
      </c>
      <c r="C2322" s="1">
        <v>9.0</v>
      </c>
      <c r="D2322" s="1" t="s">
        <v>6</v>
      </c>
      <c r="E2322" s="1"/>
    </row>
    <row r="2323" ht="14.25" customHeight="1">
      <c r="A2323" s="1">
        <v>33.0</v>
      </c>
      <c r="B2323" s="1" t="s">
        <v>971</v>
      </c>
      <c r="C2323" s="1">
        <v>2.0</v>
      </c>
      <c r="D2323" s="1" t="s">
        <v>6</v>
      </c>
      <c r="E2323" s="1"/>
    </row>
    <row r="2324" ht="14.25" customHeight="1">
      <c r="A2324" s="1">
        <v>100.0</v>
      </c>
      <c r="B2324" s="1" t="s">
        <v>971</v>
      </c>
      <c r="C2324" s="1">
        <v>9.0</v>
      </c>
      <c r="D2324" s="2" t="s">
        <v>1045</v>
      </c>
      <c r="E2324" s="1" t="str">
        <f>IFERROR(__xludf.DUMMYFUNCTION("GOOGLETRANSLATE(D2324,""PT"",""EN"")"),"Service Efficiency")</f>
        <v>Service Efficiency</v>
      </c>
    </row>
    <row r="2325" ht="14.25" customHeight="1">
      <c r="A2325" s="1">
        <v>100.0</v>
      </c>
      <c r="B2325" s="1" t="s">
        <v>971</v>
      </c>
      <c r="C2325" s="1">
        <v>10.0</v>
      </c>
      <c r="D2325" s="1" t="s">
        <v>1046</v>
      </c>
      <c r="E2325" s="1" t="str">
        <f>IFERROR(__xludf.DUMMYFUNCTION("GOOGLETRANSLATE(D2325,""PT"",""EN"")"),"It's good simple efficient")</f>
        <v>It's good simple efficient</v>
      </c>
    </row>
    <row r="2326" ht="14.25" customHeight="1">
      <c r="A2326" s="1">
        <v>100.0</v>
      </c>
      <c r="B2326" s="1" t="s">
        <v>971</v>
      </c>
      <c r="C2326" s="1">
        <v>10.0</v>
      </c>
      <c r="D2326" s="1" t="s">
        <v>1047</v>
      </c>
      <c r="E2326" s="1" t="str">
        <f>IFERROR(__xludf.DUMMYFUNCTION("GOOGLETRANSLATE(D2326,""PT"",""EN"")"),"The satisfaction of being part of this family 🙌")</f>
        <v>The satisfaction of being part of this family 🙌</v>
      </c>
    </row>
    <row r="2327" ht="14.25" customHeight="1">
      <c r="A2327" s="1">
        <v>100.0</v>
      </c>
      <c r="B2327" s="1" t="s">
        <v>971</v>
      </c>
      <c r="C2327" s="1">
        <v>10.0</v>
      </c>
      <c r="D2327" s="1" t="s">
        <v>6</v>
      </c>
      <c r="E2327" s="1"/>
    </row>
    <row r="2328" ht="14.25" customHeight="1">
      <c r="A2328" s="1">
        <v>100.0</v>
      </c>
      <c r="B2328" s="1" t="s">
        <v>971</v>
      </c>
      <c r="C2328" s="1">
        <v>10.0</v>
      </c>
      <c r="D2328" s="1" t="s">
        <v>6</v>
      </c>
      <c r="E2328" s="1"/>
    </row>
    <row r="2329" ht="14.25" customHeight="1">
      <c r="A2329" s="1">
        <v>100.0</v>
      </c>
      <c r="B2329" s="1" t="s">
        <v>971</v>
      </c>
      <c r="C2329" s="1">
        <v>10.0</v>
      </c>
      <c r="D2329" s="1" t="s">
        <v>6</v>
      </c>
      <c r="E2329" s="1"/>
    </row>
    <row r="2330" ht="14.25" customHeight="1">
      <c r="A2330" s="1">
        <v>100.0</v>
      </c>
      <c r="B2330" s="1" t="s">
        <v>971</v>
      </c>
      <c r="C2330" s="1">
        <v>10.0</v>
      </c>
      <c r="D2330" s="1" t="s">
        <v>6</v>
      </c>
      <c r="E2330" s="1"/>
    </row>
    <row r="2331" ht="14.25" customHeight="1">
      <c r="A2331" s="1">
        <v>33.0</v>
      </c>
      <c r="B2331" s="1" t="s">
        <v>971</v>
      </c>
      <c r="C2331" s="1">
        <v>0.0</v>
      </c>
      <c r="D2331" s="2" t="s">
        <v>1048</v>
      </c>
      <c r="E2331" s="1" t="str">
        <f>IFERROR(__xludf.DUMMYFUNCTION("GOOGLETRANSLATE(D2331,""PT"",""EN"")"),"Does not provide credits to members")</f>
        <v>Does not provide credits to members</v>
      </c>
    </row>
    <row r="2332" ht="14.25" customHeight="1">
      <c r="A2332" s="1">
        <v>100.0</v>
      </c>
      <c r="B2332" s="1" t="s">
        <v>971</v>
      </c>
      <c r="C2332" s="1">
        <v>10.0</v>
      </c>
      <c r="D2332" s="1" t="s">
        <v>6</v>
      </c>
      <c r="E2332" s="1"/>
    </row>
    <row r="2333" ht="14.25" customHeight="1">
      <c r="A2333" s="1">
        <v>100.0</v>
      </c>
      <c r="B2333" s="1" t="s">
        <v>1049</v>
      </c>
      <c r="C2333" s="1">
        <v>10.0</v>
      </c>
      <c r="D2333" s="1" t="s">
        <v>6</v>
      </c>
      <c r="E2333" s="1"/>
    </row>
    <row r="2334" ht="14.25" customHeight="1">
      <c r="A2334" s="1">
        <v>100.0</v>
      </c>
      <c r="B2334" s="1" t="s">
        <v>1049</v>
      </c>
      <c r="C2334" s="1">
        <v>10.0</v>
      </c>
      <c r="D2334" s="2" t="s">
        <v>1050</v>
      </c>
      <c r="E2334" s="1" t="str">
        <f>IFERROR(__xludf.DUMMYFUNCTION("GOOGLETRANSLATE(D2334,""PT"",""EN"")"),"Because it serves me perfectly")</f>
        <v>Because it serves me perfectly</v>
      </c>
    </row>
    <row r="2335" ht="14.25" customHeight="1">
      <c r="A2335" s="1">
        <v>100.0</v>
      </c>
      <c r="B2335" s="1" t="s">
        <v>1049</v>
      </c>
      <c r="C2335" s="1">
        <v>10.0</v>
      </c>
      <c r="D2335" s="2" t="s">
        <v>1051</v>
      </c>
      <c r="E2335" s="1" t="str">
        <f>IFERROR(__xludf.DUMMYFUNCTION("GOOGLETRANSLATE(D2335,""PT"",""EN"")"),"Form of service is agility ..")</f>
        <v>Form of service is agility ..</v>
      </c>
    </row>
    <row r="2336" ht="14.25" customHeight="1">
      <c r="A2336" s="1">
        <v>100.0</v>
      </c>
      <c r="B2336" s="1" t="s">
        <v>1049</v>
      </c>
      <c r="C2336" s="1">
        <v>10.0</v>
      </c>
      <c r="D2336" s="1" t="s">
        <v>1052</v>
      </c>
      <c r="E2336" s="1" t="str">
        <f>IFERROR(__xludf.DUMMYFUNCTION("GOOGLETRANSLATE(D2336,""PT"",""EN"")"),"Great.")</f>
        <v>Great.</v>
      </c>
    </row>
    <row r="2337" ht="14.25" customHeight="1">
      <c r="A2337" s="1">
        <v>100.0</v>
      </c>
      <c r="B2337" s="1" t="s">
        <v>1049</v>
      </c>
      <c r="C2337" s="1">
        <v>10.0</v>
      </c>
      <c r="D2337" s="1" t="s">
        <v>6</v>
      </c>
      <c r="E2337" s="1"/>
    </row>
    <row r="2338" ht="14.25" customHeight="1">
      <c r="A2338" s="1">
        <v>100.0</v>
      </c>
      <c r="B2338" s="1" t="s">
        <v>1049</v>
      </c>
      <c r="C2338" s="1">
        <v>10.0</v>
      </c>
      <c r="D2338" s="2" t="s">
        <v>1053</v>
      </c>
      <c r="E2338" s="1" t="str">
        <f>IFERROR(__xludf.DUMMYFUNCTION("GOOGLETRANSLATE(D2338,""PT"",""EN"")"),"Great app to move")</f>
        <v>Great app to move</v>
      </c>
    </row>
    <row r="2339" ht="14.25" customHeight="1">
      <c r="A2339" s="1">
        <v>100.0</v>
      </c>
      <c r="B2339" s="1" t="s">
        <v>1049</v>
      </c>
      <c r="C2339" s="1">
        <v>10.0</v>
      </c>
      <c r="D2339" s="2" t="s">
        <v>1054</v>
      </c>
      <c r="E2339" s="1" t="str">
        <f>IFERROR(__xludf.DUMMYFUNCTION("GOOGLETRANSLATE(D2339,""PT"",""EN"")"),"It's all perfect, it's fast!")</f>
        <v>It's all perfect, it's fast!</v>
      </c>
    </row>
    <row r="2340" ht="14.25" customHeight="1">
      <c r="A2340" s="1">
        <v>100.0</v>
      </c>
      <c r="B2340" s="1" t="s">
        <v>1049</v>
      </c>
      <c r="C2340" s="1">
        <v>10.0</v>
      </c>
      <c r="D2340" s="1" t="s">
        <v>22</v>
      </c>
      <c r="E2340" s="1" t="str">
        <f>IFERROR(__xludf.DUMMYFUNCTION("GOOGLETRANSLATE(D2340,""PT"",""EN"")"),"Excellent service")</f>
        <v>Excellent service</v>
      </c>
    </row>
    <row r="2341" ht="14.25" customHeight="1">
      <c r="A2341" s="1">
        <v>66.0</v>
      </c>
      <c r="B2341" s="1" t="s">
        <v>1049</v>
      </c>
      <c r="C2341" s="1">
        <v>8.0</v>
      </c>
      <c r="D2341" s="2" t="s">
        <v>1055</v>
      </c>
      <c r="E2341" s="1" t="str">
        <f>IFERROR(__xludf.DUMMYFUNCTION("GOOGLETRANSLATE(D2341,""PT"",""EN"")"),"Good service, is close to the cooperative")</f>
        <v>Good service, is close to the cooperative</v>
      </c>
    </row>
    <row r="2342" ht="14.25" customHeight="1">
      <c r="A2342" s="1">
        <v>33.0</v>
      </c>
      <c r="B2342" s="1" t="s">
        <v>1049</v>
      </c>
      <c r="C2342" s="1">
        <v>5.0</v>
      </c>
      <c r="D2342" s="1" t="s">
        <v>6</v>
      </c>
      <c r="E2342" s="1"/>
    </row>
    <row r="2343" ht="14.25" customHeight="1">
      <c r="A2343" s="1">
        <v>66.0</v>
      </c>
      <c r="B2343" s="1" t="s">
        <v>1049</v>
      </c>
      <c r="C2343" s="1">
        <v>7.0</v>
      </c>
      <c r="D2343" s="2" t="s">
        <v>1056</v>
      </c>
      <c r="E2343" s="1" t="str">
        <f>IFERROR(__xludf.DUMMYFUNCTION("GOOGLETRANSLATE(D2343,""PT"",""EN"")"),"Great service but it takes a long time for the card to arrive")</f>
        <v>Great service but it takes a long time for the card to arrive</v>
      </c>
    </row>
    <row r="2344" ht="14.25" customHeight="1">
      <c r="A2344" s="1">
        <v>100.0</v>
      </c>
      <c r="B2344" s="1" t="s">
        <v>1049</v>
      </c>
      <c r="C2344" s="1">
        <v>10.0</v>
      </c>
      <c r="D2344" s="2" t="s">
        <v>1057</v>
      </c>
      <c r="E2344" s="1" t="str">
        <f>IFERROR(__xludf.DUMMYFUNCTION("GOOGLETRANSLATE(D2344,""PT"",""EN"")"),"Service is agility")</f>
        <v>Service is agility</v>
      </c>
    </row>
    <row r="2345" ht="14.25" customHeight="1">
      <c r="A2345" s="1">
        <v>100.0</v>
      </c>
      <c r="B2345" s="1" t="s">
        <v>1049</v>
      </c>
      <c r="C2345" s="1">
        <v>10.0</v>
      </c>
      <c r="D2345" s="2" t="s">
        <v>1058</v>
      </c>
      <c r="E2345" s="1" t="str">
        <f>IFERROR(__xludf.DUMMYFUNCTION("GOOGLETRANSLATE(D2345,""PT"",""EN"")"),"Good service by employee Thays Araujo.")</f>
        <v>Good service by employee Thays Araujo.</v>
      </c>
    </row>
    <row r="2346" ht="14.25" customHeight="1">
      <c r="A2346" s="1">
        <v>100.0</v>
      </c>
      <c r="B2346" s="1" t="s">
        <v>1049</v>
      </c>
      <c r="C2346" s="1">
        <v>10.0</v>
      </c>
      <c r="D2346" s="2" t="s">
        <v>1059</v>
      </c>
      <c r="E2346" s="1" t="str">
        <f>IFERROR(__xludf.DUMMYFUNCTION("GOOGLETRANSLATE(D2346,""PT"",""EN"")"),"for")</f>
        <v>for</v>
      </c>
    </row>
    <row r="2347" ht="14.25" customHeight="1">
      <c r="A2347" s="1">
        <v>100.0</v>
      </c>
      <c r="B2347" s="1" t="s">
        <v>1049</v>
      </c>
      <c r="C2347" s="1">
        <v>10.0</v>
      </c>
      <c r="D2347" s="1" t="s">
        <v>6</v>
      </c>
      <c r="E2347" s="1"/>
    </row>
    <row r="2348" ht="14.25" customHeight="1">
      <c r="A2348" s="1">
        <v>100.0</v>
      </c>
      <c r="B2348" s="1" t="s">
        <v>1049</v>
      </c>
      <c r="C2348" s="1">
        <v>10.0</v>
      </c>
      <c r="D2348" s="1" t="s">
        <v>6</v>
      </c>
      <c r="E2348" s="1"/>
    </row>
    <row r="2349" ht="14.25" customHeight="1">
      <c r="A2349" s="1">
        <v>100.0</v>
      </c>
      <c r="B2349" s="1" t="s">
        <v>1049</v>
      </c>
      <c r="C2349" s="1">
        <v>9.0</v>
      </c>
      <c r="D2349" s="1" t="s">
        <v>9</v>
      </c>
      <c r="E2349" s="1" t="str">
        <f>IFERROR(__xludf.DUMMYFUNCTION("GOOGLETRANSLATE(D2349,""PT"",""EN"")"),"10")</f>
        <v>10</v>
      </c>
    </row>
    <row r="2350" ht="14.25" customHeight="1">
      <c r="A2350" s="1">
        <v>66.0</v>
      </c>
      <c r="B2350" s="1" t="s">
        <v>1049</v>
      </c>
      <c r="C2350" s="1">
        <v>7.0</v>
      </c>
      <c r="D2350" s="1" t="s">
        <v>1060</v>
      </c>
      <c r="E2350" s="1" t="str">
        <f>IFERROR(__xludf.DUMMYFUNCTION("GOOGLETRANSLATE(D2350,""PT"",""EN"")"),"Good service provided but very slow, slow service process")</f>
        <v>Good service provided but very slow, slow service process</v>
      </c>
    </row>
    <row r="2351" ht="14.25" customHeight="1">
      <c r="A2351" s="1">
        <v>100.0</v>
      </c>
      <c r="B2351" s="1" t="s">
        <v>1049</v>
      </c>
      <c r="C2351" s="1">
        <v>10.0</v>
      </c>
      <c r="D2351" s="1" t="s">
        <v>85</v>
      </c>
      <c r="E2351" s="1" t="str">
        <f>IFERROR(__xludf.DUMMYFUNCTION("GOOGLETRANSLATE(D2351,""PT"",""EN"")"),"Service")</f>
        <v>Service</v>
      </c>
    </row>
    <row r="2352" ht="14.25" customHeight="1">
      <c r="A2352" s="1">
        <v>100.0</v>
      </c>
      <c r="B2352" s="1" t="s">
        <v>1049</v>
      </c>
      <c r="C2352" s="1">
        <v>10.0</v>
      </c>
      <c r="D2352" s="1" t="s">
        <v>85</v>
      </c>
      <c r="E2352" s="1" t="str">
        <f>IFERROR(__xludf.DUMMYFUNCTION("GOOGLETRANSLATE(D2352,""PT"",""EN"")"),"Service")</f>
        <v>Service</v>
      </c>
    </row>
    <row r="2353" ht="14.25" customHeight="1">
      <c r="A2353" s="1">
        <v>100.0</v>
      </c>
      <c r="B2353" s="1" t="s">
        <v>1049</v>
      </c>
      <c r="C2353" s="1">
        <v>10.0</v>
      </c>
      <c r="D2353" s="1" t="s">
        <v>6</v>
      </c>
      <c r="E2353" s="1"/>
    </row>
    <row r="2354" ht="14.25" customHeight="1">
      <c r="A2354" s="1">
        <v>100.0</v>
      </c>
      <c r="B2354" s="1" t="s">
        <v>1049</v>
      </c>
      <c r="C2354" s="1">
        <v>10.0</v>
      </c>
      <c r="D2354" s="1" t="s">
        <v>9</v>
      </c>
      <c r="E2354" s="1" t="str">
        <f>IFERROR(__xludf.DUMMYFUNCTION("GOOGLETRANSLATE(D2354,""PT"",""EN"")"),"10")</f>
        <v>10</v>
      </c>
    </row>
    <row r="2355" ht="14.25" customHeight="1">
      <c r="A2355" s="1">
        <v>33.0</v>
      </c>
      <c r="B2355" s="1" t="s">
        <v>1049</v>
      </c>
      <c r="C2355" s="1">
        <v>3.0</v>
      </c>
      <c r="D2355" s="1" t="s">
        <v>1061</v>
      </c>
      <c r="E2355" s="1" t="str">
        <f>IFERROR(__xludf.DUMMYFUNCTION("GOOGLETRANSLATE(D2355,""PT"",""EN"")"),"High monthly fee.")</f>
        <v>High monthly fee.</v>
      </c>
    </row>
    <row r="2356" ht="14.25" customHeight="1">
      <c r="A2356" s="1">
        <v>100.0</v>
      </c>
      <c r="B2356" s="1" t="s">
        <v>1049</v>
      </c>
      <c r="C2356" s="1">
        <v>10.0</v>
      </c>
      <c r="D2356" s="1" t="s">
        <v>22</v>
      </c>
      <c r="E2356" s="1" t="str">
        <f>IFERROR(__xludf.DUMMYFUNCTION("GOOGLETRANSLATE(D2356,""PT"",""EN"")"),"Excellent service")</f>
        <v>Excellent service</v>
      </c>
    </row>
    <row r="2357" ht="14.25" customHeight="1">
      <c r="A2357" s="1">
        <v>100.0</v>
      </c>
      <c r="B2357" s="1" t="s">
        <v>1049</v>
      </c>
      <c r="C2357" s="1">
        <v>10.0</v>
      </c>
      <c r="D2357" s="2" t="s">
        <v>1062</v>
      </c>
      <c r="E2357" s="1" t="str">
        <f>IFERROR(__xludf.DUMMYFUNCTION("GOOGLETRANSLATE(D2357,""PT"",""EN"")"),"Excellent service is transparency in the processes.")</f>
        <v>Excellent service is transparency in the processes.</v>
      </c>
    </row>
    <row r="2358" ht="14.25" customHeight="1">
      <c r="A2358" s="1">
        <v>100.0</v>
      </c>
      <c r="B2358" s="1" t="s">
        <v>1049</v>
      </c>
      <c r="C2358" s="1">
        <v>10.0</v>
      </c>
      <c r="D2358" s="2" t="s">
        <v>1063</v>
      </c>
      <c r="E2358" s="1" t="str">
        <f>IFERROR(__xludf.DUMMYFUNCTION("GOOGLETRANSLATE(D2358,""PT"",""EN"")"),"Practicality is the speed of solving everything through the app")</f>
        <v>Practicality is the speed of solving everything through the app</v>
      </c>
    </row>
    <row r="2359" ht="14.25" customHeight="1">
      <c r="A2359" s="1">
        <v>100.0</v>
      </c>
      <c r="B2359" s="1" t="s">
        <v>1049</v>
      </c>
      <c r="C2359" s="1">
        <v>10.0</v>
      </c>
      <c r="D2359" s="2" t="s">
        <v>208</v>
      </c>
      <c r="E2359" s="1" t="str">
        <f>IFERROR(__xludf.DUMMYFUNCTION("GOOGLETRANSLATE(D2359,""PT"",""EN"")"),"excellent")</f>
        <v>excellent</v>
      </c>
    </row>
    <row r="2360" ht="14.25" customHeight="1">
      <c r="A2360" s="1">
        <v>100.0</v>
      </c>
      <c r="B2360" s="1" t="s">
        <v>1049</v>
      </c>
      <c r="C2360" s="1">
        <v>10.0</v>
      </c>
      <c r="D2360" s="1" t="s">
        <v>1064</v>
      </c>
      <c r="E2360" s="1" t="str">
        <f>IFERROR(__xludf.DUMMYFUNCTION("GOOGLETRANSLATE(D2360,""PT"",""EN"")"),"Great rates")</f>
        <v>Great rates</v>
      </c>
    </row>
    <row r="2361" ht="14.25" customHeight="1">
      <c r="A2361" s="1">
        <v>100.0</v>
      </c>
      <c r="B2361" s="1" t="s">
        <v>1049</v>
      </c>
      <c r="C2361" s="1">
        <v>10.0</v>
      </c>
      <c r="D2361" s="1" t="s">
        <v>610</v>
      </c>
      <c r="E2361" s="1" t="str">
        <f>IFERROR(__xludf.DUMMYFUNCTION("GOOGLETRANSLATE(D2361,""PT"",""EN"")"),"Good relationship")</f>
        <v>Good relationship</v>
      </c>
    </row>
    <row r="2362" ht="14.25" customHeight="1">
      <c r="A2362" s="1">
        <v>33.0</v>
      </c>
      <c r="B2362" s="1" t="s">
        <v>1049</v>
      </c>
      <c r="C2362" s="1">
        <v>1.0</v>
      </c>
      <c r="D2362" s="1" t="s">
        <v>6</v>
      </c>
      <c r="E2362" s="1"/>
    </row>
    <row r="2363" ht="14.25" customHeight="1">
      <c r="A2363" s="1">
        <v>100.0</v>
      </c>
      <c r="B2363" s="1" t="s">
        <v>1049</v>
      </c>
      <c r="C2363" s="1">
        <v>10.0</v>
      </c>
      <c r="D2363" s="1" t="s">
        <v>6</v>
      </c>
      <c r="E2363" s="1"/>
    </row>
    <row r="2364" ht="14.25" customHeight="1">
      <c r="A2364" s="1">
        <v>100.0</v>
      </c>
      <c r="B2364" s="1" t="s">
        <v>1049</v>
      </c>
      <c r="C2364" s="1">
        <v>9.0</v>
      </c>
      <c r="D2364" s="1" t="s">
        <v>6</v>
      </c>
      <c r="E2364" s="1"/>
    </row>
    <row r="2365" ht="14.25" customHeight="1">
      <c r="A2365" s="1">
        <v>100.0</v>
      </c>
      <c r="B2365" s="1" t="s">
        <v>1049</v>
      </c>
      <c r="C2365" s="1">
        <v>10.0</v>
      </c>
      <c r="D2365" s="1" t="s">
        <v>1065</v>
      </c>
      <c r="E2365" s="1" t="str">
        <f>IFERROR(__xludf.DUMMYFUNCTION("GOOGLETRANSLATE(D2365,""PT"",""EN"")"),"Very good relationship")</f>
        <v>Very good relationship</v>
      </c>
    </row>
    <row r="2366" ht="14.25" customHeight="1">
      <c r="A2366" s="1">
        <v>100.0</v>
      </c>
      <c r="B2366" s="1" t="s">
        <v>1049</v>
      </c>
      <c r="C2366" s="1">
        <v>10.0</v>
      </c>
      <c r="D2366" s="1" t="s">
        <v>6</v>
      </c>
      <c r="E2366" s="1"/>
    </row>
    <row r="2367" ht="14.25" customHeight="1">
      <c r="A2367" s="1">
        <v>33.0</v>
      </c>
      <c r="B2367" s="1" t="s">
        <v>1049</v>
      </c>
      <c r="C2367" s="1">
        <v>5.0</v>
      </c>
      <c r="D2367" s="2" t="s">
        <v>1066</v>
      </c>
      <c r="E2367" s="1" t="str">
        <f>IFERROR(__xludf.DUMMYFUNCTION("GOOGLETRANSLATE(D2367,""PT"",""EN"")"),"Much delay to resolve any type of operation. Commercial manager does not respond on WhatsApp. It's all it takes. bank without agility.")</f>
        <v>Much delay to resolve any type of operation. Commercial manager does not respond on WhatsApp. It's all it takes. bank without agility.</v>
      </c>
    </row>
    <row r="2368" ht="14.25" customHeight="1">
      <c r="A2368" s="1">
        <v>100.0</v>
      </c>
      <c r="B2368" s="1" t="s">
        <v>1049</v>
      </c>
      <c r="C2368" s="1">
        <v>10.0</v>
      </c>
      <c r="D2368" s="2" t="s">
        <v>1067</v>
      </c>
      <c r="E2368" s="1" t="str">
        <f>IFERROR(__xludf.DUMMYFUNCTION("GOOGLETRANSLATE(D2368,""PT"",""EN"")"),"The difference in service is the care of the associate who treated as a human being is not as a client")</f>
        <v>The difference in service is the care of the associate who treated as a human being is not as a client</v>
      </c>
    </row>
    <row r="2369" ht="14.25" customHeight="1">
      <c r="A2369" s="1">
        <v>100.0</v>
      </c>
      <c r="B2369" s="1" t="s">
        <v>1049</v>
      </c>
      <c r="C2369" s="1">
        <v>10.0</v>
      </c>
      <c r="D2369" s="1" t="s">
        <v>6</v>
      </c>
      <c r="E2369" s="1"/>
    </row>
    <row r="2370" ht="14.25" customHeight="1">
      <c r="A2370" s="1">
        <v>33.0</v>
      </c>
      <c r="B2370" s="1" t="s">
        <v>1049</v>
      </c>
      <c r="C2370" s="1">
        <v>2.0</v>
      </c>
      <c r="D2370" s="2" t="s">
        <v>1068</v>
      </c>
      <c r="E2370" s="1" t="str">
        <f>IFERROR(__xludf.DUMMYFUNCTION("GOOGLETRANSLATE(D2370,""PT"",""EN"")"),"Institution does not meet customer demand, contrary to rights regulated by the Central Bank through resolution 3.919 of 2010. I requested the cancellation of the basket on the date: Fri, 25 of Sea. From 2022 to 15:37, today 16/06/2023 continues to charge.")</f>
        <v>Institution does not meet customer demand, contrary to rights regulated by the Central Bank through resolution 3.919 of 2010. I requested the cancellation of the basket on the date: Fri, 25 of Sea. From 2022 to 15:37, today 16/06/2023 continues to charge.</v>
      </c>
    </row>
    <row r="2371" ht="14.25" customHeight="1">
      <c r="A2371" s="1">
        <v>100.0</v>
      </c>
      <c r="B2371" s="1" t="s">
        <v>1049</v>
      </c>
      <c r="C2371" s="1">
        <v>10.0</v>
      </c>
      <c r="D2371" s="1" t="s">
        <v>278</v>
      </c>
      <c r="E2371" s="1" t="str">
        <f>IFERROR(__xludf.DUMMYFUNCTION("GOOGLETRANSLATE(D2371,""PT"",""EN"")"),"I really like service")</f>
        <v>I really like service</v>
      </c>
    </row>
    <row r="2372" ht="14.25" customHeight="1">
      <c r="A2372" s="1">
        <v>100.0</v>
      </c>
      <c r="B2372" s="1" t="s">
        <v>1049</v>
      </c>
      <c r="C2372" s="1">
        <v>10.0</v>
      </c>
      <c r="D2372" s="1" t="s">
        <v>6</v>
      </c>
      <c r="E2372" s="1"/>
    </row>
    <row r="2373" ht="14.25" customHeight="1">
      <c r="A2373" s="1">
        <v>33.0</v>
      </c>
      <c r="B2373" s="1" t="s">
        <v>1049</v>
      </c>
      <c r="C2373" s="1">
        <v>0.0</v>
      </c>
      <c r="D2373" s="1" t="s">
        <v>6</v>
      </c>
      <c r="E2373" s="1"/>
    </row>
    <row r="2374" ht="14.25" customHeight="1">
      <c r="A2374" s="1">
        <v>33.0</v>
      </c>
      <c r="B2374" s="1" t="s">
        <v>1049</v>
      </c>
      <c r="C2374" s="1">
        <v>0.0</v>
      </c>
      <c r="D2374" s="1" t="s">
        <v>6</v>
      </c>
      <c r="E2374" s="1"/>
    </row>
    <row r="2375" ht="14.25" customHeight="1">
      <c r="A2375" s="1">
        <v>100.0</v>
      </c>
      <c r="B2375" s="1" t="s">
        <v>1049</v>
      </c>
      <c r="C2375" s="1">
        <v>10.0</v>
      </c>
      <c r="D2375" s="1" t="s">
        <v>9</v>
      </c>
      <c r="E2375" s="1" t="str">
        <f>IFERROR(__xludf.DUMMYFUNCTION("GOOGLETRANSLATE(D2375,""PT"",""EN"")"),"10")</f>
        <v>10</v>
      </c>
    </row>
    <row r="2376" ht="14.25" customHeight="1">
      <c r="A2376" s="1">
        <v>100.0</v>
      </c>
      <c r="B2376" s="1" t="s">
        <v>1049</v>
      </c>
      <c r="C2376" s="1">
        <v>10.0</v>
      </c>
      <c r="D2376" s="1" t="s">
        <v>6</v>
      </c>
      <c r="E2376" s="1"/>
    </row>
    <row r="2377" ht="14.25" customHeight="1">
      <c r="A2377" s="1">
        <v>100.0</v>
      </c>
      <c r="B2377" s="1" t="s">
        <v>1049</v>
      </c>
      <c r="C2377" s="1">
        <v>10.0</v>
      </c>
      <c r="D2377" s="2" t="s">
        <v>1069</v>
      </c>
      <c r="E2377" s="1" t="str">
        <f>IFERROR(__xludf.DUMMYFUNCTION("GOOGLETRANSLATE(D2377,""PT"",""EN"")"),"Personalized service is humanized.")</f>
        <v>Personalized service is humanized.</v>
      </c>
    </row>
    <row r="2378" ht="14.25" customHeight="1">
      <c r="A2378" s="1">
        <v>100.0</v>
      </c>
      <c r="B2378" s="1" t="s">
        <v>1049</v>
      </c>
      <c r="C2378" s="1">
        <v>10.0</v>
      </c>
      <c r="D2378" s="2" t="s">
        <v>1070</v>
      </c>
      <c r="E2378" s="1" t="str">
        <f>IFERROR(__xludf.DUMMYFUNCTION("GOOGLETRANSLATE(D2378,""PT"",""EN"")"),"great service. Mara is to be congratulated at CXS, as always !!!!!")</f>
        <v>great service. Mara is to be congratulated at CXS, as always !!!!!</v>
      </c>
    </row>
    <row r="2379" ht="14.25" customHeight="1">
      <c r="A2379" s="1">
        <v>100.0</v>
      </c>
      <c r="B2379" s="1" t="s">
        <v>1049</v>
      </c>
      <c r="C2379" s="1">
        <v>10.0</v>
      </c>
      <c r="D2379" s="1" t="s">
        <v>6</v>
      </c>
      <c r="E2379" s="1"/>
    </row>
    <row r="2380" ht="14.25" customHeight="1">
      <c r="A2380" s="1">
        <v>33.0</v>
      </c>
      <c r="B2380" s="1" t="s">
        <v>1049</v>
      </c>
      <c r="C2380" s="1">
        <v>3.0</v>
      </c>
      <c r="D2380" s="1" t="s">
        <v>6</v>
      </c>
      <c r="E2380" s="1"/>
    </row>
    <row r="2381" ht="14.25" customHeight="1">
      <c r="A2381" s="1">
        <v>66.0</v>
      </c>
      <c r="B2381" s="1" t="s">
        <v>1049</v>
      </c>
      <c r="C2381" s="1">
        <v>7.0</v>
      </c>
      <c r="D2381" s="2" t="s">
        <v>1071</v>
      </c>
      <c r="E2381" s="1" t="str">
        <f>IFERROR(__xludf.DUMMYFUNCTION("GOOGLETRANSLATE(D2381,""PT"",""EN"")"),"Hardship")</f>
        <v>Hardship</v>
      </c>
    </row>
    <row r="2382" ht="14.25" customHeight="1">
      <c r="A2382" s="1">
        <v>100.0</v>
      </c>
      <c r="B2382" s="1" t="s">
        <v>1049</v>
      </c>
      <c r="C2382" s="1">
        <v>10.0</v>
      </c>
      <c r="D2382" s="1" t="s">
        <v>42</v>
      </c>
      <c r="E2382" s="1" t="str">
        <f>IFERROR(__xludf.DUMMYFUNCTION("GOOGLETRANSLATE(D2382,""PT"",""EN"")"),"good service")</f>
        <v>good service</v>
      </c>
    </row>
    <row r="2383" ht="14.25" customHeight="1">
      <c r="A2383" s="1">
        <v>100.0</v>
      </c>
      <c r="B2383" s="1" t="s">
        <v>1049</v>
      </c>
      <c r="C2383" s="1">
        <v>10.0</v>
      </c>
      <c r="D2383" s="2" t="s">
        <v>1072</v>
      </c>
      <c r="E2383" s="1" t="str">
        <f>IFERROR(__xludf.DUMMYFUNCTION("GOOGLETRANSLATE(D2383,""PT"",""EN"")"),"for efficiency is service")</f>
        <v>for efficiency is service</v>
      </c>
    </row>
    <row r="2384" ht="14.25" customHeight="1">
      <c r="A2384" s="1">
        <v>100.0</v>
      </c>
      <c r="B2384" s="1" t="s">
        <v>1049</v>
      </c>
      <c r="C2384" s="1">
        <v>10.0</v>
      </c>
      <c r="D2384" s="1" t="s">
        <v>6</v>
      </c>
      <c r="E2384" s="1"/>
    </row>
    <row r="2385" ht="14.25" customHeight="1">
      <c r="A2385" s="1">
        <v>100.0</v>
      </c>
      <c r="B2385" s="1" t="s">
        <v>1049</v>
      </c>
      <c r="C2385" s="1">
        <v>10.0</v>
      </c>
      <c r="D2385" s="1" t="s">
        <v>192</v>
      </c>
      <c r="E2385" s="1" t="str">
        <f>IFERROR(__xludf.DUMMYFUNCTION("GOOGLETRANSLATE(D2385,""PT"",""EN"")"),"Great")</f>
        <v>Great</v>
      </c>
    </row>
    <row r="2386" ht="14.25" customHeight="1">
      <c r="A2386" s="1">
        <v>100.0</v>
      </c>
      <c r="B2386" s="1" t="s">
        <v>1049</v>
      </c>
      <c r="C2386" s="1">
        <v>10.0</v>
      </c>
      <c r="D2386" s="1" t="s">
        <v>6</v>
      </c>
      <c r="E2386" s="1"/>
    </row>
    <row r="2387" ht="14.25" customHeight="1">
      <c r="A2387" s="1">
        <v>100.0</v>
      </c>
      <c r="B2387" s="1" t="s">
        <v>1049</v>
      </c>
      <c r="C2387" s="1">
        <v>10.0</v>
      </c>
      <c r="D2387" s="1" t="s">
        <v>6</v>
      </c>
      <c r="E2387" s="1"/>
    </row>
    <row r="2388" ht="14.25" customHeight="1">
      <c r="A2388" s="1">
        <v>100.0</v>
      </c>
      <c r="B2388" s="1" t="s">
        <v>1049</v>
      </c>
      <c r="C2388" s="1">
        <v>10.0</v>
      </c>
      <c r="D2388" s="1" t="s">
        <v>6</v>
      </c>
      <c r="E2388" s="1"/>
    </row>
    <row r="2389" ht="14.25" customHeight="1">
      <c r="A2389" s="1">
        <v>100.0</v>
      </c>
      <c r="B2389" s="1" t="s">
        <v>1049</v>
      </c>
      <c r="C2389" s="1">
        <v>10.0</v>
      </c>
      <c r="D2389" s="1" t="s">
        <v>6</v>
      </c>
      <c r="E2389" s="1"/>
    </row>
    <row r="2390" ht="14.25" customHeight="1">
      <c r="A2390" s="1">
        <v>100.0</v>
      </c>
      <c r="B2390" s="1" t="s">
        <v>1049</v>
      </c>
      <c r="C2390" s="1">
        <v>10.0</v>
      </c>
      <c r="D2390" s="2" t="s">
        <v>1073</v>
      </c>
      <c r="E2390" s="1" t="str">
        <f>IFERROR(__xludf.DUMMYFUNCTION("GOOGLETRANSLATE(D2390,""PT"",""EN"")"),"Place of financial justice is prosperity!")</f>
        <v>Place of financial justice is prosperity!</v>
      </c>
    </row>
    <row r="2391" ht="14.25" customHeight="1">
      <c r="A2391" s="1">
        <v>33.0</v>
      </c>
      <c r="B2391" s="1" t="s">
        <v>1049</v>
      </c>
      <c r="C2391" s="1">
        <v>1.0</v>
      </c>
      <c r="D2391" s="2" t="s">
        <v>1074</v>
      </c>
      <c r="E2391" s="1" t="str">
        <f>IFERROR(__xludf.DUMMYFUNCTION("GOOGLETRANSLATE(D2391,""PT"",""EN"")"),"Did not solve my problems")</f>
        <v>Did not solve my problems</v>
      </c>
    </row>
    <row r="2392" ht="14.25" customHeight="1">
      <c r="A2392" s="1">
        <v>100.0</v>
      </c>
      <c r="B2392" s="1" t="s">
        <v>1049</v>
      </c>
      <c r="C2392" s="1">
        <v>10.0</v>
      </c>
      <c r="D2392" s="1" t="s">
        <v>6</v>
      </c>
      <c r="E2392" s="1"/>
    </row>
    <row r="2393" ht="14.25" customHeight="1">
      <c r="A2393" s="1">
        <v>100.0</v>
      </c>
      <c r="B2393" s="1" t="s">
        <v>1049</v>
      </c>
      <c r="C2393" s="1">
        <v>10.0</v>
      </c>
      <c r="D2393" s="1" t="s">
        <v>6</v>
      </c>
      <c r="E2393" s="1"/>
    </row>
    <row r="2394" ht="14.25" customHeight="1">
      <c r="A2394" s="1">
        <v>100.0</v>
      </c>
      <c r="B2394" s="1" t="s">
        <v>1049</v>
      </c>
      <c r="C2394" s="1">
        <v>9.0</v>
      </c>
      <c r="D2394" s="1" t="s">
        <v>6</v>
      </c>
      <c r="E2394" s="1"/>
    </row>
    <row r="2395" ht="14.25" customHeight="1">
      <c r="A2395" s="1">
        <v>33.0</v>
      </c>
      <c r="B2395" s="1" t="s">
        <v>1049</v>
      </c>
      <c r="C2395" s="1">
        <v>0.0</v>
      </c>
      <c r="D2395" s="1" t="s">
        <v>6</v>
      </c>
      <c r="E2395" s="1"/>
    </row>
    <row r="2396" ht="14.25" customHeight="1">
      <c r="A2396" s="1">
        <v>100.0</v>
      </c>
      <c r="B2396" s="1" t="s">
        <v>1049</v>
      </c>
      <c r="C2396" s="1">
        <v>10.0</v>
      </c>
      <c r="D2396" s="1" t="s">
        <v>166</v>
      </c>
      <c r="E2396" s="1" t="str">
        <f>IFERROR(__xludf.DUMMYFUNCTION("GOOGLETRANSLATE(D2396,""PT"",""EN"")"),"Excellent service.")</f>
        <v>Excellent service.</v>
      </c>
    </row>
    <row r="2397" ht="14.25" customHeight="1">
      <c r="A2397" s="1">
        <v>100.0</v>
      </c>
      <c r="B2397" s="1" t="s">
        <v>1049</v>
      </c>
      <c r="C2397" s="1">
        <v>10.0</v>
      </c>
      <c r="D2397" s="2" t="s">
        <v>1075</v>
      </c>
      <c r="E2397" s="1" t="str">
        <f>IFERROR(__xludf.DUMMYFUNCTION("GOOGLETRANSLATE(D2397,""PT"",""EN"")"),"Brobada, attentive, committed to your associate… Congratulations Jacque for your dedication together with the cooperative is with your associates…")</f>
        <v>Brobada, attentive, committed to your associate… Congratulations Jacque for your dedication together with the cooperative is with your associates…</v>
      </c>
    </row>
    <row r="2398" ht="14.25" customHeight="1">
      <c r="A2398" s="1">
        <v>33.0</v>
      </c>
      <c r="B2398" s="1" t="s">
        <v>1049</v>
      </c>
      <c r="C2398" s="1">
        <v>0.0</v>
      </c>
      <c r="D2398" s="2" t="s">
        <v>1076</v>
      </c>
      <c r="E2398" s="1" t="str">
        <f>IFERROR(__xludf.DUMMYFUNCTION("GOOGLETRANSLATE(D2398,""PT"",""EN"")"),"does not respond my doubts in banking operations")</f>
        <v>does not respond my doubts in banking operations</v>
      </c>
    </row>
    <row r="2399" ht="14.25" customHeight="1">
      <c r="A2399" s="1">
        <v>100.0</v>
      </c>
      <c r="B2399" s="1" t="s">
        <v>1049</v>
      </c>
      <c r="C2399" s="1">
        <v>10.0</v>
      </c>
      <c r="D2399" s="1" t="s">
        <v>6</v>
      </c>
      <c r="E2399" s="1"/>
    </row>
    <row r="2400" ht="14.25" customHeight="1">
      <c r="A2400" s="1">
        <v>100.0</v>
      </c>
      <c r="B2400" s="1" t="s">
        <v>1049</v>
      </c>
      <c r="C2400" s="1">
        <v>10.0</v>
      </c>
      <c r="D2400" s="2" t="s">
        <v>1077</v>
      </c>
      <c r="E2400" s="1" t="str">
        <f>IFERROR(__xludf.DUMMYFUNCTION("GOOGLETRANSLATE(D2400,""PT"",""EN"")"),"Bank application, is one of the points")</f>
        <v>Bank application, is one of the points</v>
      </c>
    </row>
    <row r="2401" ht="14.25" customHeight="1">
      <c r="A2401" s="1">
        <v>100.0</v>
      </c>
      <c r="B2401" s="1" t="s">
        <v>1049</v>
      </c>
      <c r="C2401" s="1">
        <v>10.0</v>
      </c>
      <c r="D2401" s="1" t="s">
        <v>6</v>
      </c>
      <c r="E2401" s="1"/>
    </row>
    <row r="2402" ht="14.25" customHeight="1">
      <c r="A2402" s="1">
        <v>100.0</v>
      </c>
      <c r="B2402" s="1" t="s">
        <v>1049</v>
      </c>
      <c r="C2402" s="1">
        <v>10.0</v>
      </c>
      <c r="D2402" s="1" t="s">
        <v>6</v>
      </c>
      <c r="E2402" s="1"/>
    </row>
    <row r="2403" ht="14.25" customHeight="1">
      <c r="A2403" s="1">
        <v>33.0</v>
      </c>
      <c r="B2403" s="1" t="s">
        <v>1049</v>
      </c>
      <c r="C2403" s="1">
        <v>5.0</v>
      </c>
      <c r="D2403" s="1" t="s">
        <v>6</v>
      </c>
      <c r="E2403" s="1"/>
    </row>
    <row r="2404" ht="14.25" customHeight="1">
      <c r="A2404" s="1">
        <v>100.0</v>
      </c>
      <c r="B2404" s="1" t="s">
        <v>1049</v>
      </c>
      <c r="C2404" s="1">
        <v>10.0</v>
      </c>
      <c r="D2404" s="1" t="s">
        <v>6</v>
      </c>
      <c r="E2404" s="1"/>
    </row>
    <row r="2405" ht="14.25" customHeight="1">
      <c r="A2405" s="1">
        <v>100.0</v>
      </c>
      <c r="B2405" s="1" t="s">
        <v>1049</v>
      </c>
      <c r="C2405" s="1">
        <v>9.0</v>
      </c>
      <c r="D2405" s="1" t="s">
        <v>6</v>
      </c>
      <c r="E2405" s="1"/>
    </row>
    <row r="2406" ht="14.25" customHeight="1">
      <c r="A2406" s="1">
        <v>33.0</v>
      </c>
      <c r="B2406" s="1" t="s">
        <v>1049</v>
      </c>
      <c r="C2406" s="1">
        <v>0.0</v>
      </c>
      <c r="D2406" s="1" t="s">
        <v>6</v>
      </c>
      <c r="E2406" s="1"/>
    </row>
    <row r="2407" ht="14.25" customHeight="1">
      <c r="A2407" s="1">
        <v>100.0</v>
      </c>
      <c r="B2407" s="1" t="s">
        <v>1049</v>
      </c>
      <c r="C2407" s="1">
        <v>10.0</v>
      </c>
      <c r="D2407" s="1" t="s">
        <v>20</v>
      </c>
      <c r="E2407" s="1" t="str">
        <f>IFERROR(__xludf.DUMMYFUNCTION("GOOGLETRANSLATE(D2407,""PT"",""EN"")"),"Very good")</f>
        <v>Very good</v>
      </c>
    </row>
    <row r="2408" ht="14.25" customHeight="1">
      <c r="A2408" s="1">
        <v>100.0</v>
      </c>
      <c r="B2408" s="1" t="s">
        <v>1049</v>
      </c>
      <c r="C2408" s="1">
        <v>10.0</v>
      </c>
      <c r="D2408" s="1" t="s">
        <v>6</v>
      </c>
      <c r="E2408" s="1"/>
    </row>
    <row r="2409" ht="14.25" customHeight="1">
      <c r="A2409" s="1">
        <v>100.0</v>
      </c>
      <c r="B2409" s="1" t="s">
        <v>1049</v>
      </c>
      <c r="C2409" s="1">
        <v>10.0</v>
      </c>
      <c r="D2409" s="2" t="s">
        <v>1078</v>
      </c>
      <c r="E2409" s="1" t="str">
        <f>IFERROR(__xludf.DUMMYFUNCTION("GOOGLETRANSLATE(D2409,""PT"",""EN"")"),"Fast management service is helpful")</f>
        <v>Fast management service is helpful</v>
      </c>
    </row>
    <row r="2410" ht="14.25" customHeight="1">
      <c r="A2410" s="1">
        <v>100.0</v>
      </c>
      <c r="B2410" s="1" t="s">
        <v>1049</v>
      </c>
      <c r="C2410" s="1">
        <v>10.0</v>
      </c>
      <c r="D2410" s="1" t="s">
        <v>1079</v>
      </c>
      <c r="E2410" s="1" t="str">
        <f>IFERROR(__xludf.DUMMYFUNCTION("GOOGLETRANSLATE(D2410,""PT"",""EN"")"),"Care, different rates compared to other competitors, including other cooperatives ...")</f>
        <v>Care, different rates compared to other competitors, including other cooperatives ...</v>
      </c>
    </row>
    <row r="2411" ht="14.25" customHeight="1">
      <c r="A2411" s="1">
        <v>100.0</v>
      </c>
      <c r="B2411" s="1" t="s">
        <v>1049</v>
      </c>
      <c r="C2411" s="1">
        <v>10.0</v>
      </c>
      <c r="D2411" s="1" t="s">
        <v>1080</v>
      </c>
      <c r="E2411" s="1" t="str">
        <f>IFERROR(__xludf.DUMMYFUNCTION("GOOGLETRANSLATE(D2411,""PT"",""EN"")"),"Excellent service !!")</f>
        <v>Excellent service !!</v>
      </c>
    </row>
    <row r="2412" ht="14.25" customHeight="1">
      <c r="A2412" s="1">
        <v>33.0</v>
      </c>
      <c r="B2412" s="1" t="s">
        <v>1049</v>
      </c>
      <c r="C2412" s="1">
        <v>0.0</v>
      </c>
      <c r="D2412" s="1" t="s">
        <v>6</v>
      </c>
      <c r="E2412" s="1"/>
    </row>
    <row r="2413" ht="14.25" customHeight="1">
      <c r="A2413" s="1">
        <v>100.0</v>
      </c>
      <c r="B2413" s="1" t="s">
        <v>1049</v>
      </c>
      <c r="C2413" s="1">
        <v>9.0</v>
      </c>
      <c r="D2413" s="1" t="s">
        <v>6</v>
      </c>
      <c r="E2413" s="1"/>
    </row>
    <row r="2414" ht="14.25" customHeight="1">
      <c r="A2414" s="1">
        <v>100.0</v>
      </c>
      <c r="B2414" s="1" t="s">
        <v>1049</v>
      </c>
      <c r="C2414" s="1">
        <v>10.0</v>
      </c>
      <c r="D2414" s="1" t="s">
        <v>6</v>
      </c>
      <c r="E2414" s="1"/>
    </row>
    <row r="2415" ht="14.25" customHeight="1">
      <c r="A2415" s="1">
        <v>100.0</v>
      </c>
      <c r="B2415" s="1" t="s">
        <v>1049</v>
      </c>
      <c r="C2415" s="1">
        <v>9.0</v>
      </c>
      <c r="D2415" s="1" t="s">
        <v>1081</v>
      </c>
      <c r="E2415" s="1" t="str">
        <f>IFERROR(__xludf.DUMMYFUNCTION("GOOGLETRANSLATE(D2415,""PT"",""EN"")"),"So far it's all right")</f>
        <v>So far it's all right</v>
      </c>
    </row>
    <row r="2416" ht="14.25" customHeight="1">
      <c r="A2416" s="1">
        <v>100.0</v>
      </c>
      <c r="B2416" s="1" t="s">
        <v>1049</v>
      </c>
      <c r="C2416" s="1">
        <v>9.0</v>
      </c>
      <c r="D2416" s="1" t="s">
        <v>6</v>
      </c>
      <c r="E2416" s="1"/>
    </row>
    <row r="2417" ht="14.25" customHeight="1">
      <c r="A2417" s="1">
        <v>100.0</v>
      </c>
      <c r="B2417" s="1" t="s">
        <v>1049</v>
      </c>
      <c r="C2417" s="1">
        <v>10.0</v>
      </c>
      <c r="D2417" s="1" t="s">
        <v>6</v>
      </c>
      <c r="E2417" s="1"/>
    </row>
    <row r="2418" ht="14.25" customHeight="1">
      <c r="A2418" s="1">
        <v>33.0</v>
      </c>
      <c r="B2418" s="1" t="s">
        <v>1049</v>
      </c>
      <c r="C2418" s="1">
        <v>1.0</v>
      </c>
      <c r="D2418" s="2" t="s">
        <v>1082</v>
      </c>
      <c r="E2418" s="1" t="str">
        <f>IFERROR(__xludf.DUMMYFUNCTION("GOOGLETRANSLATE(D2418,""PT"",""EN"")"),"Do not assist")</f>
        <v>Do not assist</v>
      </c>
    </row>
    <row r="2419" ht="14.25" customHeight="1">
      <c r="A2419" s="1">
        <v>100.0</v>
      </c>
      <c r="B2419" s="1" t="s">
        <v>1049</v>
      </c>
      <c r="C2419" s="1">
        <v>10.0</v>
      </c>
      <c r="D2419" s="1" t="s">
        <v>6</v>
      </c>
      <c r="E2419" s="1"/>
    </row>
    <row r="2420" ht="14.25" customHeight="1">
      <c r="A2420" s="1">
        <v>100.0</v>
      </c>
      <c r="B2420" s="1" t="s">
        <v>1049</v>
      </c>
      <c r="C2420" s="1">
        <v>10.0</v>
      </c>
      <c r="D2420" s="1" t="s">
        <v>6</v>
      </c>
      <c r="E2420" s="1"/>
    </row>
    <row r="2421" ht="14.25" customHeight="1">
      <c r="A2421" s="1">
        <v>33.0</v>
      </c>
      <c r="B2421" s="1" t="s">
        <v>1049</v>
      </c>
      <c r="C2421" s="1">
        <v>0.0</v>
      </c>
      <c r="D2421" s="2" t="s">
        <v>1083</v>
      </c>
      <c r="E2421" s="1" t="str">
        <f>IFERROR(__xludf.DUMMYFUNCTION("GOOGLETRANSLATE(D2421,""PT"",""EN"")"),"The app configuration is very bad more is time that nothing works")</f>
        <v>The app configuration is very bad more is time that nothing works</v>
      </c>
    </row>
    <row r="2422" ht="14.25" customHeight="1">
      <c r="A2422" s="1">
        <v>100.0</v>
      </c>
      <c r="B2422" s="1" t="s">
        <v>1049</v>
      </c>
      <c r="C2422" s="1">
        <v>10.0</v>
      </c>
      <c r="D2422" s="2" t="s">
        <v>1084</v>
      </c>
      <c r="E2422" s="1" t="str">
        <f>IFERROR(__xludf.DUMMYFUNCTION("GOOGLETRANSLATE(D2422,""PT"",""EN"")"),"Service, speed is fair price.")</f>
        <v>Service, speed is fair price.</v>
      </c>
    </row>
    <row r="2423" ht="14.25" customHeight="1">
      <c r="A2423" s="1">
        <v>66.0</v>
      </c>
      <c r="B2423" s="1" t="s">
        <v>1049</v>
      </c>
      <c r="C2423" s="1">
        <v>8.0</v>
      </c>
      <c r="D2423" s="1" t="s">
        <v>6</v>
      </c>
      <c r="E2423" s="1"/>
    </row>
    <row r="2424" ht="14.25" customHeight="1">
      <c r="A2424" s="1">
        <v>100.0</v>
      </c>
      <c r="B2424" s="1" t="s">
        <v>1049</v>
      </c>
      <c r="C2424" s="1">
        <v>10.0</v>
      </c>
      <c r="D2424" s="1" t="s">
        <v>6</v>
      </c>
      <c r="E2424" s="1"/>
    </row>
    <row r="2425" ht="14.25" customHeight="1">
      <c r="A2425" s="1">
        <v>100.0</v>
      </c>
      <c r="B2425" s="1" t="s">
        <v>1049</v>
      </c>
      <c r="C2425" s="1">
        <v>9.0</v>
      </c>
      <c r="D2425" s="1" t="s">
        <v>6</v>
      </c>
      <c r="E2425" s="1"/>
    </row>
    <row r="2426" ht="14.25" customHeight="1">
      <c r="A2426" s="1">
        <v>100.0</v>
      </c>
      <c r="B2426" s="1" t="s">
        <v>1049</v>
      </c>
      <c r="C2426" s="1">
        <v>10.0</v>
      </c>
      <c r="D2426" s="1" t="s">
        <v>1085</v>
      </c>
      <c r="E2426" s="1" t="str">
        <f>IFERROR(__xludf.DUMMYFUNCTION("GOOGLETRANSLATE(D2426,""PT"",""EN"")"),"Every day more, I'm enjoying the bank.")</f>
        <v>Every day more, I'm enjoying the bank.</v>
      </c>
    </row>
    <row r="2427" ht="14.25" customHeight="1">
      <c r="A2427" s="1">
        <v>100.0</v>
      </c>
      <c r="B2427" s="1" t="s">
        <v>1049</v>
      </c>
      <c r="C2427" s="1">
        <v>10.0</v>
      </c>
      <c r="D2427" s="1" t="s">
        <v>6</v>
      </c>
      <c r="E2427" s="1"/>
    </row>
    <row r="2428" ht="14.25" customHeight="1">
      <c r="A2428" s="1">
        <v>100.0</v>
      </c>
      <c r="B2428" s="1" t="s">
        <v>1049</v>
      </c>
      <c r="C2428" s="1">
        <v>10.0</v>
      </c>
      <c r="D2428" s="1" t="s">
        <v>1086</v>
      </c>
      <c r="E2428" s="1" t="str">
        <f>IFERROR(__xludf.DUMMYFUNCTION("GOOGLETRANSLATE(D2428,""PT"",""EN"")"),"Security assistance to the manager was excellent, employees Bruno Burati was excellent in the service.")</f>
        <v>Security assistance to the manager was excellent, employees Bruno Burati was excellent in the service.</v>
      </c>
    </row>
    <row r="2429" ht="14.25" customHeight="1">
      <c r="A2429" s="1">
        <v>66.0</v>
      </c>
      <c r="B2429" s="1" t="s">
        <v>1049</v>
      </c>
      <c r="C2429" s="1">
        <v>7.0</v>
      </c>
      <c r="D2429" s="1" t="s">
        <v>6</v>
      </c>
      <c r="E2429" s="1"/>
    </row>
    <row r="2430" ht="14.25" customHeight="1">
      <c r="A2430" s="1">
        <v>100.0</v>
      </c>
      <c r="B2430" s="1" t="s">
        <v>1049</v>
      </c>
      <c r="C2430" s="1">
        <v>10.0</v>
      </c>
      <c r="D2430" s="1" t="s">
        <v>1087</v>
      </c>
      <c r="E2430" s="1" t="str">
        <f>IFERROR(__xludf.DUMMYFUNCTION("GOOGLETRANSLATE(D2430,""PT"",""EN"")"),"OK")</f>
        <v>OK</v>
      </c>
    </row>
    <row r="2431" ht="14.25" customHeight="1">
      <c r="A2431" s="1">
        <v>100.0</v>
      </c>
      <c r="B2431" s="1" t="s">
        <v>1049</v>
      </c>
      <c r="C2431" s="1">
        <v>10.0</v>
      </c>
      <c r="D2431" s="1" t="s">
        <v>1088</v>
      </c>
      <c r="E2431" s="1" t="str">
        <f>IFERROR(__xludf.DUMMYFUNCTION("GOOGLETRANSLATE(D2431,""PT"",""EN"")"),"Excellent no faz")</f>
        <v>Excellent no faz</v>
      </c>
    </row>
    <row r="2432" ht="14.25" customHeight="1">
      <c r="A2432" s="1">
        <v>100.0</v>
      </c>
      <c r="B2432" s="1" t="s">
        <v>1049</v>
      </c>
      <c r="C2432" s="1">
        <v>10.0</v>
      </c>
      <c r="D2432" s="2" t="s">
        <v>1089</v>
      </c>
      <c r="E2432" s="1" t="str">
        <f>IFERROR(__xludf.DUMMYFUNCTION("GOOGLETRANSLATE(D2432,""PT"",""EN"")"),"The good service by Sicoob teams made me as a customer, make a maximum grade possible. Sicoob is one of the few banks in Brazil that no abuse is against its customers.")</f>
        <v>The good service by Sicoob teams made me as a customer, make a maximum grade possible. Sicoob is one of the few banks in Brazil that no abuse is against its customers.</v>
      </c>
    </row>
    <row r="2433" ht="14.25" customHeight="1">
      <c r="A2433" s="1">
        <v>100.0</v>
      </c>
      <c r="B2433" s="1" t="s">
        <v>1049</v>
      </c>
      <c r="C2433" s="1">
        <v>10.0</v>
      </c>
      <c r="D2433" s="1" t="s">
        <v>6</v>
      </c>
      <c r="E2433" s="1"/>
    </row>
    <row r="2434" ht="14.25" customHeight="1">
      <c r="A2434" s="1">
        <v>100.0</v>
      </c>
      <c r="B2434" s="1" t="s">
        <v>1049</v>
      </c>
      <c r="C2434" s="1">
        <v>10.0</v>
      </c>
      <c r="D2434" s="1" t="s">
        <v>6</v>
      </c>
      <c r="E2434" s="1"/>
    </row>
    <row r="2435" ht="14.25" customHeight="1">
      <c r="A2435" s="1">
        <v>100.0</v>
      </c>
      <c r="B2435" s="1" t="s">
        <v>1049</v>
      </c>
      <c r="C2435" s="1">
        <v>10.0</v>
      </c>
      <c r="D2435" s="1" t="s">
        <v>6</v>
      </c>
      <c r="E2435" s="1"/>
    </row>
    <row r="2436" ht="14.25" customHeight="1">
      <c r="A2436" s="1">
        <v>100.0</v>
      </c>
      <c r="B2436" s="1" t="s">
        <v>1049</v>
      </c>
      <c r="C2436" s="1">
        <v>9.0</v>
      </c>
      <c r="D2436" s="1" t="s">
        <v>6</v>
      </c>
      <c r="E2436" s="1"/>
    </row>
    <row r="2437" ht="14.25" customHeight="1">
      <c r="A2437" s="1">
        <v>100.0</v>
      </c>
      <c r="B2437" s="1" t="s">
        <v>1049</v>
      </c>
      <c r="C2437" s="1">
        <v>10.0</v>
      </c>
      <c r="D2437" s="1" t="s">
        <v>6</v>
      </c>
      <c r="E2437" s="1"/>
    </row>
    <row r="2438" ht="14.25" customHeight="1">
      <c r="A2438" s="1">
        <v>33.0</v>
      </c>
      <c r="B2438" s="1" t="s">
        <v>1049</v>
      </c>
      <c r="C2438" s="1">
        <v>5.0</v>
      </c>
      <c r="D2438" s="1" t="s">
        <v>6</v>
      </c>
      <c r="E2438" s="1"/>
    </row>
    <row r="2439" ht="14.25" customHeight="1">
      <c r="A2439" s="1">
        <v>66.0</v>
      </c>
      <c r="B2439" s="1" t="s">
        <v>1049</v>
      </c>
      <c r="C2439" s="1">
        <v>8.0</v>
      </c>
      <c r="D2439" s="1" t="s">
        <v>6</v>
      </c>
      <c r="E2439" s="1"/>
    </row>
    <row r="2440" ht="14.25" customHeight="1">
      <c r="A2440" s="1">
        <v>66.0</v>
      </c>
      <c r="B2440" s="1" t="s">
        <v>1049</v>
      </c>
      <c r="C2440" s="1">
        <v>7.0</v>
      </c>
      <c r="D2440" s="1" t="s">
        <v>6</v>
      </c>
      <c r="E2440" s="1"/>
    </row>
    <row r="2441" ht="14.25" customHeight="1">
      <c r="A2441" s="1">
        <v>100.0</v>
      </c>
      <c r="B2441" s="1" t="s">
        <v>1049</v>
      </c>
      <c r="C2441" s="1">
        <v>10.0</v>
      </c>
      <c r="D2441" s="1" t="s">
        <v>20</v>
      </c>
      <c r="E2441" s="1" t="str">
        <f>IFERROR(__xludf.DUMMYFUNCTION("GOOGLETRANSLATE(D2441,""PT"",""EN"")"),"Very good")</f>
        <v>Very good</v>
      </c>
    </row>
    <row r="2442" ht="14.25" customHeight="1">
      <c r="A2442" s="1">
        <v>100.0</v>
      </c>
      <c r="B2442" s="1" t="s">
        <v>1049</v>
      </c>
      <c r="C2442" s="1">
        <v>10.0</v>
      </c>
      <c r="D2442" s="1" t="s">
        <v>6</v>
      </c>
      <c r="E2442" s="1"/>
    </row>
    <row r="2443" ht="14.25" customHeight="1">
      <c r="A2443" s="1">
        <v>100.0</v>
      </c>
      <c r="B2443" s="1" t="s">
        <v>1049</v>
      </c>
      <c r="C2443" s="1">
        <v>10.0</v>
      </c>
      <c r="D2443" s="1" t="s">
        <v>9</v>
      </c>
      <c r="E2443" s="1" t="str">
        <f>IFERROR(__xludf.DUMMYFUNCTION("GOOGLETRANSLATE(D2443,""PT"",""EN"")"),"10")</f>
        <v>10</v>
      </c>
    </row>
    <row r="2444" ht="14.25" customHeight="1">
      <c r="A2444" s="1">
        <v>100.0</v>
      </c>
      <c r="B2444" s="1" t="s">
        <v>1049</v>
      </c>
      <c r="C2444" s="1">
        <v>10.0</v>
      </c>
      <c r="D2444" s="1" t="s">
        <v>1090</v>
      </c>
      <c r="E2444" s="1" t="str">
        <f>IFERROR(__xludf.DUMMYFUNCTION("GOOGLETRANSLATE(D2444,""PT"",""EN"")"),"A very welcoming cooperative, professionals of excellence.")</f>
        <v>A very welcoming cooperative, professionals of excellence.</v>
      </c>
    </row>
    <row r="2445" ht="14.25" customHeight="1">
      <c r="A2445" s="1">
        <v>100.0</v>
      </c>
      <c r="B2445" s="1" t="s">
        <v>1049</v>
      </c>
      <c r="C2445" s="1">
        <v>10.0</v>
      </c>
      <c r="D2445" s="1" t="s">
        <v>6</v>
      </c>
      <c r="E2445" s="1"/>
    </row>
    <row r="2446" ht="14.25" customHeight="1">
      <c r="A2446" s="1">
        <v>100.0</v>
      </c>
      <c r="B2446" s="1" t="s">
        <v>1049</v>
      </c>
      <c r="C2446" s="1">
        <v>9.0</v>
      </c>
      <c r="D2446" s="2" t="s">
        <v>1091</v>
      </c>
      <c r="E2446" s="1" t="str">
        <f>IFERROR(__xludf.DUMMYFUNCTION("GOOGLETRANSLATE(D2446,""PT"",""EN"")"),"The bank has several qualities, but the way of solving is very slow, it is also not able to redeem the money that is in the capital account, for me it is a negative point.")</f>
        <v>The bank has several qualities, but the way of solving is very slow, it is also not able to redeem the money that is in the capital account, for me it is a negative point.</v>
      </c>
    </row>
    <row r="2447" ht="14.25" customHeight="1">
      <c r="A2447" s="1">
        <v>66.0</v>
      </c>
      <c r="B2447" s="1" t="s">
        <v>1049</v>
      </c>
      <c r="C2447" s="1">
        <v>8.0</v>
      </c>
      <c r="D2447" s="1" t="s">
        <v>6</v>
      </c>
      <c r="E2447" s="1"/>
    </row>
    <row r="2448" ht="14.25" customHeight="1">
      <c r="A2448" s="1">
        <v>66.0</v>
      </c>
      <c r="B2448" s="1" t="s">
        <v>1049</v>
      </c>
      <c r="C2448" s="1">
        <v>7.0</v>
      </c>
      <c r="D2448" s="2" t="s">
        <v>1092</v>
      </c>
      <c r="E2448" s="1" t="str">
        <f>IFERROR(__xludf.DUMMYFUNCTION("GOOGLETRANSLATE(D2448,""PT"",""EN"")"),"The bank's app is not very practical, it could improve, be a little more efficient.")</f>
        <v>The bank's app is not very practical, it could improve, be a little more efficient.</v>
      </c>
    </row>
    <row r="2449" ht="14.25" customHeight="1">
      <c r="A2449" s="1">
        <v>100.0</v>
      </c>
      <c r="B2449" s="1" t="s">
        <v>1049</v>
      </c>
      <c r="C2449" s="1">
        <v>10.0</v>
      </c>
      <c r="D2449" s="2" t="s">
        <v>1093</v>
      </c>
      <c r="E2449" s="1" t="str">
        <f>IFERROR(__xludf.DUMMYFUNCTION("GOOGLETRANSLATE(D2449,""PT"",""EN"")"),"It's a great app that helps entrepreneur people to climb your goal even though I get nothing limit with you but I like it a lot")</f>
        <v>It's a great app that helps entrepreneur people to climb your goal even though I get nothing limit with you but I like it a lot</v>
      </c>
    </row>
    <row r="2450" ht="14.25" customHeight="1">
      <c r="A2450" s="1">
        <v>100.0</v>
      </c>
      <c r="B2450" s="1" t="s">
        <v>1049</v>
      </c>
      <c r="C2450" s="1">
        <v>10.0</v>
      </c>
      <c r="D2450" s="1" t="s">
        <v>6</v>
      </c>
      <c r="E2450" s="1"/>
    </row>
    <row r="2451" ht="14.25" customHeight="1">
      <c r="A2451" s="1">
        <v>100.0</v>
      </c>
      <c r="B2451" s="1" t="s">
        <v>1049</v>
      </c>
      <c r="C2451" s="1">
        <v>10.0</v>
      </c>
      <c r="D2451" s="1" t="s">
        <v>1094</v>
      </c>
      <c r="E2451" s="1" t="str">
        <f>IFERROR(__xludf.DUMMYFUNCTION("GOOGLETRANSLATE(D2451,""PT"",""EN"")"),"Very attentive employees with the associates !!!")</f>
        <v>Very attentive employees with the associates !!!</v>
      </c>
    </row>
    <row r="2452" ht="14.25" customHeight="1">
      <c r="A2452" s="1">
        <v>100.0</v>
      </c>
      <c r="B2452" s="1" t="s">
        <v>1049</v>
      </c>
      <c r="C2452" s="1">
        <v>10.0</v>
      </c>
      <c r="D2452" s="2" t="s">
        <v>1095</v>
      </c>
      <c r="E2452" s="1" t="str">
        <f>IFERROR(__xludf.DUMMYFUNCTION("GOOGLETRANSLATE(D2452,""PT"",""EN"")"),"Practical, fast is in the palm of the hand.")</f>
        <v>Practical, fast is in the palm of the hand.</v>
      </c>
    </row>
    <row r="2453" ht="14.25" customHeight="1">
      <c r="A2453" s="1">
        <v>100.0</v>
      </c>
      <c r="B2453" s="1" t="s">
        <v>1049</v>
      </c>
      <c r="C2453" s="1">
        <v>10.0</v>
      </c>
      <c r="D2453" s="1" t="s">
        <v>6</v>
      </c>
      <c r="E2453" s="1"/>
    </row>
    <row r="2454" ht="14.25" customHeight="1">
      <c r="A2454" s="1">
        <v>100.0</v>
      </c>
      <c r="B2454" s="1" t="s">
        <v>1049</v>
      </c>
      <c r="C2454" s="1">
        <v>10.0</v>
      </c>
      <c r="D2454" s="1" t="s">
        <v>6</v>
      </c>
      <c r="E2454" s="1"/>
    </row>
    <row r="2455" ht="14.25" customHeight="1">
      <c r="A2455" s="1">
        <v>100.0</v>
      </c>
      <c r="B2455" s="1" t="s">
        <v>1049</v>
      </c>
      <c r="C2455" s="1">
        <v>10.0</v>
      </c>
      <c r="D2455" s="2" t="s">
        <v>1096</v>
      </c>
      <c r="E2455" s="1" t="str">
        <f>IFERROR(__xludf.DUMMYFUNCTION("GOOGLETRANSLATE(D2455,""PT"",""EN"")"),"Always a good service, leaves nothing to be desired. I highly recommend it in many ways.")</f>
        <v>Always a good service, leaves nothing to be desired. I highly recommend it in many ways.</v>
      </c>
    </row>
    <row r="2456" ht="14.25" customHeight="1">
      <c r="A2456" s="1">
        <v>66.0</v>
      </c>
      <c r="B2456" s="1" t="s">
        <v>1049</v>
      </c>
      <c r="C2456" s="1">
        <v>8.0</v>
      </c>
      <c r="D2456" s="1" t="s">
        <v>6</v>
      </c>
      <c r="E2456" s="1"/>
    </row>
    <row r="2457" ht="14.25" customHeight="1">
      <c r="A2457" s="1">
        <v>100.0</v>
      </c>
      <c r="B2457" s="1" t="s">
        <v>1049</v>
      </c>
      <c r="C2457" s="1">
        <v>10.0</v>
      </c>
      <c r="D2457" s="1" t="s">
        <v>6</v>
      </c>
      <c r="E2457" s="1"/>
    </row>
    <row r="2458" ht="14.25" customHeight="1">
      <c r="A2458" s="1">
        <v>100.0</v>
      </c>
      <c r="B2458" s="1" t="s">
        <v>1049</v>
      </c>
      <c r="C2458" s="1">
        <v>10.0</v>
      </c>
      <c r="D2458" s="1" t="s">
        <v>6</v>
      </c>
      <c r="E2458" s="1"/>
    </row>
    <row r="2459" ht="14.25" customHeight="1">
      <c r="A2459" s="1">
        <v>33.0</v>
      </c>
      <c r="B2459" s="1" t="s">
        <v>1049</v>
      </c>
      <c r="C2459" s="1">
        <v>0.0</v>
      </c>
      <c r="D2459" s="2" t="s">
        <v>1097</v>
      </c>
      <c r="E2459" s="1" t="str">
        <f>IFERROR(__xludf.DUMMYFUNCTION("GOOGLETRANSLATE(D2459,""PT"",""EN"")"),"When you enter Sicoob the promise was not to have an account maintenance, it was not 6 months later they started charging account maintenance is this amount already rose 2x. Then they started discounting 10.00 saying that it was to put in those 1,000.00 o"&amp;"f initial investment, that I will be able to withdraw later when the account ended. It is last, on May 22, was the day of me paying the benefit of the loan that I did in the amount of R $ 1,012.92, debited around R $ 700.00, which was the money that had t"&amp;"he bill at the moment , I access the account on the 22nd, I saw that it was missing money, I deposited the remaining amount, around R $ 280.00. The bank did not charge the amount again. The other day charged the remaining amount is with interest. I have u"&amp;"ntil 23:59 to pay the installment, the money was in the bill, not my problem if the bank did not charge 2x the same day. I contacted the manager, he said he could do nothing. It would not reimburse the amount of interest, at most could give a discount on "&amp;"the other installment in the same amount as interest. I just believe seeing, let's see if this will happen even in the portion of Mes 06. From any case I do not recommend it is I am looking for another bank to take my account PJ")</f>
        <v>When you enter Sicoob the promise was not to have an account maintenance, it was not 6 months later they started charging account maintenance is this amount already rose 2x. Then they started discounting 10.00 saying that it was to put in those 1,000.00 of initial investment, that I will be able to withdraw later when the account ended. It is last, on May 22, was the day of me paying the benefit of the loan that I did in the amount of R $ 1,012.92, debited around R $ 700.00, which was the money that had the bill at the moment , I access the account on the 22nd, I saw that it was missing money, I deposited the remaining amount, around R $ 280.00. The bank did not charge the amount again. The other day charged the remaining amount is with interest. I have until 23:59 to pay the installment, the money was in the bill, not my problem if the bank did not charge 2x the same day. I contacted the manager, he said he could do nothing. It would not reimburse the amount of interest, at most could give a discount on the other installment in the same amount as interest. I just believe seeing, let's see if this will happen even in the portion of Mes 06. From any case I do not recommend it is I am looking for another bank to take my account PJ</v>
      </c>
    </row>
    <row r="2460" ht="14.25" customHeight="1">
      <c r="A2460" s="1">
        <v>100.0</v>
      </c>
      <c r="B2460" s="1" t="s">
        <v>1049</v>
      </c>
      <c r="C2460" s="1">
        <v>10.0</v>
      </c>
      <c r="D2460" s="1" t="s">
        <v>6</v>
      </c>
      <c r="E2460" s="1"/>
    </row>
    <row r="2461" ht="14.25" customHeight="1">
      <c r="A2461" s="1">
        <v>100.0</v>
      </c>
      <c r="B2461" s="1" t="s">
        <v>1049</v>
      </c>
      <c r="C2461" s="1">
        <v>10.0</v>
      </c>
      <c r="D2461" s="2" t="s">
        <v>1098</v>
      </c>
      <c r="E2461" s="1" t="str">
        <f>IFERROR(__xludf.DUMMYFUNCTION("GOOGLETRANSLATE(D2461,""PT"",""EN"")"),"For the good service is the humility of employees")</f>
        <v>For the good service is the humility of employees</v>
      </c>
    </row>
    <row r="2462" ht="14.25" customHeight="1">
      <c r="A2462" s="1">
        <v>100.0</v>
      </c>
      <c r="B2462" s="1" t="s">
        <v>1049</v>
      </c>
      <c r="C2462" s="1">
        <v>10.0</v>
      </c>
      <c r="D2462" s="1" t="s">
        <v>6</v>
      </c>
      <c r="E2462" s="1"/>
    </row>
    <row r="2463" ht="14.25" customHeight="1">
      <c r="A2463" s="1">
        <v>100.0</v>
      </c>
      <c r="B2463" s="1" t="s">
        <v>1049</v>
      </c>
      <c r="C2463" s="1">
        <v>10.0</v>
      </c>
      <c r="D2463" s="1" t="s">
        <v>37</v>
      </c>
      <c r="E2463" s="1" t="str">
        <f>IFERROR(__xludf.DUMMYFUNCTION("GOOGLETRANSLATE(D2463,""PT"",""EN"")"),"Great service")</f>
        <v>Great service</v>
      </c>
    </row>
    <row r="2464" ht="14.25" customHeight="1">
      <c r="A2464" s="1">
        <v>100.0</v>
      </c>
      <c r="B2464" s="1" t="s">
        <v>1049</v>
      </c>
      <c r="C2464" s="1">
        <v>10.0</v>
      </c>
      <c r="D2464" s="2" t="s">
        <v>1099</v>
      </c>
      <c r="E2464" s="1" t="str">
        <f>IFERROR(__xludf.DUMMYFUNCTION("GOOGLETRANSLATE(D2464,""PT"",""EN"")"),"Bank with fair fees is very affordable managers")</f>
        <v>Bank with fair fees is very affordable managers</v>
      </c>
    </row>
    <row r="2465" ht="14.25" customHeight="1">
      <c r="A2465" s="1">
        <v>100.0</v>
      </c>
      <c r="B2465" s="1" t="s">
        <v>1049</v>
      </c>
      <c r="C2465" s="1">
        <v>10.0</v>
      </c>
      <c r="D2465" s="1" t="s">
        <v>9</v>
      </c>
      <c r="E2465" s="1" t="str">
        <f>IFERROR(__xludf.DUMMYFUNCTION("GOOGLETRANSLATE(D2465,""PT"",""EN"")"),"10")</f>
        <v>10</v>
      </c>
    </row>
    <row r="2466" ht="14.25" customHeight="1">
      <c r="A2466" s="1">
        <v>33.0</v>
      </c>
      <c r="B2466" s="1" t="s">
        <v>1049</v>
      </c>
      <c r="C2466" s="1">
        <v>0.0</v>
      </c>
      <c r="D2466" s="2" t="s">
        <v>1100</v>
      </c>
      <c r="E2466" s="1" t="str">
        <f>IFERROR(__xludf.DUMMYFUNCTION("GOOGLETRANSLATE(D2466,""PT"",""EN"")"),"I moved an account there a year did not offer me a penny of credit")</f>
        <v>I moved an account there a year did not offer me a penny of credit</v>
      </c>
    </row>
    <row r="2467" ht="14.25" customHeight="1">
      <c r="A2467" s="1">
        <v>100.0</v>
      </c>
      <c r="B2467" s="1" t="s">
        <v>1049</v>
      </c>
      <c r="C2467" s="1">
        <v>10.0</v>
      </c>
      <c r="D2467" s="1" t="s">
        <v>6</v>
      </c>
      <c r="E2467" s="1"/>
    </row>
    <row r="2468" ht="14.25" customHeight="1">
      <c r="A2468" s="1">
        <v>100.0</v>
      </c>
      <c r="B2468" s="1" t="s">
        <v>1049</v>
      </c>
      <c r="C2468" s="1">
        <v>10.0</v>
      </c>
      <c r="D2468" s="1" t="s">
        <v>6</v>
      </c>
      <c r="E2468" s="1"/>
    </row>
    <row r="2469" ht="14.25" customHeight="1">
      <c r="A2469" s="1">
        <v>100.0</v>
      </c>
      <c r="B2469" s="1" t="s">
        <v>1049</v>
      </c>
      <c r="C2469" s="1">
        <v>10.0</v>
      </c>
      <c r="D2469" s="1" t="s">
        <v>1101</v>
      </c>
      <c r="E2469" s="1" t="str">
        <f>IFERROR(__xludf.DUMMYFUNCTION("GOOGLETRANSLATE(D2469,""PT"",""EN"")"),"I liked")</f>
        <v>I liked</v>
      </c>
    </row>
    <row r="2470" ht="14.25" customHeight="1">
      <c r="A2470" s="1">
        <v>100.0</v>
      </c>
      <c r="B2470" s="1" t="s">
        <v>1049</v>
      </c>
      <c r="C2470" s="1">
        <v>10.0</v>
      </c>
      <c r="D2470" s="1" t="s">
        <v>6</v>
      </c>
      <c r="E2470" s="1"/>
    </row>
    <row r="2471" ht="14.25" customHeight="1">
      <c r="A2471" s="1">
        <v>100.0</v>
      </c>
      <c r="B2471" s="1" t="s">
        <v>1049</v>
      </c>
      <c r="C2471" s="1">
        <v>10.0</v>
      </c>
      <c r="D2471" s="1" t="s">
        <v>6</v>
      </c>
      <c r="E2471" s="1"/>
    </row>
    <row r="2472" ht="14.25" customHeight="1">
      <c r="A2472" s="1">
        <v>100.0</v>
      </c>
      <c r="B2472" s="1" t="s">
        <v>1049</v>
      </c>
      <c r="C2472" s="1">
        <v>9.0</v>
      </c>
      <c r="D2472" s="1" t="s">
        <v>6</v>
      </c>
      <c r="E2472" s="1"/>
    </row>
    <row r="2473" ht="14.25" customHeight="1">
      <c r="A2473" s="1">
        <v>33.0</v>
      </c>
      <c r="B2473" s="1" t="s">
        <v>1049</v>
      </c>
      <c r="C2473" s="1">
        <v>0.0</v>
      </c>
      <c r="D2473" s="2" t="s">
        <v>1102</v>
      </c>
      <c r="E2473" s="1" t="str">
        <f>IFERROR(__xludf.DUMMYFUNCTION("GOOGLETRANSLATE(D2473,""PT"",""EN"")"),"Pessimal service")</f>
        <v>Pessimal service</v>
      </c>
    </row>
    <row r="2474" ht="14.25" customHeight="1">
      <c r="A2474" s="1">
        <v>33.0</v>
      </c>
      <c r="B2474" s="1" t="s">
        <v>1049</v>
      </c>
      <c r="C2474" s="1">
        <v>3.0</v>
      </c>
      <c r="D2474" s="1" t="s">
        <v>6</v>
      </c>
      <c r="E2474" s="1"/>
    </row>
    <row r="2475" ht="14.25" customHeight="1">
      <c r="A2475" s="1">
        <v>66.0</v>
      </c>
      <c r="B2475" s="1" t="s">
        <v>1049</v>
      </c>
      <c r="C2475" s="1">
        <v>8.0</v>
      </c>
      <c r="D2475" s="1" t="s">
        <v>6</v>
      </c>
      <c r="E2475" s="1"/>
    </row>
    <row r="2476" ht="14.25" customHeight="1">
      <c r="A2476" s="1">
        <v>100.0</v>
      </c>
      <c r="B2476" s="1" t="s">
        <v>1049</v>
      </c>
      <c r="C2476" s="1">
        <v>10.0</v>
      </c>
      <c r="D2476" s="1" t="s">
        <v>1103</v>
      </c>
      <c r="E2476" s="1" t="str">
        <f>IFERROR(__xludf.DUMMYFUNCTION("GOOGLETRANSLATE(D2476,""PT"",""EN"")"),"promptness")</f>
        <v>promptness</v>
      </c>
    </row>
    <row r="2477" ht="14.25" customHeight="1">
      <c r="A2477" s="1">
        <v>100.0</v>
      </c>
      <c r="B2477" s="1" t="s">
        <v>1049</v>
      </c>
      <c r="C2477" s="1">
        <v>10.0</v>
      </c>
      <c r="D2477" s="1" t="s">
        <v>6</v>
      </c>
      <c r="E2477" s="1"/>
    </row>
    <row r="2478" ht="14.25" customHeight="1">
      <c r="A2478" s="1">
        <v>100.0</v>
      </c>
      <c r="B2478" s="1" t="s">
        <v>1049</v>
      </c>
      <c r="C2478" s="1">
        <v>10.0</v>
      </c>
      <c r="D2478" s="2" t="s">
        <v>1104</v>
      </c>
      <c r="E2478" s="1" t="str">
        <f>IFERROR(__xludf.DUMMYFUNCTION("GOOGLETRANSLATE(D2478,""PT"",""EN"")"),"Helped me buy my vehicle, having surgery is to win many things through my relationship with the cooperative")</f>
        <v>Helped me buy my vehicle, having surgery is to win many things through my relationship with the cooperative</v>
      </c>
    </row>
    <row r="2479" ht="14.25" customHeight="1">
      <c r="A2479" s="1">
        <v>100.0</v>
      </c>
      <c r="B2479" s="1" t="s">
        <v>1049</v>
      </c>
      <c r="C2479" s="1">
        <v>10.0</v>
      </c>
      <c r="D2479" s="1" t="s">
        <v>6</v>
      </c>
      <c r="E2479" s="1"/>
    </row>
    <row r="2480" ht="14.25" customHeight="1">
      <c r="A2480" s="1">
        <v>100.0</v>
      </c>
      <c r="B2480" s="1" t="s">
        <v>1049</v>
      </c>
      <c r="C2480" s="1">
        <v>10.0</v>
      </c>
      <c r="D2480" s="1" t="s">
        <v>1105</v>
      </c>
      <c r="E2480" s="1" t="str">
        <f>IFERROR(__xludf.DUMMYFUNCTION("GOOGLETRANSLATE(D2480,""PT"",""EN"")"),"excellence team, continues like this")</f>
        <v>excellence team, continues like this</v>
      </c>
    </row>
    <row r="2481" ht="14.25" customHeight="1">
      <c r="A2481" s="1">
        <v>100.0</v>
      </c>
      <c r="B2481" s="1" t="s">
        <v>1049</v>
      </c>
      <c r="C2481" s="1">
        <v>10.0</v>
      </c>
      <c r="D2481" s="1" t="s">
        <v>6</v>
      </c>
      <c r="E2481" s="1"/>
    </row>
    <row r="2482" ht="14.25" customHeight="1">
      <c r="A2482" s="1">
        <v>33.0</v>
      </c>
      <c r="B2482" s="1" t="s">
        <v>1049</v>
      </c>
      <c r="C2482" s="1">
        <v>0.0</v>
      </c>
      <c r="D2482" s="2" t="s">
        <v>1106</v>
      </c>
      <c r="E2482" s="1" t="str">
        <f>IFERROR(__xludf.DUMMYFUNCTION("GOOGLETRANSLATE(D2482,""PT"",""EN"")"),"I never needed support, the day I unfortunately needed I got the pending that I will organize I will make my detachment from the institution.")</f>
        <v>I never needed support, the day I unfortunately needed I got the pending that I will organize I will make my detachment from the institution.</v>
      </c>
    </row>
    <row r="2483" ht="14.25" customHeight="1">
      <c r="A2483" s="1">
        <v>33.0</v>
      </c>
      <c r="B2483" s="1" t="s">
        <v>1049</v>
      </c>
      <c r="C2483" s="1">
        <v>5.0</v>
      </c>
      <c r="D2483" s="1" t="s">
        <v>6</v>
      </c>
      <c r="E2483" s="1"/>
    </row>
    <row r="2484" ht="14.25" customHeight="1">
      <c r="A2484" s="1">
        <v>100.0</v>
      </c>
      <c r="B2484" s="1" t="s">
        <v>1049</v>
      </c>
      <c r="C2484" s="1">
        <v>10.0</v>
      </c>
      <c r="D2484" s="1" t="s">
        <v>6</v>
      </c>
      <c r="E2484" s="1"/>
    </row>
    <row r="2485" ht="14.25" customHeight="1">
      <c r="A2485" s="1">
        <v>100.0</v>
      </c>
      <c r="B2485" s="1" t="s">
        <v>1049</v>
      </c>
      <c r="C2485" s="1">
        <v>9.0</v>
      </c>
      <c r="D2485" s="2" t="s">
        <v>1107</v>
      </c>
      <c r="E2485" s="1" t="str">
        <f>IFERROR(__xludf.DUMMYFUNCTION("GOOGLETRANSLATE(D2485,""PT"",""EN"")"),"Institution inspires security is the confidence of the cooperatives, who exercise the management of the cooperative itself with transparency, besides the financial benefits is social that enjoy.")</f>
        <v>Institution inspires security is the confidence of the cooperatives, who exercise the management of the cooperative itself with transparency, besides the financial benefits is social that enjoy.</v>
      </c>
    </row>
    <row r="2486" ht="14.25" customHeight="1">
      <c r="A2486" s="1">
        <v>100.0</v>
      </c>
      <c r="B2486" s="1" t="s">
        <v>1049</v>
      </c>
      <c r="C2486" s="1">
        <v>10.0</v>
      </c>
      <c r="D2486" s="1" t="s">
        <v>6</v>
      </c>
      <c r="E2486" s="1"/>
    </row>
    <row r="2487" ht="14.25" customHeight="1">
      <c r="A2487" s="1">
        <v>33.0</v>
      </c>
      <c r="B2487" s="1" t="s">
        <v>1049</v>
      </c>
      <c r="C2487" s="1">
        <v>0.0</v>
      </c>
      <c r="D2487" s="1" t="s">
        <v>901</v>
      </c>
      <c r="E2487" s="1"/>
    </row>
    <row r="2488" ht="14.25" customHeight="1">
      <c r="A2488" s="1">
        <v>100.0</v>
      </c>
      <c r="B2488" s="1" t="s">
        <v>1049</v>
      </c>
      <c r="C2488" s="1">
        <v>10.0</v>
      </c>
      <c r="D2488" s="1" t="s">
        <v>6</v>
      </c>
      <c r="E2488" s="1"/>
    </row>
    <row r="2489" ht="14.25" customHeight="1">
      <c r="A2489" s="1">
        <v>33.0</v>
      </c>
      <c r="B2489" s="1" t="s">
        <v>1049</v>
      </c>
      <c r="C2489" s="1">
        <v>4.0</v>
      </c>
      <c r="D2489" s="2" t="s">
        <v>1108</v>
      </c>
      <c r="E2489" s="1" t="str">
        <f>IFERROR(__xludf.DUMMYFUNCTION("GOOGLETRANSLATE(D2489,""PT"",""EN"")"),"I don't think they look what the potential is in fact that the customer has, our score is very good, they even had a physical account in the bank had financing we paid before maturity, I tried to buy a vehicle did not release the credit, a distrust is the"&amp;"re we ended Physical account, just for that.")</f>
        <v>I don't think they look what the potential is in fact that the customer has, our score is very good, they even had a physical account in the bank had financing we paid before maturity, I tried to buy a vehicle did not release the credit, a distrust is there we ended Physical account, just for that.</v>
      </c>
    </row>
    <row r="2490" ht="14.25" customHeight="1">
      <c r="A2490" s="1">
        <v>100.0</v>
      </c>
      <c r="B2490" s="1" t="s">
        <v>1049</v>
      </c>
      <c r="C2490" s="1">
        <v>10.0</v>
      </c>
      <c r="D2490" s="2" t="s">
        <v>1109</v>
      </c>
      <c r="E2490" s="1" t="str">
        <f>IFERROR(__xludf.DUMMYFUNCTION("GOOGLETRANSLATE(D2490,""PT"",""EN"")"),"Good service is agility.")</f>
        <v>Good service is agility.</v>
      </c>
    </row>
    <row r="2491" ht="14.25" customHeight="1">
      <c r="A2491" s="1">
        <v>33.0</v>
      </c>
      <c r="B2491" s="1" t="s">
        <v>1049</v>
      </c>
      <c r="C2491" s="1">
        <v>2.0</v>
      </c>
      <c r="D2491" s="1" t="s">
        <v>1110</v>
      </c>
      <c r="E2491" s="1" t="str">
        <f>IFERROR(__xludf.DUMMYFUNCTION("GOOGLETRANSLATE(D2491,""PT"",""EN"")"),"Disappointed")</f>
        <v>Disappointed</v>
      </c>
    </row>
    <row r="2492" ht="14.25" customHeight="1">
      <c r="A2492" s="1">
        <v>100.0</v>
      </c>
      <c r="B2492" s="1" t="s">
        <v>1049</v>
      </c>
      <c r="C2492" s="1">
        <v>10.0</v>
      </c>
      <c r="D2492" s="1" t="s">
        <v>6</v>
      </c>
      <c r="E2492" s="1"/>
    </row>
    <row r="2493" ht="14.25" customHeight="1">
      <c r="A2493" s="1">
        <v>100.0</v>
      </c>
      <c r="B2493" s="1" t="s">
        <v>1049</v>
      </c>
      <c r="C2493" s="1">
        <v>10.0</v>
      </c>
      <c r="D2493" s="1" t="s">
        <v>62</v>
      </c>
      <c r="E2493" s="1" t="str">
        <f>IFERROR(__xludf.DUMMYFUNCTION("GOOGLETRANSLATE(D2493,""PT"",""EN"")"),"Good service")</f>
        <v>Good service</v>
      </c>
    </row>
    <row r="2494" ht="14.25" customHeight="1">
      <c r="A2494" s="1">
        <v>100.0</v>
      </c>
      <c r="B2494" s="1" t="s">
        <v>1049</v>
      </c>
      <c r="C2494" s="1">
        <v>10.0</v>
      </c>
      <c r="D2494" s="1" t="s">
        <v>6</v>
      </c>
      <c r="E2494" s="1"/>
    </row>
    <row r="2495" ht="14.25" customHeight="1">
      <c r="A2495" s="1">
        <v>33.0</v>
      </c>
      <c r="B2495" s="1" t="s">
        <v>1049</v>
      </c>
      <c r="C2495" s="1">
        <v>0.0</v>
      </c>
      <c r="D2495" s="2" t="s">
        <v>1111</v>
      </c>
      <c r="E2495" s="1" t="str">
        <f>IFERROR(__xludf.DUMMYFUNCTION("GOOGLETRANSLATE(D2495,""PT"",""EN"")"),"I would not recommend for some reasons. A bank that implements charges of fees without warning is absurd, hurts the legislation is the Central Bank rules. I was attracted to be a client of Sicoob for not charging fees, so they started charging something c"&amp;"lose to $ 17.00 recently started charging $ 50 per month, absurd. Another situation, I had an individual account closed for inactivity of 6 months. It turns out that my account has never been inactive 6 months, without deposits is withdrawals. Having bala"&amp;"nce in account. This is over 2 years asking for measures to withdraw is nothing. About the fee charged, I'm asking for return has more than 2 months, it's nothing. How to give a note greater than zero ??? Impossible")</f>
        <v>I would not recommend for some reasons. A bank that implements charges of fees without warning is absurd, hurts the legislation is the Central Bank rules. I was attracted to be a client of Sicoob for not charging fees, so they started charging something close to $ 17.00 recently started charging $ 50 per month, absurd. Another situation, I had an individual account closed for inactivity of 6 months. It turns out that my account has never been inactive 6 months, without deposits is withdrawals. Having balance in account. This is over 2 years asking for measures to withdraw is nothing. About the fee charged, I'm asking for return has more than 2 months, it's nothing. How to give a note greater than zero ??? Impossible</v>
      </c>
    </row>
    <row r="2496" ht="14.25" customHeight="1">
      <c r="A2496" s="1">
        <v>100.0</v>
      </c>
      <c r="B2496" s="1" t="s">
        <v>1049</v>
      </c>
      <c r="C2496" s="1">
        <v>10.0</v>
      </c>
      <c r="D2496" s="1" t="s">
        <v>6</v>
      </c>
      <c r="E2496" s="1"/>
    </row>
    <row r="2497" ht="14.25" customHeight="1">
      <c r="A2497" s="1">
        <v>66.0</v>
      </c>
      <c r="B2497" s="1" t="s">
        <v>1049</v>
      </c>
      <c r="C2497" s="1">
        <v>7.0</v>
      </c>
      <c r="D2497" s="2" t="s">
        <v>1112</v>
      </c>
      <c r="E2497" s="1" t="str">
        <f>IFERROR(__xludf.DUMMYFUNCTION("GOOGLETRANSLATE(D2497,""PT"",""EN"")"),"It doesn't offer me anything")</f>
        <v>It doesn't offer me anything</v>
      </c>
    </row>
    <row r="2498" ht="14.25" customHeight="1">
      <c r="A2498" s="1">
        <v>33.0</v>
      </c>
      <c r="B2498" s="1" t="s">
        <v>1049</v>
      </c>
      <c r="C2498" s="1">
        <v>2.0</v>
      </c>
      <c r="D2498" s="1" t="s">
        <v>1113</v>
      </c>
      <c r="E2498" s="1" t="str">
        <f>IFERROR(__xludf.DUMMYFUNCTION("GOOGLETRANSLATE(D2498,""PT"",""EN"")"),"The managers of the agency of")</f>
        <v>The managers of the agency of</v>
      </c>
    </row>
    <row r="2499" ht="14.25" customHeight="1">
      <c r="A2499" s="1">
        <v>33.0</v>
      </c>
      <c r="B2499" s="1" t="s">
        <v>1049</v>
      </c>
      <c r="C2499" s="1">
        <v>1.0</v>
      </c>
      <c r="D2499" s="1" t="s">
        <v>6</v>
      </c>
      <c r="E2499" s="1"/>
    </row>
    <row r="2500" ht="14.25" customHeight="1">
      <c r="A2500" s="1">
        <v>100.0</v>
      </c>
      <c r="B2500" s="1" t="s">
        <v>1049</v>
      </c>
      <c r="C2500" s="1">
        <v>10.0</v>
      </c>
      <c r="D2500" s="2" t="s">
        <v>1114</v>
      </c>
      <c r="E2500" s="1" t="str">
        <f>IFERROR(__xludf.DUMMYFUNCTION("GOOGLETRANSLATE(D2500,""PT"",""EN"")"),"I never had difficulty being attended to is a dynamic app.")</f>
        <v>I never had difficulty being attended to is a dynamic app.</v>
      </c>
    </row>
    <row r="2501" ht="14.25" customHeight="1">
      <c r="A2501" s="1">
        <v>33.0</v>
      </c>
      <c r="B2501" s="1" t="s">
        <v>1049</v>
      </c>
      <c r="C2501" s="1">
        <v>0.0</v>
      </c>
      <c r="D2501" s="2" t="s">
        <v>1115</v>
      </c>
      <c r="E2501" s="1" t="str">
        <f>IFERROR(__xludf.DUMMYFUNCTION("GOOGLETRANSLATE(D2501,""PT"",""EN"")"),"Good morning, we are cooperative of Sicoob is also a company specializing in system development, we already asked this request once you asked to look for our cooperative, but the same does not know this procedure, so we return to Open Banking ( Sicoob Dev"&amp;"elopers). Today at the V2 collection API I can only consult the liquidated slips is downloaded in a short period of 2 days, using the endpoint")</f>
        <v>Good morning, we are cooperative of Sicoob is also a company specializing in system development, we already asked this request once you asked to look for our cooperative, but the same does not know this procedure, so we return to Open Banking ( Sicoob Developers). Today at the V2 collection API I can only consult the liquidated slips is downloaded in a short period of 2 days, using the endpoint</v>
      </c>
    </row>
    <row r="2502" ht="14.25" customHeight="1">
      <c r="A2502" s="1">
        <v>100.0</v>
      </c>
      <c r="B2502" s="1" t="s">
        <v>1049</v>
      </c>
      <c r="C2502" s="1">
        <v>9.0</v>
      </c>
      <c r="D2502" s="1" t="s">
        <v>6</v>
      </c>
      <c r="E2502" s="1"/>
    </row>
    <row r="2503" ht="14.25" customHeight="1">
      <c r="A2503" s="1">
        <v>100.0</v>
      </c>
      <c r="B2503" s="1" t="s">
        <v>1049</v>
      </c>
      <c r="C2503" s="1">
        <v>10.0</v>
      </c>
      <c r="D2503" s="1" t="s">
        <v>42</v>
      </c>
      <c r="E2503" s="1" t="str">
        <f>IFERROR(__xludf.DUMMYFUNCTION("GOOGLETRANSLATE(D2503,""PT"",""EN"")"),"good service")</f>
        <v>good service</v>
      </c>
    </row>
    <row r="2504" ht="14.25" customHeight="1">
      <c r="A2504" s="1">
        <v>66.0</v>
      </c>
      <c r="B2504" s="1" t="s">
        <v>1049</v>
      </c>
      <c r="C2504" s="1">
        <v>7.0</v>
      </c>
      <c r="D2504" s="1" t="s">
        <v>6</v>
      </c>
      <c r="E2504" s="1"/>
    </row>
    <row r="2505" ht="14.25" customHeight="1">
      <c r="A2505" s="1">
        <v>100.0</v>
      </c>
      <c r="B2505" s="1" t="s">
        <v>1049</v>
      </c>
      <c r="C2505" s="1">
        <v>9.0</v>
      </c>
      <c r="D2505" s="2" t="s">
        <v>1116</v>
      </c>
      <c r="E2505" s="1" t="str">
        <f>IFERROR(__xludf.DUMMYFUNCTION("GOOGLETRANSLATE(D2505,""PT"",""EN"")"),"GRATITUDE")</f>
        <v>GRATITUDE</v>
      </c>
    </row>
    <row r="2506" ht="14.25" customHeight="1">
      <c r="A2506" s="1">
        <v>100.0</v>
      </c>
      <c r="B2506" s="1" t="s">
        <v>1049</v>
      </c>
      <c r="C2506" s="1">
        <v>10.0</v>
      </c>
      <c r="D2506" s="1" t="s">
        <v>6</v>
      </c>
      <c r="E2506" s="1"/>
    </row>
    <row r="2507" ht="14.25" customHeight="1">
      <c r="A2507" s="1">
        <v>100.0</v>
      </c>
      <c r="B2507" s="1" t="s">
        <v>1049</v>
      </c>
      <c r="C2507" s="1">
        <v>10.0</v>
      </c>
      <c r="D2507" s="1" t="s">
        <v>22</v>
      </c>
      <c r="E2507" s="1" t="str">
        <f>IFERROR(__xludf.DUMMYFUNCTION("GOOGLETRANSLATE(D2507,""PT"",""EN"")"),"Excellent service")</f>
        <v>Excellent service</v>
      </c>
    </row>
    <row r="2508" ht="14.25" customHeight="1">
      <c r="A2508" s="1">
        <v>100.0</v>
      </c>
      <c r="B2508" s="1" t="s">
        <v>1049</v>
      </c>
      <c r="C2508" s="1">
        <v>10.0</v>
      </c>
      <c r="D2508" s="1" t="s">
        <v>1117</v>
      </c>
      <c r="E2508" s="1" t="str">
        <f>IFERROR(__xludf.DUMMYFUNCTION("GOOGLETRANSLATE(D2508,""PT"",""EN"")"),"A great bank sees the customer side")</f>
        <v>A great bank sees the customer side</v>
      </c>
    </row>
    <row r="2509" ht="14.25" customHeight="1">
      <c r="A2509" s="1">
        <v>66.0</v>
      </c>
      <c r="B2509" s="1" t="s">
        <v>1049</v>
      </c>
      <c r="C2509" s="1">
        <v>7.0</v>
      </c>
      <c r="D2509" s="1" t="s">
        <v>6</v>
      </c>
      <c r="E2509" s="1"/>
    </row>
    <row r="2510" ht="14.25" customHeight="1">
      <c r="A2510" s="1">
        <v>100.0</v>
      </c>
      <c r="B2510" s="1" t="s">
        <v>1049</v>
      </c>
      <c r="C2510" s="1">
        <v>9.0</v>
      </c>
      <c r="D2510" s="1" t="s">
        <v>6</v>
      </c>
      <c r="E2510" s="1"/>
    </row>
    <row r="2511" ht="14.25" customHeight="1">
      <c r="A2511" s="1">
        <v>66.0</v>
      </c>
      <c r="B2511" s="1" t="s">
        <v>1049</v>
      </c>
      <c r="C2511" s="1">
        <v>7.0</v>
      </c>
      <c r="D2511" s="1" t="s">
        <v>6</v>
      </c>
      <c r="E2511" s="1"/>
    </row>
    <row r="2512" ht="14.25" customHeight="1">
      <c r="A2512" s="1">
        <v>100.0</v>
      </c>
      <c r="B2512" s="1" t="s">
        <v>1049</v>
      </c>
      <c r="C2512" s="1">
        <v>9.0</v>
      </c>
      <c r="D2512" s="1" t="s">
        <v>6</v>
      </c>
      <c r="E2512" s="1"/>
    </row>
    <row r="2513" ht="14.25" customHeight="1">
      <c r="A2513" s="1">
        <v>100.0</v>
      </c>
      <c r="B2513" s="1" t="s">
        <v>1049</v>
      </c>
      <c r="C2513" s="1">
        <v>9.0</v>
      </c>
      <c r="D2513" s="1" t="s">
        <v>6</v>
      </c>
      <c r="E2513" s="1"/>
    </row>
    <row r="2514" ht="14.25" customHeight="1">
      <c r="A2514" s="1">
        <v>100.0</v>
      </c>
      <c r="B2514" s="1" t="s">
        <v>1049</v>
      </c>
      <c r="C2514" s="1">
        <v>10.0</v>
      </c>
      <c r="D2514" s="1" t="s">
        <v>6</v>
      </c>
      <c r="E2514" s="1"/>
    </row>
    <row r="2515" ht="14.25" customHeight="1">
      <c r="A2515" s="1">
        <v>100.0</v>
      </c>
      <c r="B2515" s="1" t="s">
        <v>1049</v>
      </c>
      <c r="C2515" s="1">
        <v>10.0</v>
      </c>
      <c r="D2515" s="1" t="s">
        <v>6</v>
      </c>
      <c r="E2515" s="1"/>
    </row>
    <row r="2516" ht="14.25" customHeight="1">
      <c r="A2516" s="1">
        <v>66.0</v>
      </c>
      <c r="B2516" s="1" t="s">
        <v>1049</v>
      </c>
      <c r="C2516" s="1">
        <v>7.0</v>
      </c>
      <c r="D2516" s="2" t="s">
        <v>1118</v>
      </c>
      <c r="E2516" s="1" t="str">
        <f>IFERROR(__xludf.DUMMYFUNCTION("GOOGLETRANSLATE(D2516,""PT"",""EN"")"),"I don't have a card I can't talk to you the rest is good")</f>
        <v>I don't have a card I can't talk to you the rest is good</v>
      </c>
    </row>
    <row r="2517" ht="14.25" customHeight="1">
      <c r="A2517" s="1">
        <v>100.0</v>
      </c>
      <c r="B2517" s="1" t="s">
        <v>1049</v>
      </c>
      <c r="C2517" s="1">
        <v>10.0</v>
      </c>
      <c r="D2517" s="1" t="s">
        <v>152</v>
      </c>
      <c r="E2517" s="1" t="str">
        <f>IFERROR(__xludf.DUMMYFUNCTION("GOOGLETRANSLATE(D2517,""PT"",""EN"")"),"Great service!")</f>
        <v>Great service!</v>
      </c>
    </row>
    <row r="2518" ht="14.25" customHeight="1">
      <c r="A2518" s="1">
        <v>100.0</v>
      </c>
      <c r="B2518" s="1" t="s">
        <v>1049</v>
      </c>
      <c r="C2518" s="1">
        <v>10.0</v>
      </c>
      <c r="D2518" s="1" t="s">
        <v>1119</v>
      </c>
      <c r="E2518" s="1" t="str">
        <f>IFERROR(__xludf.DUMMYFUNCTION("GOOGLETRANSLATE(D2518,""PT"",""EN"")"),"It is currently one of the best banks")</f>
        <v>It is currently one of the best banks</v>
      </c>
    </row>
    <row r="2519" ht="14.25" customHeight="1">
      <c r="A2519" s="1">
        <v>100.0</v>
      </c>
      <c r="B2519" s="1" t="s">
        <v>1049</v>
      </c>
      <c r="C2519" s="1">
        <v>9.0</v>
      </c>
      <c r="D2519" s="1" t="s">
        <v>1120</v>
      </c>
      <c r="E2519" s="1" t="str">
        <f>IFERROR(__xludf.DUMMYFUNCTION("GOOGLETRANSLATE(D2519,""PT"",""EN"")"),"Very helpful")</f>
        <v>Very helpful</v>
      </c>
    </row>
    <row r="2520" ht="14.25" customHeight="1">
      <c r="A2520" s="1">
        <v>100.0</v>
      </c>
      <c r="B2520" s="1" t="s">
        <v>1049</v>
      </c>
      <c r="C2520" s="1">
        <v>9.0</v>
      </c>
      <c r="D2520" s="1" t="s">
        <v>6</v>
      </c>
      <c r="E2520" s="1"/>
    </row>
    <row r="2521" ht="14.25" customHeight="1">
      <c r="A2521" s="1">
        <v>100.0</v>
      </c>
      <c r="B2521" s="1" t="s">
        <v>1049</v>
      </c>
      <c r="C2521" s="1">
        <v>10.0</v>
      </c>
      <c r="D2521" s="1" t="s">
        <v>1121</v>
      </c>
      <c r="E2521" s="1" t="str">
        <f>IFERROR(__xludf.DUMMYFUNCTION("GOOGLETRANSLATE(D2521,""PT"",""EN"")"),"An exceptional bank!")</f>
        <v>An exceptional bank!</v>
      </c>
    </row>
    <row r="2522" ht="14.25" customHeight="1">
      <c r="A2522" s="1">
        <v>33.0</v>
      </c>
      <c r="B2522" s="1" t="s">
        <v>1049</v>
      </c>
      <c r="C2522" s="1">
        <v>1.0</v>
      </c>
      <c r="D2522" s="2" t="s">
        <v>1122</v>
      </c>
      <c r="E2522" s="1" t="str">
        <f>IFERROR(__xludf.DUMMYFUNCTION("GOOGLETRANSLATE(D2522,""PT"",""EN"")"),"It offers nothing people, credit card")</f>
        <v>It offers nothing people, credit card</v>
      </c>
    </row>
    <row r="2523" ht="14.25" customHeight="1">
      <c r="A2523" s="1">
        <v>33.0</v>
      </c>
      <c r="B2523" s="1" t="s">
        <v>1049</v>
      </c>
      <c r="C2523" s="1">
        <v>0.0</v>
      </c>
      <c r="D2523" s="1" t="s">
        <v>6</v>
      </c>
      <c r="E2523" s="1"/>
    </row>
    <row r="2524" ht="14.25" customHeight="1">
      <c r="A2524" s="1">
        <v>100.0</v>
      </c>
      <c r="B2524" s="1" t="s">
        <v>1049</v>
      </c>
      <c r="C2524" s="1">
        <v>10.0</v>
      </c>
      <c r="D2524" s="1" t="s">
        <v>9</v>
      </c>
      <c r="E2524" s="1" t="str">
        <f>IFERROR(__xludf.DUMMYFUNCTION("GOOGLETRANSLATE(D2524,""PT"",""EN"")"),"10")</f>
        <v>10</v>
      </c>
    </row>
    <row r="2525" ht="14.25" customHeight="1">
      <c r="A2525" s="1">
        <v>66.0</v>
      </c>
      <c r="B2525" s="1" t="s">
        <v>1049</v>
      </c>
      <c r="C2525" s="1">
        <v>7.0</v>
      </c>
      <c r="D2525" s="2" t="s">
        <v>1123</v>
      </c>
      <c r="E2525" s="1" t="str">
        <f>IFERROR(__xludf.DUMMYFUNCTION("GOOGLETRANSLATE(D2525,""PT"",""EN"")"),"It takes a long time to release credit")</f>
        <v>It takes a long time to release credit</v>
      </c>
    </row>
    <row r="2526" ht="14.25" customHeight="1">
      <c r="A2526" s="1">
        <v>100.0</v>
      </c>
      <c r="B2526" s="1" t="s">
        <v>1049</v>
      </c>
      <c r="C2526" s="1">
        <v>10.0</v>
      </c>
      <c r="D2526" s="1" t="s">
        <v>9</v>
      </c>
      <c r="E2526" s="1" t="str">
        <f>IFERROR(__xludf.DUMMYFUNCTION("GOOGLETRANSLATE(D2526,""PT"",""EN"")"),"10")</f>
        <v>10</v>
      </c>
    </row>
    <row r="2527" ht="14.25" customHeight="1">
      <c r="A2527" s="1">
        <v>100.0</v>
      </c>
      <c r="B2527" s="1" t="s">
        <v>1049</v>
      </c>
      <c r="C2527" s="1">
        <v>10.0</v>
      </c>
      <c r="D2527" s="1" t="s">
        <v>6</v>
      </c>
      <c r="E2527" s="1"/>
    </row>
    <row r="2528" ht="14.25" customHeight="1">
      <c r="A2528" s="1">
        <v>100.0</v>
      </c>
      <c r="B2528" s="1" t="s">
        <v>1049</v>
      </c>
      <c r="C2528" s="1">
        <v>10.0</v>
      </c>
      <c r="D2528" s="1" t="s">
        <v>6</v>
      </c>
      <c r="E2528" s="1"/>
    </row>
    <row r="2529" ht="14.25" customHeight="1">
      <c r="A2529" s="1">
        <v>100.0</v>
      </c>
      <c r="B2529" s="1" t="s">
        <v>1049</v>
      </c>
      <c r="C2529" s="1">
        <v>10.0</v>
      </c>
      <c r="D2529" s="1" t="s">
        <v>6</v>
      </c>
      <c r="E2529" s="1"/>
    </row>
    <row r="2530" ht="14.25" customHeight="1">
      <c r="A2530" s="1">
        <v>100.0</v>
      </c>
      <c r="B2530" s="1" t="s">
        <v>1049</v>
      </c>
      <c r="C2530" s="1">
        <v>10.0</v>
      </c>
      <c r="D2530" s="2" t="s">
        <v>1124</v>
      </c>
      <c r="E2530" s="1" t="str">
        <f>IFERROR(__xludf.DUMMYFUNCTION("GOOGLETRANSLATE(D2530,""PT"",""EN"")"),"Great customer support is a compatible structure is suitable for service demand, which avoids queues is service bottlenecks.")</f>
        <v>Great customer support is a compatible structure is suitable for service demand, which avoids queues is service bottlenecks.</v>
      </c>
    </row>
    <row r="2531" ht="14.25" customHeight="1">
      <c r="A2531" s="1">
        <v>33.0</v>
      </c>
      <c r="B2531" s="1" t="s">
        <v>1049</v>
      </c>
      <c r="C2531" s="1">
        <v>5.0</v>
      </c>
      <c r="D2531" s="2" t="s">
        <v>1125</v>
      </c>
      <c r="E2531" s="1" t="str">
        <f>IFERROR(__xludf.DUMMYFUNCTION("GOOGLETRANSLATE(D2531,""PT"",""EN"")"),"You guys started charging the maintenance fee of the members of the members and it is illegal is we have the right to exemption")</f>
        <v>You guys started charging the maintenance fee of the members of the members and it is illegal is we have the right to exemption</v>
      </c>
    </row>
    <row r="2532" ht="14.25" customHeight="1">
      <c r="A2532" s="1">
        <v>100.0</v>
      </c>
      <c r="B2532" s="1" t="s">
        <v>1049</v>
      </c>
      <c r="C2532" s="1">
        <v>10.0</v>
      </c>
      <c r="D2532" s="1" t="s">
        <v>85</v>
      </c>
      <c r="E2532" s="1" t="str">
        <f>IFERROR(__xludf.DUMMYFUNCTION("GOOGLETRANSLATE(D2532,""PT"",""EN"")"),"Service")</f>
        <v>Service</v>
      </c>
    </row>
    <row r="2533" ht="14.25" customHeight="1">
      <c r="A2533" s="1">
        <v>100.0</v>
      </c>
      <c r="B2533" s="1" t="s">
        <v>1049</v>
      </c>
      <c r="C2533" s="1">
        <v>10.0</v>
      </c>
      <c r="D2533" s="1" t="s">
        <v>6</v>
      </c>
      <c r="E2533" s="1"/>
    </row>
    <row r="2534" ht="14.25" customHeight="1">
      <c r="A2534" s="1">
        <v>33.0</v>
      </c>
      <c r="B2534" s="1" t="s">
        <v>1049</v>
      </c>
      <c r="C2534" s="1">
        <v>0.0</v>
      </c>
      <c r="D2534" s="1" t="s">
        <v>1126</v>
      </c>
      <c r="E2534" s="1" t="str">
        <f>IFERROR(__xludf.DUMMYFUNCTION("GOOGLETRANSLATE(D2534,""PT"",""EN"")"),"Worst bank/cooperative I've ever seen.")</f>
        <v>Worst bank/cooperative I've ever seen.</v>
      </c>
    </row>
    <row r="2535" ht="14.25" customHeight="1">
      <c r="A2535" s="1">
        <v>100.0</v>
      </c>
      <c r="B2535" s="1" t="s">
        <v>1049</v>
      </c>
      <c r="C2535" s="1">
        <v>10.0</v>
      </c>
      <c r="D2535" s="1" t="s">
        <v>415</v>
      </c>
      <c r="E2535" s="1" t="str">
        <f>IFERROR(__xludf.DUMMYFUNCTION("GOOGLETRANSLATE(D2535,""PT"",""EN"")"),"practicality")</f>
        <v>practicality</v>
      </c>
    </row>
    <row r="2536" ht="14.25" customHeight="1">
      <c r="A2536" s="1">
        <v>100.0</v>
      </c>
      <c r="B2536" s="1" t="s">
        <v>1049</v>
      </c>
      <c r="C2536" s="1">
        <v>10.0</v>
      </c>
      <c r="D2536" s="1" t="s">
        <v>456</v>
      </c>
      <c r="E2536" s="1" t="str">
        <f>IFERROR(__xludf.DUMMYFUNCTION("GOOGLETRANSLATE(D2536,""PT"",""EN"")"),"service")</f>
        <v>service</v>
      </c>
    </row>
    <row r="2537" ht="14.25" customHeight="1">
      <c r="A2537" s="1">
        <v>100.0</v>
      </c>
      <c r="B2537" s="1" t="s">
        <v>1049</v>
      </c>
      <c r="C2537" s="1">
        <v>10.0</v>
      </c>
      <c r="D2537" s="1" t="s">
        <v>62</v>
      </c>
      <c r="E2537" s="1" t="str">
        <f>IFERROR(__xludf.DUMMYFUNCTION("GOOGLETRANSLATE(D2537,""PT"",""EN"")"),"Good service")</f>
        <v>Good service</v>
      </c>
    </row>
    <row r="2538" ht="14.25" customHeight="1">
      <c r="A2538" s="1">
        <v>100.0</v>
      </c>
      <c r="B2538" s="1" t="s">
        <v>1049</v>
      </c>
      <c r="C2538" s="1">
        <v>10.0</v>
      </c>
      <c r="D2538" s="1" t="s">
        <v>6</v>
      </c>
      <c r="E2538" s="1"/>
    </row>
    <row r="2539" ht="14.25" customHeight="1">
      <c r="A2539" s="1">
        <v>100.0</v>
      </c>
      <c r="B2539" s="1" t="s">
        <v>1049</v>
      </c>
      <c r="C2539" s="1">
        <v>10.0</v>
      </c>
      <c r="D2539" s="1" t="s">
        <v>6</v>
      </c>
      <c r="E2539" s="1"/>
    </row>
    <row r="2540" ht="14.25" customHeight="1">
      <c r="A2540" s="1">
        <v>100.0</v>
      </c>
      <c r="B2540" s="1" t="s">
        <v>1049</v>
      </c>
      <c r="C2540" s="1">
        <v>10.0</v>
      </c>
      <c r="D2540" s="1" t="s">
        <v>6</v>
      </c>
      <c r="E2540" s="1"/>
    </row>
    <row r="2541" ht="14.25" customHeight="1">
      <c r="A2541" s="1">
        <v>100.0</v>
      </c>
      <c r="B2541" s="1" t="s">
        <v>1049</v>
      </c>
      <c r="C2541" s="1">
        <v>10.0</v>
      </c>
      <c r="D2541" s="1" t="s">
        <v>6</v>
      </c>
      <c r="E2541" s="1"/>
    </row>
    <row r="2542" ht="14.25" customHeight="1">
      <c r="A2542" s="1">
        <v>100.0</v>
      </c>
      <c r="B2542" s="1" t="s">
        <v>1049</v>
      </c>
      <c r="C2542" s="1">
        <v>10.0</v>
      </c>
      <c r="D2542" s="2" t="s">
        <v>62</v>
      </c>
      <c r="E2542" s="1" t="str">
        <f>IFERROR(__xludf.DUMMYFUNCTION("GOOGLETRANSLATE(D2542,""PT"",""EN"")"),"Good service")</f>
        <v>Good service</v>
      </c>
    </row>
    <row r="2543" ht="14.25" customHeight="1">
      <c r="A2543" s="1">
        <v>100.0</v>
      </c>
      <c r="B2543" s="1" t="s">
        <v>1049</v>
      </c>
      <c r="C2543" s="1">
        <v>10.0</v>
      </c>
      <c r="D2543" s="2" t="s">
        <v>1127</v>
      </c>
      <c r="E2543" s="1" t="str">
        <f>IFERROR(__xludf.DUMMYFUNCTION("GOOGLETRANSLATE(D2543,""PT"",""EN"")"),"Reliability is better market rates")</f>
        <v>Reliability is better market rates</v>
      </c>
    </row>
    <row r="2544" ht="14.25" customHeight="1">
      <c r="A2544" s="1">
        <v>33.0</v>
      </c>
      <c r="B2544" s="1" t="s">
        <v>1049</v>
      </c>
      <c r="C2544" s="1">
        <v>4.0</v>
      </c>
      <c r="D2544" s="2" t="s">
        <v>1128</v>
      </c>
      <c r="E2544" s="1" t="str">
        <f>IFERROR(__xludf.DUMMYFUNCTION("GOOGLETRANSLATE(D2544,""PT"",""EN"")"),"Difficulty in getting credit, I couldn't borrow, I couldn't get credit card, anything.")</f>
        <v>Difficulty in getting credit, I couldn't borrow, I couldn't get credit card, anything.</v>
      </c>
    </row>
    <row r="2545" ht="14.25" customHeight="1">
      <c r="A2545" s="1">
        <v>100.0</v>
      </c>
      <c r="B2545" s="1" t="s">
        <v>1049</v>
      </c>
      <c r="C2545" s="1">
        <v>10.0</v>
      </c>
      <c r="D2545" s="1" t="s">
        <v>1129</v>
      </c>
      <c r="E2545" s="1" t="str">
        <f>IFERROR(__xludf.DUMMYFUNCTION("GOOGLETRANSLATE(D2545,""PT"",""EN"")"),"practicality, cordiality,")</f>
        <v>practicality, cordiality,</v>
      </c>
    </row>
    <row r="2546" ht="14.25" customHeight="1">
      <c r="A2546" s="1">
        <v>33.0</v>
      </c>
      <c r="B2546" s="1" t="s">
        <v>1049</v>
      </c>
      <c r="C2546" s="1">
        <v>4.0</v>
      </c>
      <c r="D2546" s="2" t="s">
        <v>1130</v>
      </c>
      <c r="E2546" s="1" t="str">
        <f>IFERROR(__xludf.DUMMYFUNCTION("GOOGLETRANSLATE(D2546,""PT"",""EN"")"),"SEVERAL REASONS")</f>
        <v>SEVERAL REASONS</v>
      </c>
    </row>
    <row r="2547" ht="14.25" customHeight="1">
      <c r="A2547" s="1">
        <v>100.0</v>
      </c>
      <c r="B2547" s="1" t="s">
        <v>1049</v>
      </c>
      <c r="C2547" s="1">
        <v>9.0</v>
      </c>
      <c r="D2547" s="1" t="s">
        <v>62</v>
      </c>
      <c r="E2547" s="1" t="str">
        <f>IFERROR(__xludf.DUMMYFUNCTION("GOOGLETRANSLATE(D2547,""PT"",""EN"")"),"Good service")</f>
        <v>Good service</v>
      </c>
    </row>
    <row r="2548" ht="14.25" customHeight="1">
      <c r="A2548" s="1">
        <v>100.0</v>
      </c>
      <c r="B2548" s="1" t="s">
        <v>1049</v>
      </c>
      <c r="C2548" s="1">
        <v>10.0</v>
      </c>
      <c r="D2548" s="1" t="s">
        <v>6</v>
      </c>
      <c r="E2548" s="1"/>
    </row>
    <row r="2549" ht="14.25" customHeight="1">
      <c r="A2549" s="1">
        <v>33.0</v>
      </c>
      <c r="B2549" s="1" t="s">
        <v>1049</v>
      </c>
      <c r="C2549" s="1">
        <v>1.0</v>
      </c>
      <c r="D2549" s="1" t="s">
        <v>85</v>
      </c>
      <c r="E2549" s="1" t="str">
        <f>IFERROR(__xludf.DUMMYFUNCTION("GOOGLETRANSLATE(D2549,""PT"",""EN"")"),"Service")</f>
        <v>Service</v>
      </c>
    </row>
    <row r="2550" ht="14.25" customHeight="1">
      <c r="A2550" s="1">
        <v>100.0</v>
      </c>
      <c r="B2550" s="1" t="s">
        <v>1049</v>
      </c>
      <c r="C2550" s="1">
        <v>10.0</v>
      </c>
      <c r="D2550" s="1" t="s">
        <v>6</v>
      </c>
      <c r="E2550" s="1"/>
    </row>
    <row r="2551" ht="14.25" customHeight="1">
      <c r="A2551" s="1">
        <v>66.0</v>
      </c>
      <c r="B2551" s="1" t="s">
        <v>1049</v>
      </c>
      <c r="C2551" s="1">
        <v>8.0</v>
      </c>
      <c r="D2551" s="2" t="s">
        <v>1131</v>
      </c>
      <c r="E2551" s="1" t="str">
        <f>IFERROR(__xludf.DUMMYFUNCTION("GOOGLETRANSLATE(D2551,""PT"",""EN"")"),"I didn't give 10 because, you need to change the assemblies the way you are being made is others, such as withdrawing the credit card only in the cashier is other problems that I am not remembering now")</f>
        <v>I didn't give 10 because, you need to change the assemblies the way you are being made is others, such as withdrawing the credit card only in the cashier is other problems that I am not remembering now</v>
      </c>
    </row>
    <row r="2552" ht="14.25" customHeight="1">
      <c r="A2552" s="1">
        <v>100.0</v>
      </c>
      <c r="B2552" s="1" t="s">
        <v>1049</v>
      </c>
      <c r="C2552" s="1">
        <v>9.0</v>
      </c>
      <c r="D2552" s="1" t="s">
        <v>6</v>
      </c>
      <c r="E2552" s="1"/>
    </row>
    <row r="2553" ht="14.25" customHeight="1">
      <c r="A2553" s="1">
        <v>100.0</v>
      </c>
      <c r="B2553" s="1" t="s">
        <v>1049</v>
      </c>
      <c r="C2553" s="1">
        <v>10.0</v>
      </c>
      <c r="D2553" s="2" t="s">
        <v>1132</v>
      </c>
      <c r="E2553" s="1" t="str">
        <f>IFERROR(__xludf.DUMMYFUNCTION("GOOGLETRANSLATE(D2553,""PT"",""EN"")"),"easy")</f>
        <v>easy</v>
      </c>
    </row>
    <row r="2554" ht="14.25" customHeight="1">
      <c r="A2554" s="1">
        <v>100.0</v>
      </c>
      <c r="B2554" s="1" t="s">
        <v>1049</v>
      </c>
      <c r="C2554" s="1">
        <v>10.0</v>
      </c>
      <c r="D2554" s="1" t="s">
        <v>6</v>
      </c>
      <c r="E2554" s="1"/>
    </row>
    <row r="2555" ht="14.25" customHeight="1">
      <c r="A2555" s="1">
        <v>100.0</v>
      </c>
      <c r="B2555" s="1" t="s">
        <v>1049</v>
      </c>
      <c r="C2555" s="1">
        <v>10.0</v>
      </c>
      <c r="D2555" s="1" t="s">
        <v>6</v>
      </c>
      <c r="E2555" s="1"/>
    </row>
    <row r="2556" ht="14.25" customHeight="1">
      <c r="A2556" s="1">
        <v>100.0</v>
      </c>
      <c r="B2556" s="1" t="s">
        <v>1049</v>
      </c>
      <c r="C2556" s="1">
        <v>10.0</v>
      </c>
      <c r="D2556" s="1" t="s">
        <v>6</v>
      </c>
      <c r="E2556" s="1"/>
    </row>
    <row r="2557" ht="14.25" customHeight="1">
      <c r="A2557" s="1">
        <v>33.0</v>
      </c>
      <c r="B2557" s="1" t="s">
        <v>1049</v>
      </c>
      <c r="C2557" s="1">
        <v>2.0</v>
      </c>
      <c r="D2557" s="1" t="s">
        <v>6</v>
      </c>
      <c r="E2557" s="1"/>
    </row>
    <row r="2558" ht="14.25" customHeight="1">
      <c r="A2558" s="1">
        <v>100.0</v>
      </c>
      <c r="B2558" s="1" t="s">
        <v>1049</v>
      </c>
      <c r="C2558" s="1">
        <v>10.0</v>
      </c>
      <c r="D2558" s="1" t="s">
        <v>132</v>
      </c>
      <c r="E2558" s="1" t="str">
        <f>IFERROR(__xludf.DUMMYFUNCTION("GOOGLETRANSLATE(D2558,""PT"",""EN"")"),"Great service")</f>
        <v>Great service</v>
      </c>
    </row>
    <row r="2559" ht="14.25" customHeight="1">
      <c r="A2559" s="1">
        <v>100.0</v>
      </c>
      <c r="B2559" s="1" t="s">
        <v>1049</v>
      </c>
      <c r="C2559" s="1">
        <v>10.0</v>
      </c>
      <c r="D2559" s="1" t="s">
        <v>6</v>
      </c>
      <c r="E2559" s="1"/>
    </row>
    <row r="2560" ht="14.25" customHeight="1">
      <c r="A2560" s="1">
        <v>33.0</v>
      </c>
      <c r="B2560" s="1" t="s">
        <v>1049</v>
      </c>
      <c r="C2560" s="1">
        <v>0.0</v>
      </c>
      <c r="D2560" s="2" t="s">
        <v>1102</v>
      </c>
      <c r="E2560" s="1" t="str">
        <f>IFERROR(__xludf.DUMMYFUNCTION("GOOGLETRANSLATE(D2560,""PT"",""EN"")"),"Pessimal service")</f>
        <v>Pessimal service</v>
      </c>
    </row>
    <row r="2561" ht="14.25" customHeight="1">
      <c r="A2561" s="1">
        <v>100.0</v>
      </c>
      <c r="B2561" s="1" t="s">
        <v>1049</v>
      </c>
      <c r="C2561" s="1">
        <v>10.0</v>
      </c>
      <c r="D2561" s="1" t="s">
        <v>1133</v>
      </c>
      <c r="E2561" s="1" t="str">
        <f>IFERROR(__xludf.DUMMYFUNCTION("GOOGLETRANSLATE(D2561,""PT"",""EN"")"),"The management!")</f>
        <v>The management!</v>
      </c>
    </row>
    <row r="2562" ht="14.25" customHeight="1">
      <c r="A2562" s="1">
        <v>66.0</v>
      </c>
      <c r="B2562" s="1" t="s">
        <v>1049</v>
      </c>
      <c r="C2562" s="1">
        <v>8.0</v>
      </c>
      <c r="D2562" s="2" t="s">
        <v>593</v>
      </c>
      <c r="E2562" s="1" t="str">
        <f>IFERROR(__xludf.DUMMYFUNCTION("GOOGLETRANSLATE(D2562,""PT"",""EN"")"),"great service")</f>
        <v>great service</v>
      </c>
    </row>
    <row r="2563" ht="14.25" customHeight="1">
      <c r="A2563" s="1">
        <v>100.0</v>
      </c>
      <c r="B2563" s="1" t="s">
        <v>1049</v>
      </c>
      <c r="C2563" s="1">
        <v>10.0</v>
      </c>
      <c r="D2563" s="1" t="s">
        <v>6</v>
      </c>
      <c r="E2563" s="1"/>
    </row>
    <row r="2564" ht="14.25" customHeight="1">
      <c r="A2564" s="1">
        <v>100.0</v>
      </c>
      <c r="B2564" s="1" t="s">
        <v>1049</v>
      </c>
      <c r="C2564" s="1">
        <v>10.0</v>
      </c>
      <c r="D2564" s="1" t="s">
        <v>1134</v>
      </c>
      <c r="E2564" s="1" t="str">
        <f>IFERROR(__xludf.DUMMYFUNCTION("GOOGLETRANSLATE(D2564,""PT"",""EN"")"),"Excellent well -trained service very attentive")</f>
        <v>Excellent well -trained service very attentive</v>
      </c>
    </row>
    <row r="2565" ht="14.25" customHeight="1">
      <c r="A2565" s="1">
        <v>100.0</v>
      </c>
      <c r="B2565" s="1" t="s">
        <v>1049</v>
      </c>
      <c r="C2565" s="1">
        <v>9.0</v>
      </c>
      <c r="D2565" s="1" t="s">
        <v>6</v>
      </c>
      <c r="E2565" s="1"/>
    </row>
    <row r="2566" ht="14.25" customHeight="1">
      <c r="A2566" s="1">
        <v>33.0</v>
      </c>
      <c r="B2566" s="1" t="s">
        <v>1049</v>
      </c>
      <c r="C2566" s="1">
        <v>2.0</v>
      </c>
      <c r="D2566" s="2" t="s">
        <v>1135</v>
      </c>
      <c r="E2566" s="1" t="str">
        <f>IFERROR(__xludf.DUMMYFUNCTION("GOOGLETRANSLATE(D2566,""PT"",""EN"")"),"Real rates too high for market reality, we already see many financial institutions for PJ with zero rate in services, not to mention that in addition to the rate there are no benefits in the account as credit card or check. For a simple analysis is a lot "&amp;"of bureaucracy, rolling is documentation. So I canceled my account, I have much more in the digital account with zero cost")</f>
        <v>Real rates too high for market reality, we already see many financial institutions for PJ with zero rate in services, not to mention that in addition to the rate there are no benefits in the account as credit card or check. For a simple analysis is a lot of bureaucracy, rolling is documentation. So I canceled my account, I have much more in the digital account with zero cost</v>
      </c>
    </row>
    <row r="2567" ht="14.25" customHeight="1">
      <c r="A2567" s="1">
        <v>33.0</v>
      </c>
      <c r="B2567" s="1" t="s">
        <v>1049</v>
      </c>
      <c r="C2567" s="1">
        <v>2.0</v>
      </c>
      <c r="D2567" s="1" t="s">
        <v>6</v>
      </c>
      <c r="E2567" s="1"/>
    </row>
    <row r="2568" ht="14.25" customHeight="1">
      <c r="A2568" s="1">
        <v>66.0</v>
      </c>
      <c r="B2568" s="1" t="s">
        <v>1049</v>
      </c>
      <c r="C2568" s="1">
        <v>8.0</v>
      </c>
      <c r="D2568" s="1" t="s">
        <v>1136</v>
      </c>
      <c r="E2568" s="1" t="str">
        <f>IFERROR(__xludf.DUMMYFUNCTION("GOOGLETRANSLATE(D2568,""PT"",""EN"")"),"I like rates, service, but there are still some products.")</f>
        <v>I like rates, service, but there are still some products.</v>
      </c>
    </row>
    <row r="2569" ht="14.25" customHeight="1">
      <c r="A2569" s="1">
        <v>100.0</v>
      </c>
      <c r="B2569" s="1" t="s">
        <v>1049</v>
      </c>
      <c r="C2569" s="1">
        <v>10.0</v>
      </c>
      <c r="D2569" s="2" t="s">
        <v>1137</v>
      </c>
      <c r="E2569" s="1" t="str">
        <f>IFERROR(__xludf.DUMMYFUNCTION("GOOGLETRANSLATE(D2569,""PT"",""EN"")"),"Because everything we are going to do in this bank we easily solve is a great service, so I give 10.")</f>
        <v>Because everything we are going to do in this bank we easily solve is a great service, so I give 10.</v>
      </c>
    </row>
    <row r="2570" ht="14.25" customHeight="1">
      <c r="A2570" s="1">
        <v>33.0</v>
      </c>
      <c r="B2570" s="1" t="s">
        <v>1049</v>
      </c>
      <c r="C2570" s="1">
        <v>0.0</v>
      </c>
      <c r="D2570" s="2" t="s">
        <v>1138</v>
      </c>
      <c r="E2570" s="1" t="str">
        <f>IFERROR(__xludf.DUMMYFUNCTION("GOOGLETRANSLATE(D2570,""PT"",""EN"")"),"Worst Palms Bank! There is nothing good in this bank!")</f>
        <v>Worst Palms Bank! There is nothing good in this bank!</v>
      </c>
    </row>
    <row r="2571" ht="14.25" customHeight="1">
      <c r="A2571" s="1">
        <v>100.0</v>
      </c>
      <c r="B2571" s="1" t="s">
        <v>1049</v>
      </c>
      <c r="C2571" s="1">
        <v>9.0</v>
      </c>
      <c r="D2571" s="2" t="s">
        <v>1139</v>
      </c>
      <c r="E2571" s="1" t="str">
        <f>IFERROR(__xludf.DUMMYFUNCTION("GOOGLETRANSLATE(D2571,""PT"",""EN"")"),"Product portfolio is services, very good service, app top.")</f>
        <v>Product portfolio is services, very good service, app top.</v>
      </c>
    </row>
    <row r="2572" ht="14.25" customHeight="1">
      <c r="A2572" s="1">
        <v>100.0</v>
      </c>
      <c r="B2572" s="1" t="s">
        <v>1049</v>
      </c>
      <c r="C2572" s="1">
        <v>9.0</v>
      </c>
      <c r="D2572" s="1" t="s">
        <v>505</v>
      </c>
      <c r="E2572" s="1" t="str">
        <f>IFERROR(__xludf.DUMMYFUNCTION("GOOGLETRANSLATE(D2572,""PT"",""EN"")"),"9")</f>
        <v>9</v>
      </c>
    </row>
    <row r="2573" ht="14.25" customHeight="1">
      <c r="A2573" s="1">
        <v>100.0</v>
      </c>
      <c r="B2573" s="1" t="s">
        <v>1049</v>
      </c>
      <c r="C2573" s="1">
        <v>10.0</v>
      </c>
      <c r="D2573" s="1" t="s">
        <v>6</v>
      </c>
      <c r="E2573" s="1"/>
    </row>
    <row r="2574" ht="14.25" customHeight="1">
      <c r="A2574" s="1">
        <v>100.0</v>
      </c>
      <c r="B2574" s="1" t="s">
        <v>1049</v>
      </c>
      <c r="C2574" s="1">
        <v>10.0</v>
      </c>
      <c r="D2574" s="1" t="s">
        <v>1140</v>
      </c>
      <c r="E2574" s="1" t="str">
        <f>IFERROR(__xludf.DUMMYFUNCTION("GOOGLETRANSLATE(D2574,""PT"",""EN"")"),"I never had problems with Sicoob")</f>
        <v>I never had problems with Sicoob</v>
      </c>
    </row>
    <row r="2575" ht="14.25" customHeight="1">
      <c r="A2575" s="1">
        <v>66.0</v>
      </c>
      <c r="B2575" s="1" t="s">
        <v>1049</v>
      </c>
      <c r="C2575" s="1">
        <v>8.0</v>
      </c>
      <c r="D2575" s="1" t="s">
        <v>6</v>
      </c>
      <c r="E2575" s="1"/>
    </row>
    <row r="2576" ht="14.25" customHeight="1">
      <c r="A2576" s="1">
        <v>100.0</v>
      </c>
      <c r="B2576" s="1" t="s">
        <v>1049</v>
      </c>
      <c r="C2576" s="1">
        <v>10.0</v>
      </c>
      <c r="D2576" s="1" t="s">
        <v>1141</v>
      </c>
      <c r="E2576" s="1" t="str">
        <f>IFERROR(__xludf.DUMMYFUNCTION("GOOGLETRANSLATE(D2576,""PT"",""EN"")"),"Good service cordiality credibility")</f>
        <v>Good service cordiality credibility</v>
      </c>
    </row>
    <row r="2577" ht="14.25" customHeight="1">
      <c r="A2577" s="1">
        <v>100.0</v>
      </c>
      <c r="B2577" s="1" t="s">
        <v>1049</v>
      </c>
      <c r="C2577" s="1">
        <v>10.0</v>
      </c>
      <c r="D2577" s="1" t="s">
        <v>6</v>
      </c>
      <c r="E2577" s="1"/>
    </row>
    <row r="2578" ht="14.25" customHeight="1">
      <c r="A2578" s="1">
        <v>100.0</v>
      </c>
      <c r="B2578" s="1" t="s">
        <v>1049</v>
      </c>
      <c r="C2578" s="1">
        <v>9.0</v>
      </c>
      <c r="D2578" s="1" t="s">
        <v>6</v>
      </c>
      <c r="E2578" s="1"/>
    </row>
    <row r="2579" ht="14.25" customHeight="1">
      <c r="A2579" s="1">
        <v>33.0</v>
      </c>
      <c r="B2579" s="1" t="s">
        <v>1049</v>
      </c>
      <c r="C2579" s="1">
        <v>5.0</v>
      </c>
      <c r="D2579" s="1" t="s">
        <v>1142</v>
      </c>
      <c r="E2579" s="1" t="str">
        <f>IFERROR(__xludf.DUMMYFUNCTION("GOOGLETRANSLATE(D2579,""PT"",""EN"")"),"The bank never offered me any advantage")</f>
        <v>The bank never offered me any advantage</v>
      </c>
    </row>
    <row r="2580" ht="14.25" customHeight="1">
      <c r="A2580" s="1">
        <v>66.0</v>
      </c>
      <c r="B2580" s="1" t="s">
        <v>1049</v>
      </c>
      <c r="C2580" s="1">
        <v>8.0</v>
      </c>
      <c r="D2580" s="2" t="s">
        <v>1143</v>
      </c>
      <c r="E2580" s="1" t="str">
        <f>IFERROR(__xludf.DUMMYFUNCTION("GOOGLETRANSLATE(D2580,""PT"",""EN"")"),"I'm really enjoying the employees is the products are very good !!")</f>
        <v>I'm really enjoying the employees is the products are very good !!</v>
      </c>
    </row>
    <row r="2581" ht="14.25" customHeight="1">
      <c r="A2581" s="1">
        <v>66.0</v>
      </c>
      <c r="B2581" s="1" t="s">
        <v>1049</v>
      </c>
      <c r="C2581" s="1">
        <v>7.0</v>
      </c>
      <c r="D2581" s="1" t="s">
        <v>6</v>
      </c>
      <c r="E2581" s="1"/>
    </row>
    <row r="2582" ht="14.25" customHeight="1">
      <c r="A2582" s="1">
        <v>33.0</v>
      </c>
      <c r="B2582" s="1" t="s">
        <v>1049</v>
      </c>
      <c r="C2582" s="1">
        <v>0.0</v>
      </c>
      <c r="D2582" s="1" t="s">
        <v>6</v>
      </c>
      <c r="E2582" s="1"/>
    </row>
    <row r="2583" ht="14.25" customHeight="1">
      <c r="A2583" s="1">
        <v>100.0</v>
      </c>
      <c r="B2583" s="1" t="s">
        <v>1049</v>
      </c>
      <c r="C2583" s="1">
        <v>10.0</v>
      </c>
      <c r="D2583" s="1" t="s">
        <v>1144</v>
      </c>
      <c r="E2583" s="1" t="str">
        <f>IFERROR(__xludf.DUMMYFUNCTION("GOOGLETRANSLATE(D2583,""PT"",""EN"")"),"Agility in service, service prices, cordiality of employees.")</f>
        <v>Agility in service, service prices, cordiality of employees.</v>
      </c>
    </row>
    <row r="2584" ht="14.25" customHeight="1">
      <c r="A2584" s="1">
        <v>100.0</v>
      </c>
      <c r="B2584" s="1" t="s">
        <v>1049</v>
      </c>
      <c r="C2584" s="1">
        <v>10.0</v>
      </c>
      <c r="D2584" s="2" t="s">
        <v>1145</v>
      </c>
      <c r="E2584" s="1" t="str">
        <f>IFERROR(__xludf.DUMMYFUNCTION("GOOGLETRANSLATE(D2584,""PT"",""EN"")"),"The human relationship is because we are cooperative.")</f>
        <v>The human relationship is because we are cooperative.</v>
      </c>
    </row>
    <row r="2585" ht="14.25" customHeight="1">
      <c r="A2585" s="1">
        <v>66.0</v>
      </c>
      <c r="B2585" s="1" t="s">
        <v>1049</v>
      </c>
      <c r="C2585" s="1">
        <v>8.0</v>
      </c>
      <c r="D2585" s="1" t="s">
        <v>6</v>
      </c>
      <c r="E2585" s="1"/>
    </row>
    <row r="2586" ht="14.25" customHeight="1">
      <c r="A2586" s="1">
        <v>100.0</v>
      </c>
      <c r="B2586" s="1" t="s">
        <v>1049</v>
      </c>
      <c r="C2586" s="1">
        <v>10.0</v>
      </c>
      <c r="D2586" s="1" t="s">
        <v>1146</v>
      </c>
      <c r="E2586" s="1" t="str">
        <f>IFERROR(__xludf.DUMMYFUNCTION("GOOGLETRANSLATE(D2586,""PT"",""EN"")"),"Excellent professionals")</f>
        <v>Excellent professionals</v>
      </c>
    </row>
    <row r="2587" ht="14.25" customHeight="1">
      <c r="A2587" s="1">
        <v>33.0</v>
      </c>
      <c r="B2587" s="1" t="s">
        <v>1049</v>
      </c>
      <c r="C2587" s="1">
        <v>5.0</v>
      </c>
      <c r="D2587" s="1" t="s">
        <v>1147</v>
      </c>
      <c r="E2587" s="1" t="str">
        <f>IFERROR(__xludf.DUMMYFUNCTION("GOOGLETRANSLATE(D2587,""PT"",""EN"")"),"Lack approach with the customer.")</f>
        <v>Lack approach with the customer.</v>
      </c>
    </row>
    <row r="2588" ht="14.25" customHeight="1">
      <c r="A2588" s="1">
        <v>100.0</v>
      </c>
      <c r="B2588" s="1" t="s">
        <v>1049</v>
      </c>
      <c r="C2588" s="1">
        <v>10.0</v>
      </c>
      <c r="D2588" s="1" t="s">
        <v>6</v>
      </c>
      <c r="E2588" s="1"/>
    </row>
    <row r="2589" ht="14.25" customHeight="1">
      <c r="A2589" s="1">
        <v>100.0</v>
      </c>
      <c r="B2589" s="1" t="s">
        <v>1049</v>
      </c>
      <c r="C2589" s="1">
        <v>10.0</v>
      </c>
      <c r="D2589" s="2" t="s">
        <v>1148</v>
      </c>
      <c r="E2589" s="1" t="str">
        <f>IFERROR(__xludf.DUMMYFUNCTION("GOOGLETRANSLATE(D2589,""PT"",""EN"")"),"Differentiated bank because it is a cooperative")</f>
        <v>Differentiated bank because it is a cooperative</v>
      </c>
    </row>
    <row r="2590" ht="14.25" customHeight="1">
      <c r="A2590" s="1">
        <v>66.0</v>
      </c>
      <c r="B2590" s="1" t="s">
        <v>1049</v>
      </c>
      <c r="C2590" s="1">
        <v>8.0</v>
      </c>
      <c r="D2590" s="2" t="s">
        <v>1149</v>
      </c>
      <c r="E2590" s="1" t="str">
        <f>IFERROR(__xludf.DUMMYFUNCTION("GOOGLETRANSLATE(D2590,""PT"",""EN"")"),"I've worked at Sicoob is I know the team's commitment to the member always helping is doing the possible to meet the best way possible")</f>
        <v>I've worked at Sicoob is I know the team's commitment to the member always helping is doing the possible to meet the best way possible</v>
      </c>
    </row>
    <row r="2591" ht="14.25" customHeight="1">
      <c r="A2591" s="1">
        <v>100.0</v>
      </c>
      <c r="B2591" s="1" t="s">
        <v>1049</v>
      </c>
      <c r="C2591" s="1">
        <v>9.0</v>
      </c>
      <c r="D2591" s="1" t="s">
        <v>1150</v>
      </c>
      <c r="E2591" s="1" t="str">
        <f>IFERROR(__xludf.DUMMYFUNCTION("GOOGLETRANSLATE(D2591,""PT"",""EN"")"),"Rapidness")</f>
        <v>Rapidness</v>
      </c>
    </row>
    <row r="2592" ht="14.25" customHeight="1">
      <c r="A2592" s="1">
        <v>100.0</v>
      </c>
      <c r="B2592" s="1" t="s">
        <v>1049</v>
      </c>
      <c r="C2592" s="1">
        <v>10.0</v>
      </c>
      <c r="D2592" s="2" t="s">
        <v>1151</v>
      </c>
      <c r="E2592" s="1" t="str">
        <f>IFERROR(__xludf.DUMMYFUNCTION("GOOGLETRANSLATE(D2592,""PT"",""EN"")"),"Good service is clarity in your services, lower interest. A wonderful team Sicoob")</f>
        <v>Good service is clarity in your services, lower interest. A wonderful team Sicoob</v>
      </c>
    </row>
    <row r="2593" ht="14.25" customHeight="1">
      <c r="A2593" s="1">
        <v>100.0</v>
      </c>
      <c r="B2593" s="1" t="s">
        <v>1049</v>
      </c>
      <c r="C2593" s="1">
        <v>10.0</v>
      </c>
      <c r="D2593" s="1" t="s">
        <v>6</v>
      </c>
      <c r="E2593" s="1"/>
    </row>
    <row r="2594" ht="14.25" customHeight="1">
      <c r="A2594" s="1">
        <v>100.0</v>
      </c>
      <c r="B2594" s="1" t="s">
        <v>1049</v>
      </c>
      <c r="C2594" s="1">
        <v>10.0</v>
      </c>
      <c r="D2594" s="1" t="s">
        <v>6</v>
      </c>
      <c r="E2594" s="1"/>
    </row>
    <row r="2595" ht="14.25" customHeight="1">
      <c r="A2595" s="1">
        <v>100.0</v>
      </c>
      <c r="B2595" s="1" t="s">
        <v>1049</v>
      </c>
      <c r="C2595" s="1">
        <v>10.0</v>
      </c>
      <c r="D2595" s="1" t="s">
        <v>6</v>
      </c>
      <c r="E2595" s="1"/>
    </row>
    <row r="2596" ht="14.25" customHeight="1">
      <c r="A2596" s="1">
        <v>66.0</v>
      </c>
      <c r="B2596" s="1" t="s">
        <v>1049</v>
      </c>
      <c r="C2596" s="1">
        <v>8.0</v>
      </c>
      <c r="D2596" s="2" t="s">
        <v>1152</v>
      </c>
      <c r="E2596" s="1" t="str">
        <f>IFERROR(__xludf.DUMMYFUNCTION("GOOGLETRANSLATE(D2596,""PT"",""EN"")"),"Good service is excellent account plans !!!")</f>
        <v>Good service is excellent account plans !!!</v>
      </c>
    </row>
    <row r="2597" ht="14.25" customHeight="1">
      <c r="A2597" s="1">
        <v>100.0</v>
      </c>
      <c r="B2597" s="1" t="s">
        <v>1049</v>
      </c>
      <c r="C2597" s="1">
        <v>10.0</v>
      </c>
      <c r="D2597" s="1" t="s">
        <v>6</v>
      </c>
      <c r="E2597" s="1"/>
    </row>
    <row r="2598" ht="14.25" customHeight="1">
      <c r="A2598" s="1">
        <v>33.0</v>
      </c>
      <c r="B2598" s="1" t="s">
        <v>1049</v>
      </c>
      <c r="C2598" s="1">
        <v>1.0</v>
      </c>
      <c r="D2598" s="2" t="s">
        <v>1153</v>
      </c>
      <c r="E2598" s="1" t="str">
        <f>IFERROR(__xludf.DUMMYFUNCTION("GOOGLETRANSLATE(D2598,""PT"",""EN"")"),"I tried to open an account is moving is I could not get well attended")</f>
        <v>I tried to open an account is moving is I could not get well attended</v>
      </c>
    </row>
    <row r="2599" ht="14.25" customHeight="1">
      <c r="A2599" s="1">
        <v>100.0</v>
      </c>
      <c r="B2599" s="1" t="s">
        <v>1049</v>
      </c>
      <c r="C2599" s="1">
        <v>10.0</v>
      </c>
      <c r="D2599" s="1" t="s">
        <v>1006</v>
      </c>
      <c r="E2599" s="1" t="str">
        <f>IFERROR(__xludf.DUMMYFUNCTION("GOOGLETRANSLATE(D2599,""PT"",""EN"")"),"The best cooperative in Brazil")</f>
        <v>The best cooperative in Brazil</v>
      </c>
    </row>
    <row r="2600" ht="14.25" customHeight="1">
      <c r="A2600" s="1">
        <v>33.0</v>
      </c>
      <c r="B2600" s="1" t="s">
        <v>1049</v>
      </c>
      <c r="C2600" s="1">
        <v>2.0</v>
      </c>
      <c r="D2600" s="2" t="s">
        <v>1154</v>
      </c>
      <c r="E2600" s="1" t="str">
        <f>IFERROR(__xludf.DUMMYFUNCTION("GOOGLETRANSLATE(D2600,""PT"",""EN"")"),"Restrictions/limitations of credit benefits is the absence of investment offerings that are made available by any banking institutions, which demotivates the customer.")</f>
        <v>Restrictions/limitations of credit benefits is the absence of investment offerings that are made available by any banking institutions, which demotivates the customer.</v>
      </c>
    </row>
    <row r="2601" ht="14.25" customHeight="1">
      <c r="A2601" s="1">
        <v>100.0</v>
      </c>
      <c r="B2601" s="1" t="s">
        <v>1049</v>
      </c>
      <c r="C2601" s="1">
        <v>10.0</v>
      </c>
      <c r="D2601" s="1" t="s">
        <v>9</v>
      </c>
      <c r="E2601" s="1" t="str">
        <f>IFERROR(__xludf.DUMMYFUNCTION("GOOGLETRANSLATE(D2601,""PT"",""EN"")"),"10")</f>
        <v>10</v>
      </c>
    </row>
    <row r="2602" ht="14.25" customHeight="1">
      <c r="A2602" s="1">
        <v>100.0</v>
      </c>
      <c r="B2602" s="1" t="s">
        <v>1049</v>
      </c>
      <c r="C2602" s="1">
        <v>10.0</v>
      </c>
      <c r="D2602" s="2" t="s">
        <v>1155</v>
      </c>
      <c r="E2602" s="1" t="str">
        <f>IFERROR(__xludf.DUMMYFUNCTION("GOOGLETRANSLATE(D2602,""PT"",""EN"")"),"Interest rates is the service of staff, all of excellence")</f>
        <v>Interest rates is the service of staff, all of excellence</v>
      </c>
    </row>
    <row r="2603" ht="14.25" customHeight="1">
      <c r="A2603" s="1">
        <v>100.0</v>
      </c>
      <c r="B2603" s="1" t="s">
        <v>1049</v>
      </c>
      <c r="C2603" s="1">
        <v>10.0</v>
      </c>
      <c r="D2603" s="1" t="s">
        <v>1156</v>
      </c>
      <c r="E2603" s="1" t="str">
        <f>IFERROR(__xludf.DUMMYFUNCTION("GOOGLETRANSLATE(D2603,""PT"",""EN"")"),"Good services")</f>
        <v>Good services</v>
      </c>
    </row>
    <row r="2604" ht="14.25" customHeight="1">
      <c r="A2604" s="1">
        <v>100.0</v>
      </c>
      <c r="B2604" s="1" t="s">
        <v>1049</v>
      </c>
      <c r="C2604" s="1">
        <v>10.0</v>
      </c>
      <c r="D2604" s="1" t="s">
        <v>6</v>
      </c>
      <c r="E2604" s="1"/>
    </row>
    <row r="2605" ht="14.25" customHeight="1">
      <c r="A2605" s="1">
        <v>100.0</v>
      </c>
      <c r="B2605" s="1" t="s">
        <v>1049</v>
      </c>
      <c r="C2605" s="1">
        <v>10.0</v>
      </c>
      <c r="D2605" s="1" t="s">
        <v>1157</v>
      </c>
      <c r="E2605" s="1" t="str">
        <f>IFERROR(__xludf.DUMMYFUNCTION("GOOGLETRANSLATE(D2605,""PT"",""EN"")"),"Excellent service !!! Helpful cordiality")</f>
        <v>Excellent service !!! Helpful cordiality</v>
      </c>
    </row>
    <row r="2606" ht="14.25" customHeight="1">
      <c r="A2606" s="1">
        <v>100.0</v>
      </c>
      <c r="B2606" s="1" t="s">
        <v>1049</v>
      </c>
      <c r="C2606" s="1">
        <v>10.0</v>
      </c>
      <c r="D2606" s="1" t="s">
        <v>1158</v>
      </c>
      <c r="E2606" s="1" t="str">
        <f>IFERROR(__xludf.DUMMYFUNCTION("GOOGLETRANSLATE(D2606,""PT"",""EN"")"),"A quality company")</f>
        <v>A quality company</v>
      </c>
    </row>
    <row r="2607" ht="14.25" customHeight="1">
      <c r="A2607" s="1">
        <v>66.0</v>
      </c>
      <c r="B2607" s="1" t="s">
        <v>1049</v>
      </c>
      <c r="C2607" s="1">
        <v>7.0</v>
      </c>
      <c r="D2607" s="1" t="s">
        <v>6</v>
      </c>
      <c r="E2607" s="1"/>
    </row>
    <row r="2608" ht="14.25" customHeight="1">
      <c r="A2608" s="1">
        <v>66.0</v>
      </c>
      <c r="B2608" s="1" t="s">
        <v>1049</v>
      </c>
      <c r="C2608" s="1">
        <v>8.0</v>
      </c>
      <c r="D2608" s="1" t="s">
        <v>6</v>
      </c>
      <c r="E2608" s="1"/>
    </row>
    <row r="2609" ht="14.25" customHeight="1">
      <c r="A2609" s="1">
        <v>100.0</v>
      </c>
      <c r="B2609" s="1" t="s">
        <v>1049</v>
      </c>
      <c r="C2609" s="1">
        <v>10.0</v>
      </c>
      <c r="D2609" s="1" t="s">
        <v>6</v>
      </c>
      <c r="E2609" s="1"/>
    </row>
    <row r="2610" ht="14.25" customHeight="1">
      <c r="A2610" s="1">
        <v>100.0</v>
      </c>
      <c r="B2610" s="1" t="s">
        <v>1049</v>
      </c>
      <c r="C2610" s="1">
        <v>10.0</v>
      </c>
      <c r="D2610" s="1" t="s">
        <v>180</v>
      </c>
      <c r="E2610" s="1" t="str">
        <f>IFERROR(__xludf.DUMMYFUNCTION("GOOGLETRANSLATE(D2610,""PT"",""EN"")"),"GOOD SERVICE")</f>
        <v>GOOD SERVICE</v>
      </c>
    </row>
    <row r="2611" ht="14.25" customHeight="1">
      <c r="A2611" s="1">
        <v>33.0</v>
      </c>
      <c r="B2611" s="1" t="s">
        <v>1049</v>
      </c>
      <c r="C2611" s="1">
        <v>4.0</v>
      </c>
      <c r="D2611" s="1" t="s">
        <v>6</v>
      </c>
      <c r="E2611" s="1"/>
    </row>
    <row r="2612" ht="14.25" customHeight="1">
      <c r="A2612" s="1">
        <v>33.0</v>
      </c>
      <c r="B2612" s="1" t="s">
        <v>1049</v>
      </c>
      <c r="C2612" s="1">
        <v>4.0</v>
      </c>
      <c r="D2612" s="1" t="s">
        <v>6</v>
      </c>
      <c r="E2612" s="1"/>
    </row>
    <row r="2613" ht="14.25" customHeight="1">
      <c r="A2613" s="1">
        <v>100.0</v>
      </c>
      <c r="B2613" s="1" t="s">
        <v>1049</v>
      </c>
      <c r="C2613" s="1">
        <v>10.0</v>
      </c>
      <c r="D2613" s="2" t="s">
        <v>1159</v>
      </c>
      <c r="E2613" s="1" t="str">
        <f>IFERROR(__xludf.DUMMYFUNCTION("GOOGLETRANSLATE(D2613,""PT"",""EN"")"),"The human relationship is because we are cooperative.")</f>
        <v>The human relationship is because we are cooperative.</v>
      </c>
    </row>
    <row r="2614" ht="14.25" customHeight="1">
      <c r="A2614" s="1">
        <v>100.0</v>
      </c>
      <c r="B2614" s="1" t="s">
        <v>1049</v>
      </c>
      <c r="C2614" s="1">
        <v>10.0</v>
      </c>
      <c r="D2614" s="1" t="s">
        <v>1065</v>
      </c>
      <c r="E2614" s="1" t="str">
        <f>IFERROR(__xludf.DUMMYFUNCTION("GOOGLETRANSLATE(D2614,""PT"",""EN"")"),"Very good relationship")</f>
        <v>Very good relationship</v>
      </c>
    </row>
    <row r="2615" ht="14.25" customHeight="1">
      <c r="A2615" s="1">
        <v>33.0</v>
      </c>
      <c r="B2615" s="1" t="s">
        <v>1049</v>
      </c>
      <c r="C2615" s="1">
        <v>1.0</v>
      </c>
      <c r="D2615" s="1" t="s">
        <v>6</v>
      </c>
      <c r="E2615" s="1"/>
    </row>
    <row r="2616" ht="14.25" customHeight="1">
      <c r="A2616" s="1">
        <v>100.0</v>
      </c>
      <c r="B2616" s="1" t="s">
        <v>1049</v>
      </c>
      <c r="C2616" s="1">
        <v>10.0</v>
      </c>
      <c r="D2616" s="2" t="s">
        <v>1160</v>
      </c>
      <c r="E2616" s="1" t="str">
        <f>IFERROR(__xludf.DUMMYFUNCTION("GOOGLETRANSLATE(D2616,""PT"",""EN"")"),"Tariff prices is the service")</f>
        <v>Tariff prices is the service</v>
      </c>
    </row>
    <row r="2617" ht="14.25" customHeight="1">
      <c r="A2617" s="1">
        <v>33.0</v>
      </c>
      <c r="B2617" s="1" t="s">
        <v>1049</v>
      </c>
      <c r="C2617" s="1">
        <v>5.0</v>
      </c>
      <c r="D2617" s="1" t="s">
        <v>6</v>
      </c>
      <c r="E2617" s="1"/>
    </row>
    <row r="2618" ht="14.25" customHeight="1">
      <c r="A2618" s="1">
        <v>66.0</v>
      </c>
      <c r="B2618" s="1" t="s">
        <v>1049</v>
      </c>
      <c r="C2618" s="1">
        <v>8.0</v>
      </c>
      <c r="D2618" s="1" t="s">
        <v>6</v>
      </c>
      <c r="E2618" s="1"/>
    </row>
    <row r="2619" ht="14.25" customHeight="1">
      <c r="A2619" s="1">
        <v>100.0</v>
      </c>
      <c r="B2619" s="1" t="s">
        <v>1049</v>
      </c>
      <c r="C2619" s="1">
        <v>10.0</v>
      </c>
      <c r="D2619" s="2" t="s">
        <v>1161</v>
      </c>
      <c r="E2619" s="1" t="str">
        <f>IFERROR(__xludf.DUMMYFUNCTION("GOOGLETRANSLATE(D2619,""PT"",""EN"")"),"Attention is prompt")</f>
        <v>Attention is prompt</v>
      </c>
    </row>
    <row r="2620" ht="14.25" customHeight="1">
      <c r="A2620" s="1">
        <v>100.0</v>
      </c>
      <c r="B2620" s="1" t="s">
        <v>1049</v>
      </c>
      <c r="C2620" s="1">
        <v>10.0</v>
      </c>
      <c r="D2620" s="2" t="s">
        <v>1145</v>
      </c>
      <c r="E2620" s="1" t="str">
        <f>IFERROR(__xludf.DUMMYFUNCTION("GOOGLETRANSLATE(D2620,""PT"",""EN"")"),"The human relationship is because we are cooperative.")</f>
        <v>The human relationship is because we are cooperative.</v>
      </c>
    </row>
    <row r="2621" ht="14.25" customHeight="1">
      <c r="A2621" s="1">
        <v>100.0</v>
      </c>
      <c r="B2621" s="1" t="s">
        <v>1049</v>
      </c>
      <c r="C2621" s="1">
        <v>10.0</v>
      </c>
      <c r="D2621" s="2" t="s">
        <v>1162</v>
      </c>
      <c r="E2621" s="1" t="str">
        <f>IFERROR(__xludf.DUMMYFUNCTION("GOOGLETRANSLATE(D2621,""PT"",""EN"")"),"Great Bank")</f>
        <v>Great Bank</v>
      </c>
    </row>
    <row r="2622" ht="14.25" customHeight="1">
      <c r="A2622" s="1">
        <v>100.0</v>
      </c>
      <c r="B2622" s="1" t="s">
        <v>1049</v>
      </c>
      <c r="C2622" s="1">
        <v>10.0</v>
      </c>
      <c r="D2622" s="1" t="s">
        <v>6</v>
      </c>
      <c r="E2622" s="1"/>
    </row>
    <row r="2623" ht="14.25" customHeight="1">
      <c r="A2623" s="1">
        <v>66.0</v>
      </c>
      <c r="B2623" s="1" t="s">
        <v>1049</v>
      </c>
      <c r="C2623" s="1">
        <v>8.0</v>
      </c>
      <c r="D2623" s="1" t="s">
        <v>1163</v>
      </c>
      <c r="E2623" s="1" t="str">
        <f>IFERROR(__xludf.DUMMYFUNCTION("GOOGLETRANSLATE(D2623,""PT"",""EN"")"),"Because I am a Sicoob client.")</f>
        <v>Because I am a Sicoob client.</v>
      </c>
    </row>
    <row r="2624" ht="14.25" customHeight="1">
      <c r="A2624" s="1">
        <v>33.0</v>
      </c>
      <c r="B2624" s="1" t="s">
        <v>1049</v>
      </c>
      <c r="C2624" s="1">
        <v>5.0</v>
      </c>
      <c r="D2624" s="1" t="s">
        <v>1164</v>
      </c>
      <c r="E2624" s="1" t="str">
        <f>IFERROR(__xludf.DUMMYFUNCTION("GOOGLETRANSLATE(D2624,""PT"",""EN"")"),"Delay in service.")</f>
        <v>Delay in service.</v>
      </c>
    </row>
    <row r="2625" ht="14.25" customHeight="1">
      <c r="A2625" s="1">
        <v>33.0</v>
      </c>
      <c r="B2625" s="1" t="s">
        <v>1049</v>
      </c>
      <c r="C2625" s="1">
        <v>4.0</v>
      </c>
      <c r="D2625" s="1" t="s">
        <v>6</v>
      </c>
      <c r="E2625" s="1"/>
    </row>
    <row r="2626" ht="14.25" customHeight="1">
      <c r="A2626" s="1">
        <v>100.0</v>
      </c>
      <c r="B2626" s="1" t="s">
        <v>1049</v>
      </c>
      <c r="C2626" s="1">
        <v>10.0</v>
      </c>
      <c r="D2626" s="1" t="s">
        <v>6</v>
      </c>
      <c r="E2626" s="1"/>
    </row>
    <row r="2627" ht="14.25" customHeight="1">
      <c r="A2627" s="1">
        <v>66.0</v>
      </c>
      <c r="B2627" s="1" t="s">
        <v>1049</v>
      </c>
      <c r="C2627" s="1">
        <v>8.0</v>
      </c>
      <c r="D2627" s="1" t="s">
        <v>6</v>
      </c>
      <c r="E2627" s="1"/>
    </row>
    <row r="2628" ht="14.25" customHeight="1">
      <c r="A2628" s="1">
        <v>100.0</v>
      </c>
      <c r="B2628" s="1" t="s">
        <v>1049</v>
      </c>
      <c r="C2628" s="1">
        <v>10.0</v>
      </c>
      <c r="D2628" s="2" t="s">
        <v>1165</v>
      </c>
      <c r="E2628" s="1" t="str">
        <f>IFERROR(__xludf.DUMMYFUNCTION("GOOGLETRANSLATE(D2628,""PT"",""EN"")"),"I love the system is the service")</f>
        <v>I love the system is the service</v>
      </c>
    </row>
    <row r="2629" ht="14.25" customHeight="1">
      <c r="A2629" s="1">
        <v>100.0</v>
      </c>
      <c r="B2629" s="1" t="s">
        <v>1049</v>
      </c>
      <c r="C2629" s="1">
        <v>10.0</v>
      </c>
      <c r="D2629" s="2" t="s">
        <v>1166</v>
      </c>
      <c r="E2629" s="1" t="str">
        <f>IFERROR(__xludf.DUMMYFUNCTION("GOOGLETRANSLATE(D2629,""PT"",""EN"")"),"I've worked at the cooperative is knowing the benefit, interest rate.")</f>
        <v>I've worked at the cooperative is knowing the benefit, interest rate.</v>
      </c>
    </row>
    <row r="2630" ht="14.25" customHeight="1">
      <c r="A2630" s="1">
        <v>100.0</v>
      </c>
      <c r="B2630" s="1" t="s">
        <v>1049</v>
      </c>
      <c r="C2630" s="1">
        <v>9.0</v>
      </c>
      <c r="D2630" s="2" t="s">
        <v>1167</v>
      </c>
      <c r="E2630" s="1" t="str">
        <f>IFERROR(__xludf.DUMMYFUNCTION("GOOGLETRANSLATE(D2630,""PT"",""EN"")"),"Service is confidence.")</f>
        <v>Service is confidence.</v>
      </c>
    </row>
    <row r="2631" ht="14.25" customHeight="1">
      <c r="A2631" s="1">
        <v>66.0</v>
      </c>
      <c r="B2631" s="1" t="s">
        <v>1049</v>
      </c>
      <c r="C2631" s="1">
        <v>8.0</v>
      </c>
      <c r="D2631" s="1" t="s">
        <v>803</v>
      </c>
      <c r="E2631" s="1" t="str">
        <f>IFERROR(__xludf.DUMMYFUNCTION("GOOGLETRANSLATE(D2631,""PT"",""EN"")"),"Good")</f>
        <v>Good</v>
      </c>
    </row>
    <row r="2632" ht="14.25" customHeight="1">
      <c r="A2632" s="1">
        <v>100.0</v>
      </c>
      <c r="B2632" s="1" t="s">
        <v>1049</v>
      </c>
      <c r="C2632" s="1">
        <v>10.0</v>
      </c>
      <c r="D2632" s="1" t="s">
        <v>6</v>
      </c>
      <c r="E2632" s="1"/>
    </row>
    <row r="2633" ht="14.25" customHeight="1">
      <c r="A2633" s="1">
        <v>33.0</v>
      </c>
      <c r="B2633" s="1" t="s">
        <v>1049</v>
      </c>
      <c r="C2633" s="1">
        <v>4.0</v>
      </c>
      <c r="D2633" s="1" t="s">
        <v>6</v>
      </c>
      <c r="E2633" s="1"/>
    </row>
    <row r="2634" ht="14.25" customHeight="1">
      <c r="A2634" s="1">
        <v>33.0</v>
      </c>
      <c r="B2634" s="1" t="s">
        <v>1049</v>
      </c>
      <c r="C2634" s="1">
        <v>2.0</v>
      </c>
      <c r="D2634" s="1" t="s">
        <v>1168</v>
      </c>
      <c r="E2634" s="1" t="str">
        <f>IFERROR(__xludf.DUMMYFUNCTION("GOOGLETRANSLATE(D2634,""PT"",""EN"")"),"A compulsory discount of 10.00 in my account !!! This is absurd !!!!")</f>
        <v>A compulsory discount of 10.00 in my account !!! This is absurd !!!!</v>
      </c>
    </row>
    <row r="2635" ht="14.25" customHeight="1">
      <c r="A2635" s="1">
        <v>100.0</v>
      </c>
      <c r="B2635" s="1" t="s">
        <v>1049</v>
      </c>
      <c r="C2635" s="1">
        <v>9.0</v>
      </c>
      <c r="D2635" s="1" t="s">
        <v>1169</v>
      </c>
      <c r="E2635" s="1" t="str">
        <f>IFERROR(__xludf.DUMMYFUNCTION("GOOGLETRANSLATE(D2635,""PT"",""EN"")"),"Efficiency in service!")</f>
        <v>Efficiency in service!</v>
      </c>
    </row>
    <row r="2636" ht="14.25" customHeight="1">
      <c r="A2636" s="1">
        <v>33.0</v>
      </c>
      <c r="B2636" s="1" t="s">
        <v>1049</v>
      </c>
      <c r="C2636" s="1">
        <v>0.0</v>
      </c>
      <c r="D2636" s="2" t="s">
        <v>1170</v>
      </c>
      <c r="E2636" s="1" t="str">
        <f>IFERROR(__xludf.DUMMYFUNCTION("GOOGLETRANSLATE(D2636,""PT"",""EN"")"),"Swivel door of the entity's entrance !! Manager authorizes the entry of some associates with metals or several in their pockets is other clients bar.")</f>
        <v>Swivel door of the entity's entrance !! Manager authorizes the entry of some associates with metals or several in their pockets is other clients bar.</v>
      </c>
    </row>
    <row r="2637" ht="14.25" customHeight="1">
      <c r="A2637" s="1">
        <v>100.0</v>
      </c>
      <c r="B2637" s="1" t="s">
        <v>1049</v>
      </c>
      <c r="C2637" s="1">
        <v>10.0</v>
      </c>
      <c r="D2637" s="2" t="s">
        <v>1171</v>
      </c>
      <c r="E2637" s="1" t="str">
        <f>IFERROR(__xludf.DUMMYFUNCTION("GOOGLETRANSLATE(D2637,""PT"",""EN"")"),"Because I'm a cooperative that's why this is my grade")</f>
        <v>Because I'm a cooperative that's why this is my grade</v>
      </c>
    </row>
    <row r="2638" ht="14.25" customHeight="1">
      <c r="A2638" s="1">
        <v>100.0</v>
      </c>
      <c r="B2638" s="1" t="s">
        <v>1049</v>
      </c>
      <c r="C2638" s="1">
        <v>9.0</v>
      </c>
      <c r="D2638" s="1" t="s">
        <v>1172</v>
      </c>
      <c r="E2638" s="1" t="str">
        <f>IFERROR(__xludf.DUMMYFUNCTION("GOOGLETRANSLATE(D2638,""PT"",""EN"")"),"Immediate return on my requests")</f>
        <v>Immediate return on my requests</v>
      </c>
    </row>
    <row r="2639" ht="14.25" customHeight="1">
      <c r="A2639" s="1">
        <v>66.0</v>
      </c>
      <c r="B2639" s="1" t="s">
        <v>1049</v>
      </c>
      <c r="C2639" s="1">
        <v>8.0</v>
      </c>
      <c r="D2639" s="1" t="s">
        <v>6</v>
      </c>
      <c r="E2639" s="1"/>
    </row>
    <row r="2640" ht="14.25" customHeight="1">
      <c r="A2640" s="1">
        <v>33.0</v>
      </c>
      <c r="B2640" s="1" t="s">
        <v>1049</v>
      </c>
      <c r="C2640" s="1">
        <v>0.0</v>
      </c>
      <c r="D2640" s="2" t="s">
        <v>1173</v>
      </c>
      <c r="E2640" s="1" t="str">
        <f>IFERROR(__xludf.DUMMYFUNCTION("GOOGLETRANSLATE(D2640,""PT"",""EN"")"),"It has no legal manager. It is a more than 15 days I requested a card machine is a credit card is never given me news.")</f>
        <v>It has no legal manager. It is a more than 15 days I requested a card machine is a credit card is never given me news.</v>
      </c>
    </row>
    <row r="2641" ht="14.25" customHeight="1">
      <c r="A2641" s="1">
        <v>100.0</v>
      </c>
      <c r="B2641" s="1" t="s">
        <v>1049</v>
      </c>
      <c r="C2641" s="1">
        <v>10.0</v>
      </c>
      <c r="D2641" s="1" t="s">
        <v>6</v>
      </c>
      <c r="E2641" s="1"/>
    </row>
    <row r="2642" ht="14.25" customHeight="1">
      <c r="A2642" s="1">
        <v>100.0</v>
      </c>
      <c r="B2642" s="1" t="s">
        <v>1049</v>
      </c>
      <c r="C2642" s="1">
        <v>9.0</v>
      </c>
      <c r="D2642" s="1" t="s">
        <v>1174</v>
      </c>
      <c r="E2642" s="1" t="str">
        <f>IFERROR(__xludf.DUMMYFUNCTION("GOOGLETRANSLATE(D2642,""PT"",""EN"")"),"very good service")</f>
        <v>very good service</v>
      </c>
    </row>
    <row r="2643" ht="14.25" customHeight="1">
      <c r="A2643" s="1">
        <v>33.0</v>
      </c>
      <c r="B2643" s="1" t="s">
        <v>1049</v>
      </c>
      <c r="C2643" s="1">
        <v>0.0</v>
      </c>
      <c r="D2643" s="1" t="s">
        <v>6</v>
      </c>
      <c r="E2643" s="1"/>
    </row>
    <row r="2644" ht="14.25" customHeight="1">
      <c r="A2644" s="1">
        <v>100.0</v>
      </c>
      <c r="B2644" s="1" t="s">
        <v>1049</v>
      </c>
      <c r="C2644" s="1">
        <v>10.0</v>
      </c>
      <c r="D2644" s="1" t="s">
        <v>1175</v>
      </c>
      <c r="E2644" s="1" t="str">
        <f>IFERROR(__xludf.DUMMYFUNCTION("GOOGLETRANSLATE(D2644,""PT"",""EN"")"),"A very quality service the qualified professionals in service")</f>
        <v>A very quality service the qualified professionals in service</v>
      </c>
    </row>
    <row r="2645" ht="14.25" customHeight="1">
      <c r="A2645" s="1">
        <v>100.0</v>
      </c>
      <c r="B2645" s="1" t="s">
        <v>1049</v>
      </c>
      <c r="C2645" s="1">
        <v>9.0</v>
      </c>
      <c r="D2645" s="1" t="s">
        <v>6</v>
      </c>
      <c r="E2645" s="1"/>
    </row>
    <row r="2646" ht="14.25" customHeight="1">
      <c r="A2646" s="1">
        <v>33.0</v>
      </c>
      <c r="B2646" s="1" t="s">
        <v>1049</v>
      </c>
      <c r="C2646" s="1">
        <v>0.0</v>
      </c>
      <c r="D2646" s="1" t="s">
        <v>6</v>
      </c>
      <c r="E2646" s="1"/>
    </row>
    <row r="2647" ht="14.25" customHeight="1">
      <c r="A2647" s="1">
        <v>33.0</v>
      </c>
      <c r="B2647" s="1" t="s">
        <v>1049</v>
      </c>
      <c r="C2647" s="1">
        <v>0.0</v>
      </c>
      <c r="D2647" s="2" t="s">
        <v>1176</v>
      </c>
      <c r="E2647" s="1" t="str">
        <f>IFERROR(__xludf.DUMMYFUNCTION("GOOGLETRANSLATE(D2647,""PT"",""EN"")"),"They give priorities to those who have more money")</f>
        <v>They give priorities to those who have more money</v>
      </c>
    </row>
    <row r="2648" ht="14.25" customHeight="1">
      <c r="A2648" s="1">
        <v>100.0</v>
      </c>
      <c r="B2648" s="1" t="s">
        <v>1049</v>
      </c>
      <c r="C2648" s="1">
        <v>10.0</v>
      </c>
      <c r="D2648" s="1" t="s">
        <v>6</v>
      </c>
      <c r="E2648" s="1"/>
    </row>
    <row r="2649" ht="14.25" customHeight="1">
      <c r="A2649" s="1">
        <v>100.0</v>
      </c>
      <c r="B2649" s="1" t="s">
        <v>1049</v>
      </c>
      <c r="C2649" s="1">
        <v>10.0</v>
      </c>
      <c r="D2649" s="1" t="s">
        <v>6</v>
      </c>
      <c r="E2649" s="1"/>
    </row>
    <row r="2650" ht="14.25" customHeight="1">
      <c r="A2650" s="1">
        <v>100.0</v>
      </c>
      <c r="B2650" s="1" t="s">
        <v>1049</v>
      </c>
      <c r="C2650" s="1">
        <v>10.0</v>
      </c>
      <c r="D2650" s="2" t="s">
        <v>1177</v>
      </c>
      <c r="E2650" s="1" t="str">
        <f>IFERROR(__xludf.DUMMYFUNCTION("GOOGLETRANSLATE(D2650,""PT"",""EN"")"),"Service is the products are great")</f>
        <v>Service is the products are great</v>
      </c>
    </row>
    <row r="2651" ht="14.25" customHeight="1">
      <c r="A2651" s="1">
        <v>100.0</v>
      </c>
      <c r="B2651" s="1" t="s">
        <v>1049</v>
      </c>
      <c r="C2651" s="1">
        <v>10.0</v>
      </c>
      <c r="D2651" s="2" t="s">
        <v>1178</v>
      </c>
      <c r="E2651" s="1" t="str">
        <f>IFERROR(__xludf.DUMMYFUNCTION("GOOGLETRANSLATE(D2651,""PT"",""EN"")"),"Good service by managers is employees")</f>
        <v>Good service by managers is employees</v>
      </c>
    </row>
    <row r="2652" ht="14.25" customHeight="1">
      <c r="A2652" s="1">
        <v>33.0</v>
      </c>
      <c r="B2652" s="1" t="s">
        <v>1049</v>
      </c>
      <c r="C2652" s="1">
        <v>6.0</v>
      </c>
      <c r="D2652" s="1" t="s">
        <v>6</v>
      </c>
      <c r="E2652" s="1"/>
    </row>
    <row r="2653" ht="14.25" customHeight="1">
      <c r="A2653" s="1">
        <v>33.0</v>
      </c>
      <c r="B2653" s="1" t="s">
        <v>1049</v>
      </c>
      <c r="C2653" s="1">
        <v>3.0</v>
      </c>
      <c r="D2653" s="1" t="s">
        <v>1179</v>
      </c>
      <c r="E2653" s="1" t="str">
        <f>IFERROR(__xludf.DUMMYFUNCTION("GOOGLETRANSLATE(D2653,""PT"",""EN"")"),"Part of the service")</f>
        <v>Part of the service</v>
      </c>
    </row>
    <row r="2654" ht="14.25" customHeight="1">
      <c r="A2654" s="1">
        <v>33.0</v>
      </c>
      <c r="B2654" s="1" t="s">
        <v>1049</v>
      </c>
      <c r="C2654" s="1">
        <v>0.0</v>
      </c>
      <c r="D2654" s="1" t="s">
        <v>1180</v>
      </c>
      <c r="E2654" s="1" t="str">
        <f>IFERROR(__xludf.DUMMYFUNCTION("GOOGLETRANSLATE(D2654,""PT"",""EN"")"),"Poorly prepared managers.")</f>
        <v>Poorly prepared managers.</v>
      </c>
    </row>
    <row r="2655" ht="14.25" customHeight="1">
      <c r="A2655" s="1">
        <v>100.0</v>
      </c>
      <c r="B2655" s="1" t="s">
        <v>1049</v>
      </c>
      <c r="C2655" s="1">
        <v>9.0</v>
      </c>
      <c r="D2655" s="1" t="s">
        <v>6</v>
      </c>
      <c r="E2655" s="1"/>
    </row>
    <row r="2656" ht="14.25" customHeight="1">
      <c r="A2656" s="1">
        <v>100.0</v>
      </c>
      <c r="B2656" s="1" t="s">
        <v>1049</v>
      </c>
      <c r="C2656" s="1">
        <v>10.0</v>
      </c>
      <c r="D2656" s="2" t="s">
        <v>1181</v>
      </c>
      <c r="E2656" s="1" t="str">
        <f>IFERROR(__xludf.DUMMYFUNCTION("GOOGLETRANSLATE(D2656,""PT"",""EN"")"),"Seriousness is service")</f>
        <v>Seriousness is service</v>
      </c>
    </row>
    <row r="2657" ht="14.25" customHeight="1">
      <c r="A2657" s="1">
        <v>100.0</v>
      </c>
      <c r="B2657" s="1" t="s">
        <v>1049</v>
      </c>
      <c r="C2657" s="1">
        <v>10.0</v>
      </c>
      <c r="D2657" s="1" t="s">
        <v>6</v>
      </c>
      <c r="E2657" s="1"/>
    </row>
    <row r="2658" ht="14.25" customHeight="1">
      <c r="A2658" s="1">
        <v>100.0</v>
      </c>
      <c r="B2658" s="1" t="s">
        <v>1049</v>
      </c>
      <c r="C2658" s="1">
        <v>10.0</v>
      </c>
      <c r="D2658" s="1" t="s">
        <v>6</v>
      </c>
      <c r="E2658" s="1"/>
    </row>
    <row r="2659" ht="14.25" customHeight="1">
      <c r="A2659" s="1">
        <v>100.0</v>
      </c>
      <c r="B2659" s="1" t="s">
        <v>1049</v>
      </c>
      <c r="C2659" s="1">
        <v>10.0</v>
      </c>
      <c r="D2659" s="1" t="s">
        <v>1182</v>
      </c>
      <c r="E2659" s="1" t="str">
        <f>IFERROR(__xludf.DUMMYFUNCTION("GOOGLETRANSLATE(D2659,""PT"",""EN"")"),"The best financial institution.")</f>
        <v>The best financial institution.</v>
      </c>
    </row>
    <row r="2660" ht="14.25" customHeight="1">
      <c r="A2660" s="1">
        <v>100.0</v>
      </c>
      <c r="B2660" s="1" t="s">
        <v>1049</v>
      </c>
      <c r="C2660" s="1">
        <v>10.0</v>
      </c>
      <c r="D2660" s="1" t="s">
        <v>85</v>
      </c>
      <c r="E2660" s="1" t="str">
        <f>IFERROR(__xludf.DUMMYFUNCTION("GOOGLETRANSLATE(D2660,""PT"",""EN"")"),"Service")</f>
        <v>Service</v>
      </c>
    </row>
    <row r="2661" ht="14.25" customHeight="1">
      <c r="A2661" s="1">
        <v>100.0</v>
      </c>
      <c r="B2661" s="1" t="s">
        <v>1049</v>
      </c>
      <c r="C2661" s="1">
        <v>9.0</v>
      </c>
      <c r="D2661" s="2" t="s">
        <v>1183</v>
      </c>
      <c r="E2661" s="1" t="str">
        <f>IFERROR(__xludf.DUMMYFUNCTION("GOOGLETRANSLATE(D2661,""PT"",""EN"")"),"Courtesy of employees. Good service. Bad: The institution is no longer a cooperative is walking to become a commercial bank, given the charged fees, high interest rates. The card machine besides being expensive, interest is very high compared to other com"&amp;"panies.")</f>
        <v>Courtesy of employees. Good service. Bad: The institution is no longer a cooperative is walking to become a commercial bank, given the charged fees, high interest rates. The card machine besides being expensive, interest is very high compared to other companies.</v>
      </c>
    </row>
    <row r="2662" ht="14.25" customHeight="1">
      <c r="A2662" s="1">
        <v>100.0</v>
      </c>
      <c r="B2662" s="1" t="s">
        <v>1049</v>
      </c>
      <c r="C2662" s="1">
        <v>10.0</v>
      </c>
      <c r="D2662" s="1" t="s">
        <v>6</v>
      </c>
      <c r="E2662" s="1"/>
    </row>
    <row r="2663" ht="14.25" customHeight="1">
      <c r="A2663" s="1">
        <v>100.0</v>
      </c>
      <c r="B2663" s="1" t="s">
        <v>1049</v>
      </c>
      <c r="C2663" s="1">
        <v>10.0</v>
      </c>
      <c r="D2663" s="1" t="s">
        <v>6</v>
      </c>
      <c r="E2663" s="1"/>
    </row>
    <row r="2664" ht="14.25" customHeight="1">
      <c r="A2664" s="1">
        <v>100.0</v>
      </c>
      <c r="B2664" s="1" t="s">
        <v>1049</v>
      </c>
      <c r="C2664" s="1">
        <v>10.0</v>
      </c>
      <c r="D2664" s="1" t="s">
        <v>1184</v>
      </c>
      <c r="E2664" s="1" t="str">
        <f>IFERROR(__xludf.DUMMYFUNCTION("GOOGLETRANSLATE(D2664,""PT"",""EN"")"),"Excellent employee service")</f>
        <v>Excellent employee service</v>
      </c>
    </row>
    <row r="2665" ht="14.25" customHeight="1">
      <c r="A2665" s="1">
        <v>100.0</v>
      </c>
      <c r="B2665" s="1" t="s">
        <v>1049</v>
      </c>
      <c r="C2665" s="1">
        <v>10.0</v>
      </c>
      <c r="D2665" s="1" t="s">
        <v>6</v>
      </c>
      <c r="E2665" s="1"/>
    </row>
    <row r="2666" ht="14.25" customHeight="1">
      <c r="A2666" s="1">
        <v>100.0</v>
      </c>
      <c r="B2666" s="1" t="s">
        <v>1049</v>
      </c>
      <c r="C2666" s="1">
        <v>10.0</v>
      </c>
      <c r="D2666" s="1" t="s">
        <v>6</v>
      </c>
      <c r="E2666" s="1"/>
    </row>
    <row r="2667" ht="14.25" customHeight="1">
      <c r="A2667" s="1">
        <v>100.0</v>
      </c>
      <c r="B2667" s="1" t="s">
        <v>1049</v>
      </c>
      <c r="C2667" s="1">
        <v>10.0</v>
      </c>
      <c r="D2667" s="1" t="s">
        <v>6</v>
      </c>
      <c r="E2667" s="1"/>
    </row>
    <row r="2668" ht="14.25" customHeight="1">
      <c r="A2668" s="1">
        <v>100.0</v>
      </c>
      <c r="B2668" s="1" t="s">
        <v>1049</v>
      </c>
      <c r="C2668" s="1">
        <v>10.0</v>
      </c>
      <c r="D2668" s="1" t="s">
        <v>6</v>
      </c>
      <c r="E2668" s="1"/>
    </row>
    <row r="2669" ht="14.25" customHeight="1">
      <c r="A2669" s="1">
        <v>100.0</v>
      </c>
      <c r="B2669" s="1" t="s">
        <v>1049</v>
      </c>
      <c r="C2669" s="1">
        <v>10.0</v>
      </c>
      <c r="D2669" s="1" t="s">
        <v>6</v>
      </c>
      <c r="E2669" s="1"/>
    </row>
    <row r="2670" ht="14.25" customHeight="1">
      <c r="A2670" s="1">
        <v>100.0</v>
      </c>
      <c r="B2670" s="1" t="s">
        <v>1049</v>
      </c>
      <c r="C2670" s="1">
        <v>10.0</v>
      </c>
      <c r="D2670" s="1" t="s">
        <v>20</v>
      </c>
      <c r="E2670" s="1" t="str">
        <f>IFERROR(__xludf.DUMMYFUNCTION("GOOGLETRANSLATE(D2670,""PT"",""EN"")"),"Very good")</f>
        <v>Very good</v>
      </c>
    </row>
    <row r="2671" ht="14.25" customHeight="1">
      <c r="A2671" s="1">
        <v>33.0</v>
      </c>
      <c r="B2671" s="1" t="s">
        <v>1049</v>
      </c>
      <c r="C2671" s="1">
        <v>4.0</v>
      </c>
      <c r="D2671" s="2" t="s">
        <v>1185</v>
      </c>
      <c r="E2671" s="1" t="str">
        <f>IFERROR(__xludf.DUMMYFUNCTION("GOOGLETRANSLATE(D2671,""PT"",""EN"")"),"I couldn't do much with the bank, I would like a business loan opportunity to be able to organize finances is to open a space to work. However, I have only found closed doors. Hard to organize things with very limited opportunities.")</f>
        <v>I couldn't do much with the bank, I would like a business loan opportunity to be able to organize finances is to open a space to work. However, I have only found closed doors. Hard to organize things with very limited opportunities.</v>
      </c>
    </row>
    <row r="2672" ht="14.25" customHeight="1">
      <c r="A2672" s="1">
        <v>100.0</v>
      </c>
      <c r="B2672" s="1" t="s">
        <v>1049</v>
      </c>
      <c r="C2672" s="1">
        <v>10.0</v>
      </c>
      <c r="D2672" s="1" t="s">
        <v>6</v>
      </c>
      <c r="E2672" s="1"/>
    </row>
    <row r="2673" ht="14.25" customHeight="1">
      <c r="A2673" s="1">
        <v>100.0</v>
      </c>
      <c r="B2673" s="1" t="s">
        <v>1049</v>
      </c>
      <c r="C2673" s="1">
        <v>10.0</v>
      </c>
      <c r="D2673" s="1" t="s">
        <v>456</v>
      </c>
      <c r="E2673" s="1" t="str">
        <f>IFERROR(__xludf.DUMMYFUNCTION("GOOGLETRANSLATE(D2673,""PT"",""EN"")"),"service")</f>
        <v>service</v>
      </c>
    </row>
    <row r="2674" ht="14.25" customHeight="1">
      <c r="A2674" s="1">
        <v>66.0</v>
      </c>
      <c r="B2674" s="1" t="s">
        <v>1049</v>
      </c>
      <c r="C2674" s="1">
        <v>7.0</v>
      </c>
      <c r="D2674" s="1" t="s">
        <v>6</v>
      </c>
      <c r="E2674" s="1"/>
    </row>
    <row r="2675" ht="14.25" customHeight="1">
      <c r="A2675" s="1">
        <v>100.0</v>
      </c>
      <c r="B2675" s="1" t="s">
        <v>1049</v>
      </c>
      <c r="C2675" s="1">
        <v>10.0</v>
      </c>
      <c r="D2675" s="1" t="s">
        <v>6</v>
      </c>
      <c r="E2675" s="1"/>
    </row>
    <row r="2676" ht="14.25" customHeight="1">
      <c r="A2676" s="1">
        <v>100.0</v>
      </c>
      <c r="B2676" s="1" t="s">
        <v>1049</v>
      </c>
      <c r="C2676" s="1">
        <v>10.0</v>
      </c>
      <c r="D2676" s="1" t="s">
        <v>6</v>
      </c>
      <c r="E2676" s="1"/>
    </row>
    <row r="2677" ht="14.25" customHeight="1">
      <c r="A2677" s="1">
        <v>100.0</v>
      </c>
      <c r="B2677" s="1" t="s">
        <v>1049</v>
      </c>
      <c r="C2677" s="1">
        <v>10.0</v>
      </c>
      <c r="D2677" s="1" t="s">
        <v>192</v>
      </c>
      <c r="E2677" s="1" t="str">
        <f>IFERROR(__xludf.DUMMYFUNCTION("GOOGLETRANSLATE(D2677,""PT"",""EN"")"),"Great")</f>
        <v>Great</v>
      </c>
    </row>
    <row r="2678" ht="14.25" customHeight="1">
      <c r="A2678" s="1">
        <v>33.0</v>
      </c>
      <c r="B2678" s="1" t="s">
        <v>1049</v>
      </c>
      <c r="C2678" s="1">
        <v>3.0</v>
      </c>
      <c r="D2678" s="1" t="s">
        <v>6</v>
      </c>
      <c r="E2678" s="1"/>
    </row>
    <row r="2679" ht="14.25" customHeight="1">
      <c r="A2679" s="1">
        <v>100.0</v>
      </c>
      <c r="B2679" s="1" t="s">
        <v>1049</v>
      </c>
      <c r="C2679" s="1">
        <v>10.0</v>
      </c>
      <c r="D2679" s="1" t="s">
        <v>6</v>
      </c>
      <c r="E2679" s="1"/>
    </row>
    <row r="2680" ht="14.25" customHeight="1">
      <c r="A2680" s="1">
        <v>33.0</v>
      </c>
      <c r="B2680" s="1" t="s">
        <v>1049</v>
      </c>
      <c r="C2680" s="1">
        <v>0.0</v>
      </c>
      <c r="D2680" s="1" t="s">
        <v>6</v>
      </c>
      <c r="E2680" s="1"/>
    </row>
    <row r="2681" ht="14.25" customHeight="1">
      <c r="A2681" s="1">
        <v>100.0</v>
      </c>
      <c r="B2681" s="1" t="s">
        <v>1049</v>
      </c>
      <c r="C2681" s="1">
        <v>10.0</v>
      </c>
      <c r="D2681" s="1" t="s">
        <v>6</v>
      </c>
      <c r="E2681" s="1"/>
    </row>
    <row r="2682" ht="14.25" customHeight="1">
      <c r="A2682" s="1">
        <v>33.0</v>
      </c>
      <c r="B2682" s="1" t="s">
        <v>1049</v>
      </c>
      <c r="C2682" s="1">
        <v>2.0</v>
      </c>
      <c r="D2682" s="2" t="s">
        <v>1186</v>
      </c>
      <c r="E2682" s="1" t="str">
        <f>IFERROR(__xludf.DUMMYFUNCTION("GOOGLETRANSLATE(D2682,""PT"",""EN"")"),"The service I have is pessimal. It seems that I am asking for favor to do operations, and the bank is the one who wins with such operations")</f>
        <v>The service I have is pessimal. It seems that I am asking for favor to do operations, and the bank is the one who wins with such operations</v>
      </c>
    </row>
    <row r="2683" ht="14.25" customHeight="1">
      <c r="A2683" s="1">
        <v>100.0</v>
      </c>
      <c r="B2683" s="1" t="s">
        <v>1049</v>
      </c>
      <c r="C2683" s="1">
        <v>10.0</v>
      </c>
      <c r="D2683" s="1" t="s">
        <v>6</v>
      </c>
      <c r="E2683" s="1"/>
    </row>
    <row r="2684" ht="14.25" customHeight="1">
      <c r="A2684" s="1">
        <v>100.0</v>
      </c>
      <c r="B2684" s="1" t="s">
        <v>1049</v>
      </c>
      <c r="C2684" s="1">
        <v>10.0</v>
      </c>
      <c r="D2684" s="1" t="s">
        <v>1187</v>
      </c>
      <c r="E2684" s="1" t="str">
        <f>IFERROR(__xludf.DUMMYFUNCTION("GOOGLETRANSLATE(D2684,""PT"",""EN"")"),"Security")</f>
        <v>Security</v>
      </c>
    </row>
    <row r="2685" ht="14.25" customHeight="1">
      <c r="A2685" s="1">
        <v>100.0</v>
      </c>
      <c r="B2685" s="1" t="s">
        <v>1049</v>
      </c>
      <c r="C2685" s="1">
        <v>9.0</v>
      </c>
      <c r="D2685" s="1" t="s">
        <v>6</v>
      </c>
      <c r="E2685" s="1"/>
    </row>
    <row r="2686" ht="14.25" customHeight="1">
      <c r="A2686" s="1">
        <v>100.0</v>
      </c>
      <c r="B2686" s="1" t="s">
        <v>1049</v>
      </c>
      <c r="C2686" s="1">
        <v>10.0</v>
      </c>
      <c r="D2686" s="1" t="s">
        <v>22</v>
      </c>
      <c r="E2686" s="1" t="str">
        <f>IFERROR(__xludf.DUMMYFUNCTION("GOOGLETRANSLATE(D2686,""PT"",""EN"")"),"Excellent service")</f>
        <v>Excellent service</v>
      </c>
    </row>
    <row r="2687" ht="14.25" customHeight="1">
      <c r="A2687" s="1">
        <v>100.0</v>
      </c>
      <c r="B2687" s="1" t="s">
        <v>1049</v>
      </c>
      <c r="C2687" s="1">
        <v>10.0</v>
      </c>
      <c r="D2687" s="2" t="s">
        <v>1188</v>
      </c>
      <c r="E2687" s="1" t="str">
        <f>IFERROR(__xludf.DUMMYFUNCTION("GOOGLETRANSLATE(D2687,""PT"",""EN"")"),"Ease, agility is efficiency")</f>
        <v>Ease, agility is efficiency</v>
      </c>
    </row>
    <row r="2688" ht="14.25" customHeight="1">
      <c r="A2688" s="1">
        <v>33.0</v>
      </c>
      <c r="B2688" s="1" t="s">
        <v>1049</v>
      </c>
      <c r="C2688" s="1">
        <v>6.0</v>
      </c>
      <c r="D2688" s="2" t="s">
        <v>1189</v>
      </c>
      <c r="E2688" s="1" t="str">
        <f>IFERROR(__xludf.DUMMYFUNCTION("GOOGLETRANSLATE(D2688,""PT"",""EN"")"),"Bureaucracy when it comes to taking credit.")</f>
        <v>Bureaucracy when it comes to taking credit.</v>
      </c>
    </row>
    <row r="2689" ht="14.25" customHeight="1">
      <c r="A2689" s="1">
        <v>33.0</v>
      </c>
      <c r="B2689" s="1" t="s">
        <v>1049</v>
      </c>
      <c r="C2689" s="1">
        <v>1.0</v>
      </c>
      <c r="D2689" s="1" t="s">
        <v>6</v>
      </c>
      <c r="E2689" s="1"/>
    </row>
    <row r="2690" ht="14.25" customHeight="1">
      <c r="A2690" s="1">
        <v>100.0</v>
      </c>
      <c r="B2690" s="1" t="s">
        <v>1049</v>
      </c>
      <c r="C2690" s="1">
        <v>10.0</v>
      </c>
      <c r="D2690" s="1" t="s">
        <v>1190</v>
      </c>
      <c r="E2690" s="1" t="str">
        <f>IFERROR(__xludf.DUMMYFUNCTION("GOOGLETRANSLATE(D2690,""PT"",""EN"")"),"Very good relationship")</f>
        <v>Very good relationship</v>
      </c>
    </row>
    <row r="2691" ht="14.25" customHeight="1">
      <c r="A2691" s="1">
        <v>100.0</v>
      </c>
      <c r="B2691" s="1" t="s">
        <v>1049</v>
      </c>
      <c r="C2691" s="1">
        <v>10.0</v>
      </c>
      <c r="D2691" s="1" t="s">
        <v>1191</v>
      </c>
      <c r="E2691" s="1" t="str">
        <f>IFERROR(__xludf.DUMMYFUNCTION("GOOGLETRANSLATE(D2691,""PT"",""EN"")"),"I am very pleased with Sicoob")</f>
        <v>I am very pleased with Sicoob</v>
      </c>
    </row>
    <row r="2692" ht="14.25" customHeight="1">
      <c r="A2692" s="1">
        <v>100.0</v>
      </c>
      <c r="B2692" s="1" t="s">
        <v>1049</v>
      </c>
      <c r="C2692" s="1">
        <v>10.0</v>
      </c>
      <c r="D2692" s="1" t="s">
        <v>6</v>
      </c>
      <c r="E2692" s="1"/>
    </row>
    <row r="2693" ht="14.25" customHeight="1">
      <c r="A2693" s="1">
        <v>100.0</v>
      </c>
      <c r="B2693" s="1" t="s">
        <v>1049</v>
      </c>
      <c r="C2693" s="1">
        <v>10.0</v>
      </c>
      <c r="D2693" s="2" t="s">
        <v>1192</v>
      </c>
      <c r="E2693" s="1" t="str">
        <f>IFERROR(__xludf.DUMMYFUNCTION("GOOGLETRANSLATE(D2693,""PT"",""EN"")"),"Agreement in service, attendants show knowledge of the subject. . .")</f>
        <v>Agreement in service, attendants show knowledge of the subject. . .</v>
      </c>
    </row>
    <row r="2694" ht="14.25" customHeight="1">
      <c r="A2694" s="1">
        <v>100.0</v>
      </c>
      <c r="B2694" s="1" t="s">
        <v>1049</v>
      </c>
      <c r="C2694" s="1">
        <v>9.0</v>
      </c>
      <c r="D2694" s="1" t="s">
        <v>6</v>
      </c>
      <c r="E2694" s="1"/>
    </row>
    <row r="2695" ht="14.25" customHeight="1">
      <c r="A2695" s="1">
        <v>100.0</v>
      </c>
      <c r="B2695" s="1" t="s">
        <v>1049</v>
      </c>
      <c r="C2695" s="1">
        <v>10.0</v>
      </c>
      <c r="D2695" s="2" t="s">
        <v>1193</v>
      </c>
      <c r="E2695" s="1" t="str">
        <f>IFERROR(__xludf.DUMMYFUNCTION("GOOGLETRANSLATE(D2695,""PT"",""EN"")"),"The best credit cooperative in Brazil, an excellent range of services.")</f>
        <v>The best credit cooperative in Brazil, an excellent range of services.</v>
      </c>
    </row>
    <row r="2696" ht="14.25" customHeight="1">
      <c r="A2696" s="1">
        <v>33.0</v>
      </c>
      <c r="B2696" s="1" t="s">
        <v>1049</v>
      </c>
      <c r="C2696" s="1">
        <v>2.0</v>
      </c>
      <c r="D2696" s="2" t="s">
        <v>1194</v>
      </c>
      <c r="E2696" s="1" t="str">
        <f>IFERROR(__xludf.DUMMYFUNCTION("GOOGLETRANSLATE(D2696,""PT"",""EN"")"),"Bad to release credit")</f>
        <v>Bad to release credit</v>
      </c>
    </row>
    <row r="2697" ht="14.25" customHeight="1">
      <c r="A2697" s="1">
        <v>100.0</v>
      </c>
      <c r="B2697" s="1" t="s">
        <v>1049</v>
      </c>
      <c r="C2697" s="1">
        <v>10.0</v>
      </c>
      <c r="D2697" s="1" t="s">
        <v>1195</v>
      </c>
      <c r="E2697" s="1" t="str">
        <f>IFERROR(__xludf.DUMMYFUNCTION("GOOGLETRANSLATE(D2697,""PT"",""EN"")"),"More than a financial choice to the Tocantins cooperative!")</f>
        <v>More than a financial choice to the Tocantins cooperative!</v>
      </c>
    </row>
    <row r="2698" ht="14.25" customHeight="1">
      <c r="A2698" s="1">
        <v>100.0</v>
      </c>
      <c r="B2698" s="1" t="s">
        <v>1049</v>
      </c>
      <c r="C2698" s="1">
        <v>10.0</v>
      </c>
      <c r="D2698" s="1" t="s">
        <v>6</v>
      </c>
      <c r="E2698" s="1"/>
    </row>
    <row r="2699" ht="14.25" customHeight="1">
      <c r="A2699" s="1">
        <v>100.0</v>
      </c>
      <c r="B2699" s="1" t="s">
        <v>1049</v>
      </c>
      <c r="C2699" s="1">
        <v>10.0</v>
      </c>
      <c r="D2699" s="1" t="s">
        <v>1196</v>
      </c>
      <c r="E2699" s="1" t="str">
        <f>IFERROR(__xludf.DUMMYFUNCTION("GOOGLETRANSLATE(D2699,""PT"",""EN"")"),"Excellence in the service provided")</f>
        <v>Excellence in the service provided</v>
      </c>
    </row>
    <row r="2700" ht="14.25" customHeight="1">
      <c r="A2700" s="1">
        <v>100.0</v>
      </c>
      <c r="B2700" s="1" t="s">
        <v>1049</v>
      </c>
      <c r="C2700" s="1">
        <v>10.0</v>
      </c>
      <c r="D2700" s="1" t="s">
        <v>1197</v>
      </c>
      <c r="E2700" s="1" t="str">
        <f>IFERROR(__xludf.DUMMYFUNCTION("GOOGLETRANSLATE(D2700,""PT"",""EN"")"),"Because it's a bank I liked 👍🏻")</f>
        <v>Because it's a bank I liked 👍🏻</v>
      </c>
    </row>
    <row r="2701" ht="14.25" customHeight="1">
      <c r="A2701" s="1">
        <v>100.0</v>
      </c>
      <c r="B2701" s="1" t="s">
        <v>1049</v>
      </c>
      <c r="C2701" s="1">
        <v>10.0</v>
      </c>
      <c r="D2701" s="1" t="s">
        <v>1198</v>
      </c>
      <c r="E2701" s="1" t="str">
        <f>IFERROR(__xludf.DUMMYFUNCTION("GOOGLETRANSLATE(D2701,""PT"",""EN"")"),"Team Excellence Work")</f>
        <v>Team Excellence Work</v>
      </c>
    </row>
    <row r="2702" ht="14.25" customHeight="1">
      <c r="A2702" s="1">
        <v>100.0</v>
      </c>
      <c r="B2702" s="1" t="s">
        <v>1049</v>
      </c>
      <c r="C2702" s="1">
        <v>10.0</v>
      </c>
      <c r="D2702" s="1" t="s">
        <v>9</v>
      </c>
      <c r="E2702" s="1" t="str">
        <f>IFERROR(__xludf.DUMMYFUNCTION("GOOGLETRANSLATE(D2702,""PT"",""EN"")"),"10")</f>
        <v>10</v>
      </c>
    </row>
    <row r="2703" ht="14.25" customHeight="1">
      <c r="A2703" s="1">
        <v>66.0</v>
      </c>
      <c r="B2703" s="1" t="s">
        <v>1049</v>
      </c>
      <c r="C2703" s="1">
        <v>8.0</v>
      </c>
      <c r="D2703" s="2" t="s">
        <v>1199</v>
      </c>
      <c r="E2703" s="1" t="str">
        <f>IFERROR(__xludf.DUMMYFUNCTION("GOOGLETRANSLATE(D2703,""PT"",""EN"")"),"I am a client for several years is when I need a loan is a damned bureaucracy.")</f>
        <v>I am a client for several years is when I need a loan is a damned bureaucracy.</v>
      </c>
    </row>
    <row r="2704" ht="14.25" customHeight="1">
      <c r="A2704" s="1">
        <v>100.0</v>
      </c>
      <c r="B2704" s="1" t="s">
        <v>1049</v>
      </c>
      <c r="C2704" s="1">
        <v>10.0</v>
      </c>
      <c r="D2704" s="1" t="s">
        <v>6</v>
      </c>
      <c r="E2704" s="1"/>
    </row>
    <row r="2705" ht="14.25" customHeight="1">
      <c r="A2705" s="1">
        <v>33.0</v>
      </c>
      <c r="B2705" s="1" t="s">
        <v>1049</v>
      </c>
      <c r="C2705" s="1">
        <v>0.0</v>
      </c>
      <c r="D2705" s="2" t="s">
        <v>1200</v>
      </c>
      <c r="E2705" s="1" t="str">
        <f>IFERROR(__xludf.DUMMYFUNCTION("GOOGLETRANSLATE(D2705,""PT"",""EN"")"),"Every process is very slow is bureaucratic, it hinders the planning of a company too much. Lack of technical knowledge of cooperative employees.")</f>
        <v>Every process is very slow is bureaucratic, it hinders the planning of a company too much. Lack of technical knowledge of cooperative employees.</v>
      </c>
    </row>
    <row r="2706" ht="14.25" customHeight="1">
      <c r="A2706" s="1">
        <v>66.0</v>
      </c>
      <c r="B2706" s="1" t="s">
        <v>1049</v>
      </c>
      <c r="C2706" s="1">
        <v>7.0</v>
      </c>
      <c r="D2706" s="1" t="s">
        <v>6</v>
      </c>
      <c r="E2706" s="1"/>
    </row>
    <row r="2707" ht="14.25" customHeight="1">
      <c r="A2707" s="1">
        <v>100.0</v>
      </c>
      <c r="B2707" s="1" t="s">
        <v>1049</v>
      </c>
      <c r="C2707" s="1">
        <v>10.0</v>
      </c>
      <c r="D2707" s="1" t="s">
        <v>1201</v>
      </c>
      <c r="E2707" s="1" t="str">
        <f>IFERROR(__xludf.DUMMYFUNCTION("GOOGLETRANSLATE(D2707,""PT"",""EN"")"),"Service of my account manager.")</f>
        <v>Service of my account manager.</v>
      </c>
    </row>
    <row r="2708" ht="14.25" customHeight="1">
      <c r="A2708" s="1">
        <v>100.0</v>
      </c>
      <c r="B2708" s="1" t="s">
        <v>1049</v>
      </c>
      <c r="C2708" s="1">
        <v>10.0</v>
      </c>
      <c r="D2708" s="1" t="s">
        <v>37</v>
      </c>
      <c r="E2708" s="1" t="str">
        <f>IFERROR(__xludf.DUMMYFUNCTION("GOOGLETRANSLATE(D2708,""PT"",""EN"")"),"Great service")</f>
        <v>Great service</v>
      </c>
    </row>
    <row r="2709" ht="14.25" customHeight="1">
      <c r="A2709" s="1">
        <v>33.0</v>
      </c>
      <c r="B2709" s="1" t="s">
        <v>1049</v>
      </c>
      <c r="C2709" s="1">
        <v>0.0</v>
      </c>
      <c r="D2709" s="1" t="s">
        <v>6</v>
      </c>
      <c r="E2709" s="1"/>
    </row>
    <row r="2710" ht="14.25" customHeight="1">
      <c r="A2710" s="1">
        <v>100.0</v>
      </c>
      <c r="B2710" s="1" t="s">
        <v>1049</v>
      </c>
      <c r="C2710" s="1">
        <v>10.0</v>
      </c>
      <c r="D2710" s="1" t="s">
        <v>1202</v>
      </c>
      <c r="E2710" s="1" t="str">
        <f>IFERROR(__xludf.DUMMYFUNCTION("GOOGLETRANSLATE(D2710,""PT"",""EN"")"),"Very good relationship")</f>
        <v>Very good relationship</v>
      </c>
    </row>
    <row r="2711" ht="14.25" customHeight="1">
      <c r="A2711" s="1">
        <v>33.0</v>
      </c>
      <c r="B2711" s="1" t="s">
        <v>1049</v>
      </c>
      <c r="C2711" s="1">
        <v>0.0</v>
      </c>
      <c r="D2711" s="1" t="s">
        <v>1203</v>
      </c>
      <c r="E2711" s="1" t="str">
        <f>IFERROR(__xludf.DUMMYFUNCTION("GOOGLETRANSLATE(D2711,""PT"",""EN"")"),"I was fired without justification")</f>
        <v>I was fired without justification</v>
      </c>
    </row>
    <row r="2712" ht="14.25" customHeight="1">
      <c r="A2712" s="1">
        <v>100.0</v>
      </c>
      <c r="B2712" s="1" t="s">
        <v>1204</v>
      </c>
      <c r="C2712" s="1">
        <v>10.0</v>
      </c>
      <c r="D2712" s="1" t="s">
        <v>1205</v>
      </c>
      <c r="E2712" s="1" t="str">
        <f>IFERROR(__xludf.DUMMYFUNCTION("GOOGLETRANSLATE(D2712,""PT"",""EN"")"),"Good service")</f>
        <v>Good service</v>
      </c>
    </row>
    <row r="2713" ht="14.25" customHeight="1">
      <c r="A2713" s="1">
        <v>33.0</v>
      </c>
      <c r="B2713" s="1" t="s">
        <v>1049</v>
      </c>
      <c r="C2713" s="1">
        <v>0.0</v>
      </c>
      <c r="D2713" s="1" t="s">
        <v>1206</v>
      </c>
      <c r="E2713" s="1" t="str">
        <f>IFERROR(__xludf.DUMMYFUNCTION("GOOGLETRANSLATE(D2713,""PT"",""EN"")"),"Omission of information")</f>
        <v>Omission of information</v>
      </c>
    </row>
    <row r="2714" ht="14.25" customHeight="1">
      <c r="A2714" s="1">
        <v>100.0</v>
      </c>
      <c r="B2714" s="1" t="s">
        <v>1204</v>
      </c>
      <c r="C2714" s="1">
        <v>10.0</v>
      </c>
      <c r="D2714" s="1" t="s">
        <v>276</v>
      </c>
      <c r="E2714" s="1" t="str">
        <f>IFERROR(__xludf.DUMMYFUNCTION("GOOGLETRANSLATE(D2714,""PT"",""EN"")"),"Very good service")</f>
        <v>Very good service</v>
      </c>
    </row>
    <row r="2715" ht="14.25" customHeight="1">
      <c r="A2715" s="1">
        <v>100.0</v>
      </c>
      <c r="B2715" s="1" t="s">
        <v>1204</v>
      </c>
      <c r="C2715" s="1">
        <v>9.0</v>
      </c>
      <c r="D2715" s="1" t="s">
        <v>6</v>
      </c>
      <c r="E2715" s="1"/>
    </row>
    <row r="2716" ht="14.25" customHeight="1">
      <c r="A2716" s="1">
        <v>66.0</v>
      </c>
      <c r="B2716" s="1" t="s">
        <v>1204</v>
      </c>
      <c r="C2716" s="1">
        <v>7.0</v>
      </c>
      <c r="D2716" s="1" t="s">
        <v>1207</v>
      </c>
      <c r="E2716" s="1" t="str">
        <f>IFERROR(__xludf.DUMMYFUNCTION("GOOGLETRANSLATE(D2716,""PT"",""EN"")"),"Good morning, I have little customer time, for now I'm satisfied. Thanks")</f>
        <v>Good morning, I have little customer time, for now I'm satisfied. Thanks</v>
      </c>
    </row>
    <row r="2717" ht="14.25" customHeight="1">
      <c r="A2717" s="1">
        <v>66.0</v>
      </c>
      <c r="B2717" s="1" t="s">
        <v>1204</v>
      </c>
      <c r="C2717" s="1">
        <v>7.0</v>
      </c>
      <c r="D2717" s="1" t="s">
        <v>6</v>
      </c>
      <c r="E2717" s="1"/>
    </row>
    <row r="2718" ht="14.25" customHeight="1">
      <c r="A2718" s="1">
        <v>100.0</v>
      </c>
      <c r="B2718" s="1" t="s">
        <v>1204</v>
      </c>
      <c r="C2718" s="1">
        <v>10.0</v>
      </c>
      <c r="D2718" s="1" t="s">
        <v>45</v>
      </c>
      <c r="E2718" s="1" t="str">
        <f>IFERROR(__xludf.DUMMYFUNCTION("GOOGLETRANSLATE(D2718,""PT"",""EN"")"),"Excellent service")</f>
        <v>Excellent service</v>
      </c>
    </row>
    <row r="2719" ht="14.25" customHeight="1">
      <c r="A2719" s="1">
        <v>66.0</v>
      </c>
      <c r="B2719" s="1" t="s">
        <v>1204</v>
      </c>
      <c r="C2719" s="1">
        <v>8.0</v>
      </c>
      <c r="D2719" s="1" t="s">
        <v>6</v>
      </c>
      <c r="E2719" s="1"/>
    </row>
    <row r="2720" ht="14.25" customHeight="1">
      <c r="A2720" s="1">
        <v>100.0</v>
      </c>
      <c r="B2720" s="1" t="s">
        <v>1204</v>
      </c>
      <c r="C2720" s="1">
        <v>10.0</v>
      </c>
      <c r="D2720" s="1" t="s">
        <v>6</v>
      </c>
      <c r="E2720" s="1"/>
    </row>
    <row r="2721" ht="14.25" customHeight="1">
      <c r="A2721" s="1">
        <v>100.0</v>
      </c>
      <c r="B2721" s="1" t="s">
        <v>1204</v>
      </c>
      <c r="C2721" s="1">
        <v>10.0</v>
      </c>
      <c r="D2721" s="1" t="s">
        <v>6</v>
      </c>
      <c r="E2721" s="1"/>
    </row>
    <row r="2722" ht="14.25" customHeight="1">
      <c r="A2722" s="1">
        <v>33.0</v>
      </c>
      <c r="B2722" s="1" t="s">
        <v>1204</v>
      </c>
      <c r="C2722" s="1">
        <v>5.0</v>
      </c>
      <c r="D2722" s="1" t="s">
        <v>6</v>
      </c>
      <c r="E2722" s="1"/>
    </row>
    <row r="2723" ht="14.25" customHeight="1">
      <c r="A2723" s="1">
        <v>100.0</v>
      </c>
      <c r="B2723" s="1" t="s">
        <v>1204</v>
      </c>
      <c r="C2723" s="1">
        <v>10.0</v>
      </c>
      <c r="D2723" s="1" t="s">
        <v>1208</v>
      </c>
      <c r="E2723" s="1" t="str">
        <f>IFERROR(__xludf.DUMMYFUNCTION("GOOGLETRANSLATE(D2723,""PT"",""EN"")"),"Good service makes all the difference")</f>
        <v>Good service makes all the difference</v>
      </c>
    </row>
    <row r="2724" ht="14.25" customHeight="1">
      <c r="A2724" s="1">
        <v>66.0</v>
      </c>
      <c r="B2724" s="1" t="s">
        <v>1204</v>
      </c>
      <c r="C2724" s="1">
        <v>8.0</v>
      </c>
      <c r="D2724" s="1" t="s">
        <v>1209</v>
      </c>
      <c r="E2724" s="1" t="str">
        <f>IFERROR(__xludf.DUMMYFUNCTION("GOOGLETRANSLATE(D2724,""PT"",""EN"")"),"He is a good cooperative bank")</f>
        <v>He is a good cooperative bank</v>
      </c>
    </row>
    <row r="2725" ht="14.25" customHeight="1">
      <c r="A2725" s="1">
        <v>100.0</v>
      </c>
      <c r="B2725" s="1" t="s">
        <v>1204</v>
      </c>
      <c r="C2725" s="1">
        <v>10.0</v>
      </c>
      <c r="D2725" s="2" t="s">
        <v>1210</v>
      </c>
      <c r="E2725" s="1" t="str">
        <f>IFERROR(__xludf.DUMMYFUNCTION("GOOGLETRANSLATE(D2725,""PT"",""EN"")"),"The treatment I have from the employees is mainly from the manager is perfect! I never saw in another bank.")</f>
        <v>The treatment I have from the employees is mainly from the manager is perfect! I never saw in another bank.</v>
      </c>
    </row>
    <row r="2726" ht="14.25" customHeight="1">
      <c r="A2726" s="1">
        <v>100.0</v>
      </c>
      <c r="B2726" s="1" t="s">
        <v>1204</v>
      </c>
      <c r="C2726" s="1">
        <v>9.0</v>
      </c>
      <c r="D2726" s="2" t="s">
        <v>85</v>
      </c>
      <c r="E2726" s="1" t="str">
        <f>IFERROR(__xludf.DUMMYFUNCTION("GOOGLETRANSLATE(D2726,""PT"",""EN"")"),"Service")</f>
        <v>Service</v>
      </c>
    </row>
    <row r="2727" ht="14.25" customHeight="1">
      <c r="A2727" s="1">
        <v>100.0</v>
      </c>
      <c r="B2727" s="1" t="s">
        <v>1204</v>
      </c>
      <c r="C2727" s="1">
        <v>10.0</v>
      </c>
      <c r="D2727" s="1" t="s">
        <v>1211</v>
      </c>
      <c r="E2727" s="1" t="str">
        <f>IFERROR(__xludf.DUMMYFUNCTION("GOOGLETRANSLATE(D2727,""PT"",""EN"")"),"All very well")</f>
        <v>All very well</v>
      </c>
    </row>
    <row r="2728" ht="14.25" customHeight="1">
      <c r="A2728" s="1">
        <v>66.0</v>
      </c>
      <c r="B2728" s="1" t="s">
        <v>1204</v>
      </c>
      <c r="C2728" s="1">
        <v>7.0</v>
      </c>
      <c r="D2728" s="1" t="s">
        <v>6</v>
      </c>
      <c r="E2728" s="1"/>
    </row>
    <row r="2729" ht="14.25" customHeight="1">
      <c r="A2729" s="1">
        <v>100.0</v>
      </c>
      <c r="B2729" s="1" t="s">
        <v>1204</v>
      </c>
      <c r="C2729" s="1">
        <v>9.0</v>
      </c>
      <c r="D2729" s="1" t="s">
        <v>6</v>
      </c>
      <c r="E2729" s="1"/>
    </row>
    <row r="2730" ht="14.25" customHeight="1">
      <c r="A2730" s="1">
        <v>100.0</v>
      </c>
      <c r="B2730" s="1" t="s">
        <v>1204</v>
      </c>
      <c r="C2730" s="1">
        <v>10.0</v>
      </c>
      <c r="D2730" s="1" t="s">
        <v>1212</v>
      </c>
      <c r="E2730" s="1" t="str">
        <f>IFERROR(__xludf.DUMMYFUNCTION("GOOGLETRANSLATE(D2730,""PT"",""EN"")"),"Personal attendance")</f>
        <v>Personal attendance</v>
      </c>
    </row>
    <row r="2731" ht="14.25" customHeight="1">
      <c r="A2731" s="1">
        <v>100.0</v>
      </c>
      <c r="B2731" s="1" t="s">
        <v>1204</v>
      </c>
      <c r="C2731" s="1">
        <v>10.0</v>
      </c>
      <c r="D2731" s="1" t="s">
        <v>6</v>
      </c>
      <c r="E2731" s="1"/>
    </row>
    <row r="2732" ht="14.25" customHeight="1">
      <c r="A2732" s="1">
        <v>100.0</v>
      </c>
      <c r="B2732" s="1" t="s">
        <v>1204</v>
      </c>
      <c r="C2732" s="1">
        <v>9.0</v>
      </c>
      <c r="D2732" s="1" t="s">
        <v>6</v>
      </c>
      <c r="E2732" s="1"/>
    </row>
    <row r="2733" ht="14.25" customHeight="1">
      <c r="A2733" s="1">
        <v>100.0</v>
      </c>
      <c r="B2733" s="1" t="s">
        <v>1204</v>
      </c>
      <c r="C2733" s="1">
        <v>10.0</v>
      </c>
      <c r="D2733" s="1" t="s">
        <v>6</v>
      </c>
      <c r="E2733" s="1"/>
    </row>
    <row r="2734" ht="14.25" customHeight="1">
      <c r="A2734" s="1">
        <v>100.0</v>
      </c>
      <c r="B2734" s="1" t="s">
        <v>1204</v>
      </c>
      <c r="C2734" s="1">
        <v>10.0</v>
      </c>
      <c r="D2734" s="1" t="s">
        <v>6</v>
      </c>
      <c r="E2734" s="1"/>
    </row>
    <row r="2735" ht="14.25" customHeight="1">
      <c r="A2735" s="1">
        <v>100.0</v>
      </c>
      <c r="B2735" s="1" t="s">
        <v>1204</v>
      </c>
      <c r="C2735" s="1">
        <v>10.0</v>
      </c>
      <c r="D2735" s="1" t="s">
        <v>62</v>
      </c>
      <c r="E2735" s="1" t="str">
        <f>IFERROR(__xludf.DUMMYFUNCTION("GOOGLETRANSLATE(D2735,""PT"",""EN"")"),"Good service")</f>
        <v>Good service</v>
      </c>
    </row>
    <row r="2736" ht="14.25" customHeight="1">
      <c r="A2736" s="1">
        <v>100.0</v>
      </c>
      <c r="B2736" s="1" t="s">
        <v>1204</v>
      </c>
      <c r="C2736" s="1">
        <v>10.0</v>
      </c>
      <c r="D2736" s="1" t="s">
        <v>1213</v>
      </c>
      <c r="E2736" s="1" t="str">
        <f>IFERROR(__xludf.DUMMYFUNCTION("GOOGLETRANSLATE(D2736,""PT"",""EN"")"),"The sincerity of operations. Service with promptness")</f>
        <v>The sincerity of operations. Service with promptness</v>
      </c>
    </row>
    <row r="2737" ht="14.25" customHeight="1">
      <c r="A2737" s="1">
        <v>100.0</v>
      </c>
      <c r="B2737" s="1" t="s">
        <v>1204</v>
      </c>
      <c r="C2737" s="1">
        <v>10.0</v>
      </c>
      <c r="D2737" s="1" t="s">
        <v>6</v>
      </c>
      <c r="E2737" s="1"/>
    </row>
    <row r="2738" ht="14.25" customHeight="1">
      <c r="A2738" s="1">
        <v>100.0</v>
      </c>
      <c r="B2738" s="1" t="s">
        <v>1204</v>
      </c>
      <c r="C2738" s="1">
        <v>10.0</v>
      </c>
      <c r="D2738" s="2" t="s">
        <v>1214</v>
      </c>
      <c r="E2738" s="1" t="str">
        <f>IFERROR(__xludf.DUMMYFUNCTION("GOOGLETRANSLATE(D2738,""PT"",""EN"")"),"Promptness is attention with the cooperative!")</f>
        <v>Promptness is attention with the cooperative!</v>
      </c>
    </row>
    <row r="2739" ht="14.25" customHeight="1">
      <c r="A2739" s="1">
        <v>100.0</v>
      </c>
      <c r="B2739" s="1" t="s">
        <v>1204</v>
      </c>
      <c r="C2739" s="1">
        <v>10.0</v>
      </c>
      <c r="D2739" s="1" t="s">
        <v>6</v>
      </c>
      <c r="E2739" s="1"/>
    </row>
    <row r="2740" ht="14.25" customHeight="1">
      <c r="A2740" s="1">
        <v>66.0</v>
      </c>
      <c r="B2740" s="1" t="s">
        <v>1204</v>
      </c>
      <c r="C2740" s="1">
        <v>8.0</v>
      </c>
      <c r="D2740" s="1" t="s">
        <v>1215</v>
      </c>
      <c r="E2740" s="1" t="str">
        <f>IFERROR(__xludf.DUMMYFUNCTION("GOOGLETRANSLATE(D2740,""PT"",""EN"")"),"Accessibility, Cooperative Bank")</f>
        <v>Accessibility, Cooperative Bank</v>
      </c>
    </row>
    <row r="2741" ht="14.25" customHeight="1">
      <c r="A2741" s="1">
        <v>66.0</v>
      </c>
      <c r="B2741" s="1" t="s">
        <v>1204</v>
      </c>
      <c r="C2741" s="1">
        <v>7.0</v>
      </c>
      <c r="D2741" s="1" t="s">
        <v>85</v>
      </c>
      <c r="E2741" s="1" t="str">
        <f>IFERROR(__xludf.DUMMYFUNCTION("GOOGLETRANSLATE(D2741,""PT"",""EN"")"),"Service")</f>
        <v>Service</v>
      </c>
    </row>
    <row r="2742" ht="14.25" customHeight="1">
      <c r="A2742" s="1">
        <v>100.0</v>
      </c>
      <c r="B2742" s="1" t="s">
        <v>1204</v>
      </c>
      <c r="C2742" s="1">
        <v>10.0</v>
      </c>
      <c r="D2742" s="1" t="s">
        <v>1216</v>
      </c>
      <c r="E2742" s="1" t="str">
        <f>IFERROR(__xludf.DUMMYFUNCTION("GOOGLETRANSLATE(D2742,""PT"",""EN"")"),"For good service")</f>
        <v>For good service</v>
      </c>
    </row>
    <row r="2743" ht="14.25" customHeight="1">
      <c r="A2743" s="1">
        <v>33.0</v>
      </c>
      <c r="B2743" s="1" t="s">
        <v>1204</v>
      </c>
      <c r="C2743" s="1">
        <v>5.0</v>
      </c>
      <c r="D2743" s="1" t="s">
        <v>1217</v>
      </c>
      <c r="E2743" s="1" t="str">
        <f>IFERROR(__xludf.DUMMYFUNCTION("GOOGLETRANSLATE(D2743,""PT"",""EN"")"),"Few benefits")</f>
        <v>Few benefits</v>
      </c>
    </row>
    <row r="2744" ht="14.25" customHeight="1">
      <c r="A2744" s="1">
        <v>100.0</v>
      </c>
      <c r="B2744" s="1" t="s">
        <v>1204</v>
      </c>
      <c r="C2744" s="1">
        <v>10.0</v>
      </c>
      <c r="D2744" s="1" t="s">
        <v>6</v>
      </c>
      <c r="E2744" s="1"/>
    </row>
    <row r="2745" ht="14.25" customHeight="1">
      <c r="A2745" s="1">
        <v>33.0</v>
      </c>
      <c r="B2745" s="1" t="s">
        <v>1204</v>
      </c>
      <c r="C2745" s="1">
        <v>0.0</v>
      </c>
      <c r="D2745" s="1" t="s">
        <v>1218</v>
      </c>
      <c r="E2745" s="1" t="str">
        <f>IFERROR(__xludf.DUMMYFUNCTION("GOOGLETRANSLATE(D2745,""PT"",""EN"")"),"Lack of willpower")</f>
        <v>Lack of willpower</v>
      </c>
    </row>
    <row r="2746" ht="14.25" customHeight="1">
      <c r="A2746" s="1">
        <v>33.0</v>
      </c>
      <c r="B2746" s="1" t="s">
        <v>1204</v>
      </c>
      <c r="C2746" s="1">
        <v>4.0</v>
      </c>
      <c r="D2746" s="1" t="s">
        <v>6</v>
      </c>
      <c r="E2746" s="1"/>
    </row>
    <row r="2747" ht="14.25" customHeight="1">
      <c r="A2747" s="1">
        <v>100.0</v>
      </c>
      <c r="B2747" s="1" t="s">
        <v>1204</v>
      </c>
      <c r="C2747" s="1">
        <v>10.0</v>
      </c>
      <c r="D2747" s="1" t="s">
        <v>6</v>
      </c>
      <c r="E2747" s="1"/>
    </row>
    <row r="2748" ht="14.25" customHeight="1">
      <c r="A2748" s="1">
        <v>33.0</v>
      </c>
      <c r="B2748" s="1" t="s">
        <v>1204</v>
      </c>
      <c r="C2748" s="1">
        <v>0.0</v>
      </c>
      <c r="D2748" s="2" t="s">
        <v>1219</v>
      </c>
      <c r="E2748" s="1" t="str">
        <f>IFERROR(__xludf.DUMMYFUNCTION("GOOGLETRANSLATE(D2748,""PT"",""EN"")"),"How am I going to indicate a bank that still doesn't give me my card? already has 7 meis that has not arrived yet")</f>
        <v>How am I going to indicate a bank that still doesn't give me my card? already has 7 meis that has not arrived yet</v>
      </c>
    </row>
    <row r="2749" ht="14.25" customHeight="1">
      <c r="A2749" s="1">
        <v>100.0</v>
      </c>
      <c r="B2749" s="1" t="s">
        <v>1204</v>
      </c>
      <c r="C2749" s="1">
        <v>10.0</v>
      </c>
      <c r="D2749" s="2" t="s">
        <v>1220</v>
      </c>
      <c r="E2749" s="1" t="str">
        <f>IFERROR(__xludf.DUMMYFUNCTION("GOOGLETRANSLATE(D2749,""PT"",""EN"")"),"Great relationship.")</f>
        <v>Great relationship.</v>
      </c>
    </row>
    <row r="2750" ht="14.25" customHeight="1">
      <c r="A2750" s="1">
        <v>100.0</v>
      </c>
      <c r="B2750" s="1" t="s">
        <v>1204</v>
      </c>
      <c r="C2750" s="1">
        <v>10.0</v>
      </c>
      <c r="D2750" s="1" t="s">
        <v>6</v>
      </c>
      <c r="E2750" s="1"/>
    </row>
    <row r="2751" ht="14.25" customHeight="1">
      <c r="A2751" s="1">
        <v>100.0</v>
      </c>
      <c r="B2751" s="1" t="s">
        <v>1204</v>
      </c>
      <c r="C2751" s="1">
        <v>10.0</v>
      </c>
      <c r="D2751" s="1" t="s">
        <v>37</v>
      </c>
      <c r="E2751" s="1" t="str">
        <f>IFERROR(__xludf.DUMMYFUNCTION("GOOGLETRANSLATE(D2751,""PT"",""EN"")"),"Great service")</f>
        <v>Great service</v>
      </c>
    </row>
    <row r="2752" ht="14.25" customHeight="1">
      <c r="A2752" s="1">
        <v>66.0</v>
      </c>
      <c r="B2752" s="1" t="s">
        <v>1204</v>
      </c>
      <c r="C2752" s="1">
        <v>7.0</v>
      </c>
      <c r="D2752" s="2" t="s">
        <v>1221</v>
      </c>
      <c r="E2752" s="1" t="str">
        <f>IFERROR(__xludf.DUMMYFUNCTION("GOOGLETRANSLATE(D2752,""PT"",""EN"")"),"I don't want to go into detail.")</f>
        <v>I don't want to go into detail.</v>
      </c>
    </row>
    <row r="2753" ht="14.25" customHeight="1">
      <c r="A2753" s="1">
        <v>100.0</v>
      </c>
      <c r="B2753" s="1" t="s">
        <v>1204</v>
      </c>
      <c r="C2753" s="1">
        <v>10.0</v>
      </c>
      <c r="D2753" s="2" t="s">
        <v>1222</v>
      </c>
      <c r="E2753" s="1" t="str">
        <f>IFERROR(__xludf.DUMMYFUNCTION("GOOGLETRANSLATE(D2753,""PT"",""EN"")"),"Ease in the application, fast service is efficient, less bureaucracy.")</f>
        <v>Ease in the application, fast service is efficient, less bureaucracy.</v>
      </c>
    </row>
    <row r="2754" ht="14.25" customHeight="1">
      <c r="A2754" s="1">
        <v>100.0</v>
      </c>
      <c r="B2754" s="1" t="s">
        <v>1204</v>
      </c>
      <c r="C2754" s="1">
        <v>10.0</v>
      </c>
      <c r="D2754" s="1" t="s">
        <v>1223</v>
      </c>
      <c r="E2754" s="1" t="str">
        <f>IFERROR(__xludf.DUMMYFUNCTION("GOOGLETRANSLATE(D2754,""PT"",""EN"")"),"Cheaper rates, differentiated service.")</f>
        <v>Cheaper rates, differentiated service.</v>
      </c>
    </row>
    <row r="2755" ht="14.25" customHeight="1">
      <c r="A2755" s="1">
        <v>100.0</v>
      </c>
      <c r="B2755" s="1" t="s">
        <v>1204</v>
      </c>
      <c r="C2755" s="1">
        <v>10.0</v>
      </c>
      <c r="D2755" s="1" t="s">
        <v>1224</v>
      </c>
      <c r="E2755" s="1" t="str">
        <f>IFERROR(__xludf.DUMMYFUNCTION("GOOGLETRANSLATE(D2755,""PT"",""EN"")"),"Very good treatment, all very attentive")</f>
        <v>Very good treatment, all very attentive</v>
      </c>
    </row>
    <row r="2756" ht="14.25" customHeight="1">
      <c r="A2756" s="1">
        <v>66.0</v>
      </c>
      <c r="B2756" s="1" t="s">
        <v>1204</v>
      </c>
      <c r="C2756" s="1">
        <v>7.0</v>
      </c>
      <c r="D2756" s="1" t="s">
        <v>6</v>
      </c>
      <c r="E2756" s="1"/>
    </row>
    <row r="2757" ht="14.25" customHeight="1">
      <c r="A2757" s="1">
        <v>100.0</v>
      </c>
      <c r="B2757" s="1" t="s">
        <v>1204</v>
      </c>
      <c r="C2757" s="1">
        <v>10.0</v>
      </c>
      <c r="D2757" s="1" t="s">
        <v>6</v>
      </c>
      <c r="E2757" s="1"/>
    </row>
    <row r="2758" ht="14.25" customHeight="1">
      <c r="A2758" s="1">
        <v>100.0</v>
      </c>
      <c r="B2758" s="1" t="s">
        <v>1204</v>
      </c>
      <c r="C2758" s="1">
        <v>9.0</v>
      </c>
      <c r="D2758" s="1" t="s">
        <v>1225</v>
      </c>
      <c r="E2758" s="1" t="str">
        <f>IFERROR(__xludf.DUMMYFUNCTION("GOOGLETRANSLATE(D2758,""PT"",""EN"")"),"An excellent financial institution")</f>
        <v>An excellent financial institution</v>
      </c>
    </row>
    <row r="2759" ht="14.25" customHeight="1">
      <c r="A2759" s="1">
        <v>100.0</v>
      </c>
      <c r="B2759" s="1" t="s">
        <v>1204</v>
      </c>
      <c r="C2759" s="1">
        <v>9.0</v>
      </c>
      <c r="D2759" s="1" t="s">
        <v>6</v>
      </c>
      <c r="E2759" s="1"/>
    </row>
    <row r="2760" ht="14.25" customHeight="1">
      <c r="A2760" s="1">
        <v>100.0</v>
      </c>
      <c r="B2760" s="1" t="s">
        <v>1204</v>
      </c>
      <c r="C2760" s="1">
        <v>10.0</v>
      </c>
      <c r="D2760" s="1" t="s">
        <v>1226</v>
      </c>
      <c r="E2760" s="1" t="str">
        <f>IFERROR(__xludf.DUMMYFUNCTION("GOOGLETRANSLATE(D2760,""PT"",""EN"")"),"With the agency")</f>
        <v>With the agency</v>
      </c>
    </row>
    <row r="2761" ht="14.25" customHeight="1">
      <c r="A2761" s="1">
        <v>100.0</v>
      </c>
      <c r="B2761" s="1" t="s">
        <v>1204</v>
      </c>
      <c r="C2761" s="1">
        <v>10.0</v>
      </c>
      <c r="D2761" s="1" t="s">
        <v>1227</v>
      </c>
      <c r="E2761" s="1" t="str">
        <f>IFERROR(__xludf.DUMMYFUNCTION("GOOGLETRANSLATE(D2761,""PT"",""EN"")"),"Good morning. Excellent service!")</f>
        <v>Good morning. Excellent service!</v>
      </c>
    </row>
    <row r="2762" ht="14.25" customHeight="1">
      <c r="A2762" s="1">
        <v>100.0</v>
      </c>
      <c r="B2762" s="1" t="s">
        <v>1204</v>
      </c>
      <c r="C2762" s="1">
        <v>10.0</v>
      </c>
      <c r="D2762" s="1" t="s">
        <v>6</v>
      </c>
      <c r="E2762" s="1"/>
    </row>
    <row r="2763" ht="14.25" customHeight="1">
      <c r="A2763" s="1">
        <v>100.0</v>
      </c>
      <c r="B2763" s="1" t="s">
        <v>1204</v>
      </c>
      <c r="C2763" s="1">
        <v>10.0</v>
      </c>
      <c r="D2763" s="2" t="s">
        <v>1228</v>
      </c>
      <c r="E2763" s="1" t="str">
        <f>IFERROR(__xludf.DUMMYFUNCTION("GOOGLETRANSLATE(D2763,""PT"",""EN"")"),"I am cooperated Sicoob Cerrado. I feel so important is welcomed when I go to the agency or if I need something, from the boxes, which are presented by the name, very siminly, Cassio is Wender, to Hellen Management, which makes no effort to speed my needs."&amp;" I am delighted by the practicality of solving things even by message. Sicooba is certainly my bench of the heart.")</f>
        <v>I am cooperated Sicoob Cerrado. I feel so important is welcomed when I go to the agency or if I need something, from the boxes, which are presented by the name, very siminly, Cassio is Wender, to Hellen Management, which makes no effort to speed my needs. I am delighted by the practicality of solving things even by message. Sicooba is certainly my bench of the heart.</v>
      </c>
    </row>
    <row r="2764" ht="14.25" customHeight="1">
      <c r="A2764" s="1">
        <v>33.0</v>
      </c>
      <c r="B2764" s="1" t="s">
        <v>1204</v>
      </c>
      <c r="C2764" s="1">
        <v>0.0</v>
      </c>
      <c r="D2764" s="1" t="s">
        <v>6</v>
      </c>
      <c r="E2764" s="1"/>
    </row>
    <row r="2765" ht="14.25" customHeight="1">
      <c r="A2765" s="1">
        <v>100.0</v>
      </c>
      <c r="B2765" s="1" t="s">
        <v>1204</v>
      </c>
      <c r="C2765" s="1">
        <v>10.0</v>
      </c>
      <c r="D2765" s="2" t="s">
        <v>1229</v>
      </c>
      <c r="E2765" s="1" t="str">
        <f>IFERROR(__xludf.DUMMYFUNCTION("GOOGLETRANSLATE(D2765,""PT"",""EN"")"),"Helpful employees. Every time I look for the unit, I am well received is resolving my pending issues.")</f>
        <v>Helpful employees. Every time I look for the unit, I am well received is resolving my pending issues.</v>
      </c>
    </row>
    <row r="2766" ht="14.25" customHeight="1">
      <c r="A2766" s="1">
        <v>100.0</v>
      </c>
      <c r="B2766" s="1" t="s">
        <v>1204</v>
      </c>
      <c r="C2766" s="1">
        <v>10.0</v>
      </c>
      <c r="D2766" s="1" t="s">
        <v>1230</v>
      </c>
      <c r="E2766" s="1" t="str">
        <f>IFERROR(__xludf.DUMMYFUNCTION("GOOGLETRANSLATE(D2766,""PT"",""EN"")"),"A bank with great service")</f>
        <v>A bank with great service</v>
      </c>
    </row>
    <row r="2767" ht="14.25" customHeight="1">
      <c r="A2767" s="1">
        <v>100.0</v>
      </c>
      <c r="B2767" s="1" t="s">
        <v>1204</v>
      </c>
      <c r="C2767" s="1">
        <v>10.0</v>
      </c>
      <c r="D2767" s="2" t="s">
        <v>1231</v>
      </c>
      <c r="E2767" s="1" t="str">
        <f>IFERROR(__xludf.DUMMYFUNCTION("GOOGLETRANSLATE(D2767,""PT"",""EN"")"),"I know Sicoob well is therefore recommend")</f>
        <v>I know Sicoob well is therefore recommend</v>
      </c>
    </row>
    <row r="2768" ht="14.25" customHeight="1">
      <c r="A2768" s="1">
        <v>100.0</v>
      </c>
      <c r="B2768" s="1" t="s">
        <v>1204</v>
      </c>
      <c r="C2768" s="1">
        <v>10.0</v>
      </c>
      <c r="D2768" s="1" t="s">
        <v>6</v>
      </c>
      <c r="E2768" s="1"/>
    </row>
    <row r="2769" ht="14.25" customHeight="1">
      <c r="A2769" s="1">
        <v>100.0</v>
      </c>
      <c r="B2769" s="1" t="s">
        <v>1204</v>
      </c>
      <c r="C2769" s="1">
        <v>10.0</v>
      </c>
      <c r="D2769" s="1" t="s">
        <v>190</v>
      </c>
      <c r="E2769" s="1" t="str">
        <f>IFERROR(__xludf.DUMMYFUNCTION("GOOGLETRANSLATE(D2769,""PT"",""EN"")"),"Agility")</f>
        <v>Agility</v>
      </c>
    </row>
    <row r="2770" ht="14.25" customHeight="1">
      <c r="A2770" s="1">
        <v>33.0</v>
      </c>
      <c r="B2770" s="1" t="s">
        <v>1204</v>
      </c>
      <c r="C2770" s="1">
        <v>0.0</v>
      </c>
      <c r="D2770" s="1" t="s">
        <v>6</v>
      </c>
      <c r="E2770" s="1"/>
    </row>
    <row r="2771" ht="14.25" customHeight="1">
      <c r="A2771" s="1">
        <v>100.0</v>
      </c>
      <c r="B2771" s="1" t="s">
        <v>1204</v>
      </c>
      <c r="C2771" s="1">
        <v>10.0</v>
      </c>
      <c r="D2771" s="1" t="s">
        <v>1232</v>
      </c>
      <c r="E2771" s="1" t="str">
        <f>IFERROR(__xludf.DUMMYFUNCTION("GOOGLETRANSLATE(D2771,""PT"",""EN"")"),"Fair rates. Access")</f>
        <v>Fair rates. Access</v>
      </c>
    </row>
    <row r="2772" ht="14.25" customHeight="1">
      <c r="A2772" s="1">
        <v>100.0</v>
      </c>
      <c r="B2772" s="1" t="s">
        <v>1204</v>
      </c>
      <c r="C2772" s="1">
        <v>10.0</v>
      </c>
      <c r="D2772" s="1" t="s">
        <v>6</v>
      </c>
      <c r="E2772" s="1"/>
    </row>
    <row r="2773" ht="14.25" customHeight="1">
      <c r="A2773" s="1">
        <v>100.0</v>
      </c>
      <c r="B2773" s="1" t="s">
        <v>1204</v>
      </c>
      <c r="C2773" s="1">
        <v>9.0</v>
      </c>
      <c r="D2773" s="2" t="s">
        <v>1233</v>
      </c>
      <c r="E2773" s="1" t="str">
        <f>IFERROR(__xludf.DUMMYFUNCTION("GOOGLETRANSLATE(D2773,""PT"",""EN"")"),"It is an excellent bank, personalized attentive is brings us many perspectives!")</f>
        <v>It is an excellent bank, personalized attentive is brings us many perspectives!</v>
      </c>
    </row>
    <row r="2774" ht="14.25" customHeight="1">
      <c r="A2774" s="1">
        <v>100.0</v>
      </c>
      <c r="B2774" s="1" t="s">
        <v>1204</v>
      </c>
      <c r="C2774" s="1">
        <v>10.0</v>
      </c>
      <c r="D2774" s="1" t="s">
        <v>6</v>
      </c>
      <c r="E2774" s="1"/>
    </row>
    <row r="2775" ht="14.25" customHeight="1">
      <c r="A2775" s="1">
        <v>100.0</v>
      </c>
      <c r="B2775" s="1" t="s">
        <v>1204</v>
      </c>
      <c r="C2775" s="1">
        <v>9.0</v>
      </c>
      <c r="D2775" s="1" t="s">
        <v>6</v>
      </c>
      <c r="E2775" s="1"/>
    </row>
    <row r="2776" ht="14.25" customHeight="1">
      <c r="A2776" s="1">
        <v>100.0</v>
      </c>
      <c r="B2776" s="1" t="s">
        <v>1204</v>
      </c>
      <c r="C2776" s="1">
        <v>9.0</v>
      </c>
      <c r="D2776" s="2" t="s">
        <v>1234</v>
      </c>
      <c r="E2776" s="1" t="str">
        <f>IFERROR(__xludf.DUMMYFUNCTION("GOOGLETRANSLATE(D2776,""PT"",""EN"")"),"Great service is app efficiency")</f>
        <v>Great service is app efficiency</v>
      </c>
    </row>
    <row r="2777" ht="14.25" customHeight="1">
      <c r="A2777" s="1">
        <v>66.0</v>
      </c>
      <c r="B2777" s="1" t="s">
        <v>1204</v>
      </c>
      <c r="C2777" s="1">
        <v>7.0</v>
      </c>
      <c r="D2777" s="1" t="s">
        <v>6</v>
      </c>
      <c r="E2777" s="1"/>
    </row>
    <row r="2778" ht="14.25" customHeight="1">
      <c r="A2778" s="1">
        <v>100.0</v>
      </c>
      <c r="B2778" s="1" t="s">
        <v>1204</v>
      </c>
      <c r="C2778" s="1">
        <v>9.0</v>
      </c>
      <c r="D2778" s="2" t="s">
        <v>1235</v>
      </c>
      <c r="E2778" s="1" t="str">
        <f>IFERROR(__xludf.DUMMYFUNCTION("GOOGLETRANSLATE(D2778,""PT"",""EN"")"),"Precision is accessibility")</f>
        <v>Precision is accessibility</v>
      </c>
    </row>
    <row r="2779" ht="14.25" customHeight="1">
      <c r="A2779" s="1">
        <v>33.0</v>
      </c>
      <c r="B2779" s="1" t="s">
        <v>1204</v>
      </c>
      <c r="C2779" s="1">
        <v>1.0</v>
      </c>
      <c r="D2779" s="1" t="s">
        <v>6</v>
      </c>
      <c r="E2779" s="1"/>
    </row>
    <row r="2780" ht="14.25" customHeight="1">
      <c r="A2780" s="1">
        <v>100.0</v>
      </c>
      <c r="B2780" s="1" t="s">
        <v>1204</v>
      </c>
      <c r="C2780" s="1">
        <v>10.0</v>
      </c>
      <c r="D2780" s="1" t="s">
        <v>6</v>
      </c>
      <c r="E2780" s="1"/>
    </row>
    <row r="2781" ht="14.25" customHeight="1">
      <c r="A2781" s="1">
        <v>100.0</v>
      </c>
      <c r="B2781" s="1" t="s">
        <v>1204</v>
      </c>
      <c r="C2781" s="1">
        <v>10.0</v>
      </c>
      <c r="D2781" s="1" t="s">
        <v>1236</v>
      </c>
      <c r="E2781" s="1" t="str">
        <f>IFERROR(__xludf.DUMMYFUNCTION("GOOGLETRANSLATE(D2781,""PT"",""EN"")"),"Differentiated treatment")</f>
        <v>Differentiated treatment</v>
      </c>
    </row>
    <row r="2782" ht="14.25" customHeight="1">
      <c r="A2782" s="1">
        <v>100.0</v>
      </c>
      <c r="B2782" s="1" t="s">
        <v>1204</v>
      </c>
      <c r="C2782" s="1">
        <v>10.0</v>
      </c>
      <c r="D2782" s="1" t="s">
        <v>6</v>
      </c>
      <c r="E2782" s="1"/>
    </row>
    <row r="2783" ht="14.25" customHeight="1">
      <c r="A2783" s="1">
        <v>100.0</v>
      </c>
      <c r="B2783" s="1" t="s">
        <v>1204</v>
      </c>
      <c r="C2783" s="1">
        <v>10.0</v>
      </c>
      <c r="D2783" s="1" t="s">
        <v>6</v>
      </c>
      <c r="E2783" s="1"/>
    </row>
    <row r="2784" ht="14.25" customHeight="1">
      <c r="A2784" s="1">
        <v>100.0</v>
      </c>
      <c r="B2784" s="1" t="s">
        <v>1204</v>
      </c>
      <c r="C2784" s="1">
        <v>10.0</v>
      </c>
      <c r="D2784" s="1" t="s">
        <v>1237</v>
      </c>
      <c r="E2784" s="1" t="str">
        <f>IFERROR(__xludf.DUMMYFUNCTION("GOOGLETRANSLATE(D2784,""PT"",""EN"")"),"Work, but I'm enjoying it a lot, very satisfied")</f>
        <v>Work, but I'm enjoying it a lot, very satisfied</v>
      </c>
    </row>
    <row r="2785" ht="14.25" customHeight="1">
      <c r="A2785" s="1">
        <v>100.0</v>
      </c>
      <c r="B2785" s="1" t="s">
        <v>1204</v>
      </c>
      <c r="C2785" s="1">
        <v>10.0</v>
      </c>
      <c r="D2785" s="1" t="s">
        <v>22</v>
      </c>
      <c r="E2785" s="1" t="str">
        <f>IFERROR(__xludf.DUMMYFUNCTION("GOOGLETRANSLATE(D2785,""PT"",""EN"")"),"Excellent service")</f>
        <v>Excellent service</v>
      </c>
    </row>
    <row r="2786" ht="14.25" customHeight="1">
      <c r="A2786" s="1">
        <v>100.0</v>
      </c>
      <c r="B2786" s="1" t="s">
        <v>1204</v>
      </c>
      <c r="C2786" s="1">
        <v>10.0</v>
      </c>
      <c r="D2786" s="2" t="s">
        <v>1238</v>
      </c>
      <c r="E2786" s="1" t="str">
        <f>IFERROR(__xludf.DUMMYFUNCTION("GOOGLETRANSLATE(D2786,""PT"",""EN"")"),"Management would be, transmits safety, quality care.")</f>
        <v>Management would be, transmits safety, quality care.</v>
      </c>
    </row>
    <row r="2787" ht="14.25" customHeight="1">
      <c r="A2787" s="1">
        <v>100.0</v>
      </c>
      <c r="B2787" s="1" t="s">
        <v>1204</v>
      </c>
      <c r="C2787" s="1">
        <v>9.0</v>
      </c>
      <c r="D2787" s="1" t="s">
        <v>6</v>
      </c>
      <c r="E2787" s="1"/>
    </row>
    <row r="2788" ht="14.25" customHeight="1">
      <c r="A2788" s="1">
        <v>100.0</v>
      </c>
      <c r="B2788" s="1" t="s">
        <v>1204</v>
      </c>
      <c r="C2788" s="1">
        <v>10.0</v>
      </c>
      <c r="D2788" s="1" t="s">
        <v>6</v>
      </c>
      <c r="E2788" s="1"/>
    </row>
    <row r="2789" ht="14.25" customHeight="1">
      <c r="A2789" s="1">
        <v>100.0</v>
      </c>
      <c r="B2789" s="1" t="s">
        <v>1204</v>
      </c>
      <c r="C2789" s="1">
        <v>10.0</v>
      </c>
      <c r="D2789" s="1" t="s">
        <v>659</v>
      </c>
      <c r="E2789" s="1" t="str">
        <f>IFERROR(__xludf.DUMMYFUNCTION("GOOGLETRANSLATE(D2789,""PT"",""EN"")"),"Good service.")</f>
        <v>Good service.</v>
      </c>
    </row>
    <row r="2790" ht="14.25" customHeight="1">
      <c r="A2790" s="1">
        <v>100.0</v>
      </c>
      <c r="B2790" s="1" t="s">
        <v>1204</v>
      </c>
      <c r="C2790" s="1">
        <v>10.0</v>
      </c>
      <c r="D2790" s="1" t="s">
        <v>1239</v>
      </c>
      <c r="E2790" s="1" t="str">
        <f>IFERROR(__xludf.DUMMYFUNCTION("GOOGLETRANSLATE(D2790,""PT"",""EN"")"),"Humanity")</f>
        <v>Humanity</v>
      </c>
    </row>
    <row r="2791" ht="14.25" customHeight="1">
      <c r="A2791" s="1">
        <v>100.0</v>
      </c>
      <c r="B2791" s="1" t="s">
        <v>1204</v>
      </c>
      <c r="C2791" s="1">
        <v>10.0</v>
      </c>
      <c r="D2791" s="1" t="s">
        <v>6</v>
      </c>
      <c r="E2791" s="1"/>
    </row>
    <row r="2792" ht="14.25" customHeight="1">
      <c r="A2792" s="1">
        <v>100.0</v>
      </c>
      <c r="B2792" s="1" t="s">
        <v>1204</v>
      </c>
      <c r="C2792" s="1">
        <v>10.0</v>
      </c>
      <c r="D2792" s="1" t="s">
        <v>9</v>
      </c>
      <c r="E2792" s="1" t="str">
        <f>IFERROR(__xludf.DUMMYFUNCTION("GOOGLETRANSLATE(D2792,""PT"",""EN"")"),"10")</f>
        <v>10</v>
      </c>
    </row>
    <row r="2793" ht="14.25" customHeight="1">
      <c r="A2793" s="1">
        <v>100.0</v>
      </c>
      <c r="B2793" s="1" t="s">
        <v>1204</v>
      </c>
      <c r="C2793" s="1">
        <v>10.0</v>
      </c>
      <c r="D2793" s="1" t="s">
        <v>6</v>
      </c>
      <c r="E2793" s="1"/>
    </row>
    <row r="2794" ht="14.25" customHeight="1">
      <c r="A2794" s="1">
        <v>100.0</v>
      </c>
      <c r="B2794" s="1" t="s">
        <v>1204</v>
      </c>
      <c r="C2794" s="1">
        <v>10.0</v>
      </c>
      <c r="D2794" s="1" t="s">
        <v>6</v>
      </c>
      <c r="E2794" s="1"/>
    </row>
    <row r="2795" ht="14.25" customHeight="1">
      <c r="A2795" s="1">
        <v>100.0</v>
      </c>
      <c r="B2795" s="1" t="s">
        <v>1204</v>
      </c>
      <c r="C2795" s="1">
        <v>10.0</v>
      </c>
      <c r="D2795" s="1" t="s">
        <v>85</v>
      </c>
      <c r="E2795" s="1" t="str">
        <f>IFERROR(__xludf.DUMMYFUNCTION("GOOGLETRANSLATE(D2795,""PT"",""EN"")"),"Service")</f>
        <v>Service</v>
      </c>
    </row>
    <row r="2796" ht="14.25" customHeight="1">
      <c r="A2796" s="1">
        <v>100.0</v>
      </c>
      <c r="B2796" s="1" t="s">
        <v>1204</v>
      </c>
      <c r="C2796" s="1">
        <v>9.0</v>
      </c>
      <c r="D2796" s="1" t="s">
        <v>6</v>
      </c>
      <c r="E2796" s="1"/>
    </row>
    <row r="2797" ht="14.25" customHeight="1">
      <c r="A2797" s="1">
        <v>100.0</v>
      </c>
      <c r="B2797" s="1" t="s">
        <v>1204</v>
      </c>
      <c r="C2797" s="1">
        <v>10.0</v>
      </c>
      <c r="D2797" s="1" t="s">
        <v>1240</v>
      </c>
      <c r="E2797" s="1" t="str">
        <f>IFERROR(__xludf.DUMMYFUNCTION("GOOGLETRANSLATE(D2797,""PT"",""EN"")"),"Humanized service")</f>
        <v>Humanized service</v>
      </c>
    </row>
    <row r="2798" ht="14.25" customHeight="1">
      <c r="A2798" s="1">
        <v>100.0</v>
      </c>
      <c r="B2798" s="1" t="s">
        <v>1204</v>
      </c>
      <c r="C2798" s="1">
        <v>10.0</v>
      </c>
      <c r="D2798" s="2" t="s">
        <v>1241</v>
      </c>
      <c r="E2798" s="1" t="str">
        <f>IFERROR(__xludf.DUMMYFUNCTION("GOOGLETRANSLATE(D2798,""PT"",""EN"")"),"Satisfaction, ease in resolving pending issues")</f>
        <v>Satisfaction, ease in resolving pending issues</v>
      </c>
    </row>
    <row r="2799" ht="14.25" customHeight="1">
      <c r="A2799" s="1">
        <v>100.0</v>
      </c>
      <c r="B2799" s="1" t="s">
        <v>1204</v>
      </c>
      <c r="C2799" s="1">
        <v>10.0</v>
      </c>
      <c r="D2799" s="1" t="s">
        <v>6</v>
      </c>
      <c r="E2799" s="1"/>
    </row>
    <row r="2800" ht="14.25" customHeight="1">
      <c r="A2800" s="1">
        <v>100.0</v>
      </c>
      <c r="B2800" s="1" t="s">
        <v>1204</v>
      </c>
      <c r="C2800" s="1">
        <v>10.0</v>
      </c>
      <c r="D2800" s="1" t="s">
        <v>6</v>
      </c>
      <c r="E2800" s="1"/>
    </row>
    <row r="2801" ht="14.25" customHeight="1">
      <c r="A2801" s="1">
        <v>100.0</v>
      </c>
      <c r="B2801" s="1" t="s">
        <v>1204</v>
      </c>
      <c r="C2801" s="1">
        <v>10.0</v>
      </c>
      <c r="D2801" s="1" t="s">
        <v>6</v>
      </c>
      <c r="E2801" s="1"/>
    </row>
    <row r="2802" ht="14.25" customHeight="1">
      <c r="A2802" s="1">
        <v>100.0</v>
      </c>
      <c r="B2802" s="1" t="s">
        <v>1204</v>
      </c>
      <c r="C2802" s="1">
        <v>10.0</v>
      </c>
      <c r="D2802" s="2" t="s">
        <v>1242</v>
      </c>
      <c r="E2802" s="1" t="str">
        <f>IFERROR(__xludf.DUMMYFUNCTION("GOOGLETRANSLATE(D2802,""PT"",""EN"")"),"Excellent financial institution an important partner that the farmer has that is Sicoob")</f>
        <v>Excellent financial institution an important partner that the farmer has that is Sicoob</v>
      </c>
    </row>
    <row r="2803" ht="14.25" customHeight="1">
      <c r="A2803" s="1">
        <v>100.0</v>
      </c>
      <c r="B2803" s="1" t="s">
        <v>1204</v>
      </c>
      <c r="C2803" s="1">
        <v>10.0</v>
      </c>
      <c r="D2803" s="1" t="s">
        <v>6</v>
      </c>
      <c r="E2803" s="1"/>
    </row>
    <row r="2804" ht="14.25" customHeight="1">
      <c r="A2804" s="1">
        <v>100.0</v>
      </c>
      <c r="B2804" s="1" t="s">
        <v>1204</v>
      </c>
      <c r="C2804" s="1">
        <v>10.0</v>
      </c>
      <c r="D2804" s="2" t="s">
        <v>1243</v>
      </c>
      <c r="E2804" s="1" t="str">
        <f>IFERROR(__xludf.DUMMYFUNCTION("GOOGLETRANSLATE(D2804,""PT"",""EN"")"),"Better is more complete Banco do Brasil")</f>
        <v>Better is more complete Banco do Brasil</v>
      </c>
    </row>
    <row r="2805" ht="14.25" customHeight="1">
      <c r="A2805" s="1">
        <v>100.0</v>
      </c>
      <c r="B2805" s="1" t="s">
        <v>1204</v>
      </c>
      <c r="C2805" s="1">
        <v>10.0</v>
      </c>
      <c r="D2805" s="1" t="s">
        <v>6</v>
      </c>
      <c r="E2805" s="1"/>
    </row>
    <row r="2806" ht="14.25" customHeight="1">
      <c r="A2806" s="1">
        <v>100.0</v>
      </c>
      <c r="B2806" s="1" t="s">
        <v>1204</v>
      </c>
      <c r="C2806" s="1">
        <v>10.0</v>
      </c>
      <c r="D2806" s="1" t="s">
        <v>352</v>
      </c>
      <c r="E2806" s="1" t="str">
        <f>IFERROR(__xludf.DUMMYFUNCTION("GOOGLETRANSLATE(D2806,""PT"",""EN"")"),"Top")</f>
        <v>Top</v>
      </c>
    </row>
    <row r="2807" ht="14.25" customHeight="1">
      <c r="A2807" s="1">
        <v>100.0</v>
      </c>
      <c r="B2807" s="1" t="s">
        <v>1204</v>
      </c>
      <c r="C2807" s="1">
        <v>10.0</v>
      </c>
      <c r="D2807" s="1" t="s">
        <v>6</v>
      </c>
      <c r="E2807" s="1"/>
    </row>
    <row r="2808" ht="14.25" customHeight="1">
      <c r="A2808" s="1">
        <v>100.0</v>
      </c>
      <c r="B2808" s="1" t="s">
        <v>1204</v>
      </c>
      <c r="C2808" s="1">
        <v>9.0</v>
      </c>
      <c r="D2808" s="1" t="s">
        <v>1244</v>
      </c>
      <c r="E2808" s="1" t="str">
        <f>IFERROR(__xludf.DUMMYFUNCTION("GOOGLETRANSLATE(D2808,""PT"",""EN"")"),"SATISFIED")</f>
        <v>SATISFIED</v>
      </c>
    </row>
    <row r="2809" ht="14.25" customHeight="1">
      <c r="A2809" s="1">
        <v>100.0</v>
      </c>
      <c r="B2809" s="1" t="s">
        <v>1245</v>
      </c>
      <c r="C2809" s="1">
        <v>9.0</v>
      </c>
      <c r="D2809" s="1" t="s">
        <v>6</v>
      </c>
      <c r="E2809" s="1"/>
    </row>
    <row r="2810" ht="14.25" customHeight="1">
      <c r="A2810" s="1">
        <v>33.0</v>
      </c>
      <c r="B2810" s="1" t="s">
        <v>1245</v>
      </c>
      <c r="C2810" s="1">
        <v>3.0</v>
      </c>
      <c r="D2810" s="1" t="s">
        <v>6</v>
      </c>
      <c r="E2810" s="1"/>
    </row>
    <row r="2811" ht="14.25" customHeight="1">
      <c r="A2811" s="1">
        <v>66.0</v>
      </c>
      <c r="B2811" s="1" t="s">
        <v>1245</v>
      </c>
      <c r="C2811" s="1">
        <v>7.0</v>
      </c>
      <c r="D2811" s="1" t="s">
        <v>6</v>
      </c>
      <c r="E2811" s="1"/>
    </row>
    <row r="2812" ht="14.25" customHeight="1">
      <c r="A2812" s="1">
        <v>100.0</v>
      </c>
      <c r="B2812" s="1" t="s">
        <v>1245</v>
      </c>
      <c r="C2812" s="1">
        <v>10.0</v>
      </c>
      <c r="D2812" s="1" t="s">
        <v>1246</v>
      </c>
      <c r="E2812" s="1" t="str">
        <f>IFERROR(__xludf.DUMMYFUNCTION("GOOGLETRANSLATE(D2812,""PT"",""EN"")"),"So far I have been very well attended 10")</f>
        <v>So far I have been very well attended 10</v>
      </c>
    </row>
    <row r="2813" ht="14.25" customHeight="1">
      <c r="A2813" s="1">
        <v>100.0</v>
      </c>
      <c r="B2813" s="1" t="s">
        <v>1245</v>
      </c>
      <c r="C2813" s="1">
        <v>10.0</v>
      </c>
      <c r="D2813" s="1" t="s">
        <v>6</v>
      </c>
      <c r="E2813" s="1"/>
    </row>
    <row r="2814" ht="14.25" customHeight="1">
      <c r="A2814" s="1">
        <v>33.0</v>
      </c>
      <c r="B2814" s="1" t="s">
        <v>1245</v>
      </c>
      <c r="C2814" s="1">
        <v>6.0</v>
      </c>
      <c r="D2814" s="2" t="s">
        <v>1247</v>
      </c>
      <c r="E2814" s="1" t="str">
        <f>IFERROR(__xludf.DUMMYFUNCTION("GOOGLETRANSLATE(D2814,""PT"",""EN"")"),"Bank is great, but leaves to want to credit lines when it takes")</f>
        <v>Bank is great, but leaves to want to credit lines when it takes</v>
      </c>
    </row>
    <row r="2815" ht="14.25" customHeight="1">
      <c r="A2815" s="1">
        <v>100.0</v>
      </c>
      <c r="B2815" s="1" t="s">
        <v>1245</v>
      </c>
      <c r="C2815" s="1">
        <v>9.0</v>
      </c>
      <c r="D2815" s="1" t="s">
        <v>6</v>
      </c>
      <c r="E2815" s="1"/>
    </row>
    <row r="2816" ht="14.25" customHeight="1">
      <c r="A2816" s="1">
        <v>100.0</v>
      </c>
      <c r="B2816" s="1" t="s">
        <v>1245</v>
      </c>
      <c r="C2816" s="1">
        <v>10.0</v>
      </c>
      <c r="D2816" s="1" t="s">
        <v>1248</v>
      </c>
      <c r="E2816" s="1" t="str">
        <f>IFERROR(__xludf.DUMMYFUNCTION("GOOGLETRANSLATE(D2816,""PT"",""EN"")"),"Great partnership")</f>
        <v>Great partnership</v>
      </c>
    </row>
    <row r="2817" ht="14.25" customHeight="1">
      <c r="A2817" s="1">
        <v>33.0</v>
      </c>
      <c r="B2817" s="1" t="s">
        <v>1245</v>
      </c>
      <c r="C2817" s="1">
        <v>1.0</v>
      </c>
      <c r="D2817" s="1" t="s">
        <v>6</v>
      </c>
      <c r="E2817" s="1"/>
    </row>
    <row r="2818" ht="14.25" customHeight="1">
      <c r="A2818" s="1">
        <v>100.0</v>
      </c>
      <c r="B2818" s="1" t="s">
        <v>1245</v>
      </c>
      <c r="C2818" s="1">
        <v>10.0</v>
      </c>
      <c r="D2818" s="1" t="s">
        <v>6</v>
      </c>
      <c r="E2818" s="1"/>
    </row>
    <row r="2819" ht="14.25" customHeight="1">
      <c r="A2819" s="1">
        <v>33.0</v>
      </c>
      <c r="B2819" s="1" t="s">
        <v>1245</v>
      </c>
      <c r="C2819" s="1">
        <v>1.0</v>
      </c>
      <c r="D2819" s="1" t="s">
        <v>6</v>
      </c>
      <c r="E2819" s="1"/>
    </row>
    <row r="2820" ht="14.25" customHeight="1">
      <c r="A2820" s="1">
        <v>100.0</v>
      </c>
      <c r="B2820" s="1" t="s">
        <v>1245</v>
      </c>
      <c r="C2820" s="1">
        <v>9.0</v>
      </c>
      <c r="D2820" s="1" t="s">
        <v>6</v>
      </c>
      <c r="E2820" s="1"/>
    </row>
    <row r="2821" ht="14.25" customHeight="1">
      <c r="A2821" s="1">
        <v>100.0</v>
      </c>
      <c r="B2821" s="1" t="s">
        <v>1245</v>
      </c>
      <c r="C2821" s="1">
        <v>9.0</v>
      </c>
      <c r="D2821" s="1" t="s">
        <v>6</v>
      </c>
      <c r="E2821" s="1"/>
    </row>
    <row r="2822" ht="14.25" customHeight="1">
      <c r="A2822" s="1">
        <v>100.0</v>
      </c>
      <c r="B2822" s="1" t="s">
        <v>1245</v>
      </c>
      <c r="C2822" s="1">
        <v>10.0</v>
      </c>
      <c r="D2822" s="1" t="s">
        <v>6</v>
      </c>
      <c r="E2822" s="1"/>
    </row>
    <row r="2823" ht="14.25" customHeight="1">
      <c r="A2823" s="1">
        <v>100.0</v>
      </c>
      <c r="B2823" s="1" t="s">
        <v>1245</v>
      </c>
      <c r="C2823" s="1">
        <v>10.0</v>
      </c>
      <c r="D2823" s="1" t="s">
        <v>6</v>
      </c>
      <c r="E2823" s="1"/>
    </row>
    <row r="2824" ht="14.25" customHeight="1">
      <c r="A2824" s="1">
        <v>100.0</v>
      </c>
      <c r="B2824" s="1" t="s">
        <v>1245</v>
      </c>
      <c r="C2824" s="1">
        <v>9.0</v>
      </c>
      <c r="D2824" s="2" t="s">
        <v>1249</v>
      </c>
      <c r="E2824" s="1" t="str">
        <f>IFERROR(__xludf.DUMMYFUNCTION("GOOGLETRANSLATE(D2824,""PT"",""EN"")"),"Starting with service is the care of employees, it is the ease of care.")</f>
        <v>Starting with service is the care of employees, it is the ease of care.</v>
      </c>
    </row>
    <row r="2825" ht="14.25" customHeight="1">
      <c r="A2825" s="1">
        <v>66.0</v>
      </c>
      <c r="B2825" s="1" t="s">
        <v>1245</v>
      </c>
      <c r="C2825" s="1">
        <v>8.0</v>
      </c>
      <c r="D2825" s="1" t="s">
        <v>6</v>
      </c>
      <c r="E2825" s="1"/>
    </row>
    <row r="2826" ht="14.25" customHeight="1">
      <c r="A2826" s="1">
        <v>100.0</v>
      </c>
      <c r="B2826" s="1" t="s">
        <v>1245</v>
      </c>
      <c r="C2826" s="1">
        <v>10.0</v>
      </c>
      <c r="D2826" s="1" t="s">
        <v>1250</v>
      </c>
      <c r="E2826" s="1" t="str">
        <f>IFERROR(__xludf.DUMMYFUNCTION("GOOGLETRANSLATE(D2826,""PT"",""EN"")"),"Speed ​​in service")</f>
        <v>Speed ​​in service</v>
      </c>
    </row>
    <row r="2827" ht="14.25" customHeight="1">
      <c r="A2827" s="1">
        <v>100.0</v>
      </c>
      <c r="B2827" s="1" t="s">
        <v>1245</v>
      </c>
      <c r="C2827" s="1">
        <v>10.0</v>
      </c>
      <c r="D2827" s="2" t="s">
        <v>1251</v>
      </c>
      <c r="E2827" s="1" t="str">
        <f>IFERROR(__xludf.DUMMYFUNCTION("GOOGLETRANSLATE(D2827,""PT"",""EN"")"),"I am always well attended I have nothing to complain about")</f>
        <v>I am always well attended I have nothing to complain about</v>
      </c>
    </row>
    <row r="2828" ht="14.25" customHeight="1">
      <c r="A2828" s="1">
        <v>100.0</v>
      </c>
      <c r="B2828" s="1" t="s">
        <v>1245</v>
      </c>
      <c r="C2828" s="1">
        <v>10.0</v>
      </c>
      <c r="D2828" s="2" t="s">
        <v>1252</v>
      </c>
      <c r="E2828" s="1" t="str">
        <f>IFERROR(__xludf.DUMMYFUNCTION("GOOGLETRANSLATE(D2828,""PT"",""EN"")"),"Good service is responsibility")</f>
        <v>Good service is responsibility</v>
      </c>
    </row>
    <row r="2829" ht="14.25" customHeight="1">
      <c r="A2829" s="1">
        <v>100.0</v>
      </c>
      <c r="B2829" s="1" t="s">
        <v>1245</v>
      </c>
      <c r="C2829" s="1">
        <v>10.0</v>
      </c>
      <c r="D2829" s="1" t="s">
        <v>6</v>
      </c>
      <c r="E2829" s="1"/>
    </row>
    <row r="2830" ht="14.25" customHeight="1">
      <c r="A2830" s="1">
        <v>100.0</v>
      </c>
      <c r="B2830" s="1" t="s">
        <v>1245</v>
      </c>
      <c r="C2830" s="1">
        <v>10.0</v>
      </c>
      <c r="D2830" s="1" t="s">
        <v>1253</v>
      </c>
      <c r="E2830" s="1" t="str">
        <f>IFERROR(__xludf.DUMMYFUNCTION("GOOGLETRANSLATE(D2830,""PT"",""EN"")"),"Mastery in the subject")</f>
        <v>Mastery in the subject</v>
      </c>
    </row>
    <row r="2831" ht="14.25" customHeight="1">
      <c r="A2831" s="1">
        <v>100.0</v>
      </c>
      <c r="B2831" s="1" t="s">
        <v>1245</v>
      </c>
      <c r="C2831" s="1">
        <v>10.0</v>
      </c>
      <c r="D2831" s="1" t="s">
        <v>6</v>
      </c>
      <c r="E2831" s="1"/>
    </row>
    <row r="2832" ht="14.25" customHeight="1">
      <c r="A2832" s="1">
        <v>66.0</v>
      </c>
      <c r="B2832" s="1" t="s">
        <v>1245</v>
      </c>
      <c r="C2832" s="1">
        <v>8.0</v>
      </c>
      <c r="D2832" s="2" t="s">
        <v>1254</v>
      </c>
      <c r="E2832" s="1" t="str">
        <f>IFERROR(__xludf.DUMMYFUNCTION("GOOGLETRANSLATE(D2832,""PT"",""EN"")"),"Ease of service, an easy -to -use app.")</f>
        <v>Ease of service, an easy -to -use app.</v>
      </c>
    </row>
    <row r="2833" ht="14.25" customHeight="1">
      <c r="A2833" s="1">
        <v>100.0</v>
      </c>
      <c r="B2833" s="1" t="s">
        <v>1245</v>
      </c>
      <c r="C2833" s="1">
        <v>10.0</v>
      </c>
      <c r="D2833" s="1" t="s">
        <v>6</v>
      </c>
      <c r="E2833" s="1"/>
    </row>
    <row r="2834" ht="14.25" customHeight="1">
      <c r="A2834" s="1">
        <v>100.0</v>
      </c>
      <c r="B2834" s="1" t="s">
        <v>1245</v>
      </c>
      <c r="C2834" s="1">
        <v>10.0</v>
      </c>
      <c r="D2834" s="1" t="s">
        <v>1255</v>
      </c>
      <c r="E2834" s="1" t="str">
        <f>IFERROR(__xludf.DUMMYFUNCTION("GOOGLETRANSLATE(D2834,""PT"",""EN"")"),"It is very good excellent bank")</f>
        <v>It is very good excellent bank</v>
      </c>
    </row>
    <row r="2835" ht="14.25" customHeight="1">
      <c r="A2835" s="1">
        <v>100.0</v>
      </c>
      <c r="B2835" s="1" t="s">
        <v>1245</v>
      </c>
      <c r="C2835" s="1">
        <v>10.0</v>
      </c>
      <c r="D2835" s="2" t="s">
        <v>1256</v>
      </c>
      <c r="E2835" s="1" t="str">
        <f>IFERROR(__xludf.DUMMYFUNCTION("GOOGLETRANSLATE(D2835,""PT"",""EN"")"),"Excellent service is always meeting me in my requests is a need:")</f>
        <v>Excellent service is always meeting me in my requests is a need:</v>
      </c>
    </row>
    <row r="2836" ht="14.25" customHeight="1">
      <c r="A2836" s="1">
        <v>100.0</v>
      </c>
      <c r="B2836" s="1" t="s">
        <v>1245</v>
      </c>
      <c r="C2836" s="1">
        <v>10.0</v>
      </c>
      <c r="D2836" s="2" t="s">
        <v>1257</v>
      </c>
      <c r="E2836" s="1" t="str">
        <f>IFERROR(__xludf.DUMMYFUNCTION("GOOGLETRANSLATE(D2836,""PT"",""EN"")"),"Very practical")</f>
        <v>Very practical</v>
      </c>
    </row>
    <row r="2837" ht="14.25" customHeight="1">
      <c r="A2837" s="1">
        <v>33.0</v>
      </c>
      <c r="B2837" s="1" t="s">
        <v>1245</v>
      </c>
      <c r="C2837" s="1">
        <v>5.0</v>
      </c>
      <c r="D2837" s="2" t="s">
        <v>1258</v>
      </c>
      <c r="E2837" s="1" t="str">
        <f>IFERROR(__xludf.DUMMYFUNCTION("GOOGLETRANSLATE(D2837,""PT"",""EN"")"),"Good rates is interest ... But, without relationship, bad service is no matter your situation, they never release credit except with real guarantee there ...")</f>
        <v>Good rates is interest ... But, without relationship, bad service is no matter your situation, they never release credit except with real guarantee there ...</v>
      </c>
    </row>
    <row r="2838" ht="14.25" customHeight="1">
      <c r="A2838" s="1">
        <v>66.0</v>
      </c>
      <c r="B2838" s="1" t="s">
        <v>1245</v>
      </c>
      <c r="C2838" s="1">
        <v>8.0</v>
      </c>
      <c r="D2838" s="2" t="s">
        <v>1259</v>
      </c>
      <c r="E2838" s="1" t="str">
        <f>IFERROR(__xludf.DUMMYFUNCTION("GOOGLETRANSLATE(D2838,""PT"",""EN"")"),"Care is helpful.")</f>
        <v>Care is helpful.</v>
      </c>
    </row>
    <row r="2839" ht="14.25" customHeight="1">
      <c r="A2839" s="1">
        <v>100.0</v>
      </c>
      <c r="B2839" s="1" t="s">
        <v>1245</v>
      </c>
      <c r="C2839" s="1">
        <v>10.0</v>
      </c>
      <c r="D2839" s="1" t="s">
        <v>6</v>
      </c>
      <c r="E2839" s="1"/>
    </row>
    <row r="2840" ht="14.25" customHeight="1">
      <c r="A2840" s="1">
        <v>100.0</v>
      </c>
      <c r="B2840" s="1" t="s">
        <v>1245</v>
      </c>
      <c r="C2840" s="1">
        <v>9.0</v>
      </c>
      <c r="D2840" s="1" t="s">
        <v>6</v>
      </c>
      <c r="E2840" s="1"/>
    </row>
    <row r="2841" ht="14.25" customHeight="1">
      <c r="A2841" s="1">
        <v>100.0</v>
      </c>
      <c r="B2841" s="1" t="s">
        <v>1245</v>
      </c>
      <c r="C2841" s="1">
        <v>10.0</v>
      </c>
      <c r="D2841" s="1" t="s">
        <v>6</v>
      </c>
      <c r="E2841" s="1"/>
    </row>
    <row r="2842" ht="14.25" customHeight="1">
      <c r="A2842" s="1">
        <v>33.0</v>
      </c>
      <c r="B2842" s="1" t="s">
        <v>1245</v>
      </c>
      <c r="C2842" s="1">
        <v>0.0</v>
      </c>
      <c r="D2842" s="1" t="s">
        <v>6</v>
      </c>
      <c r="E2842" s="1"/>
    </row>
    <row r="2843" ht="14.25" customHeight="1">
      <c r="A2843" s="1">
        <v>100.0</v>
      </c>
      <c r="B2843" s="1" t="s">
        <v>1245</v>
      </c>
      <c r="C2843" s="1">
        <v>10.0</v>
      </c>
      <c r="D2843" s="1" t="s">
        <v>1260</v>
      </c>
      <c r="E2843" s="1" t="str">
        <f>IFERROR(__xludf.DUMMYFUNCTION("GOOGLETRANSLATE(D2843,""PT"",""EN"")"),"Desktop.")</f>
        <v>Desktop.</v>
      </c>
    </row>
    <row r="2844" ht="14.25" customHeight="1">
      <c r="A2844" s="1">
        <v>100.0</v>
      </c>
      <c r="B2844" s="1" t="s">
        <v>1245</v>
      </c>
      <c r="C2844" s="1">
        <v>10.0</v>
      </c>
      <c r="D2844" s="2" t="s">
        <v>1261</v>
      </c>
      <c r="E2844" s="1" t="str">
        <f>IFERROR(__xludf.DUMMYFUNCTION("GOOGLETRANSLATE(D2844,""PT"",""EN"")"),"Fast is excellent service is better rates on the market")</f>
        <v>Fast is excellent service is better rates on the market</v>
      </c>
    </row>
    <row r="2845" ht="14.25" customHeight="1">
      <c r="A2845" s="1">
        <v>100.0</v>
      </c>
      <c r="B2845" s="1" t="s">
        <v>1245</v>
      </c>
      <c r="C2845" s="1">
        <v>9.0</v>
      </c>
      <c r="D2845" s="1" t="s">
        <v>6</v>
      </c>
      <c r="E2845" s="1"/>
    </row>
    <row r="2846" ht="14.25" customHeight="1">
      <c r="A2846" s="1">
        <v>33.0</v>
      </c>
      <c r="B2846" s="1" t="s">
        <v>1245</v>
      </c>
      <c r="C2846" s="1">
        <v>4.0</v>
      </c>
      <c r="D2846" s="2" t="s">
        <v>1262</v>
      </c>
      <c r="E2846" s="1" t="str">
        <f>IFERROR(__xludf.DUMMYFUNCTION("GOOGLETRANSLATE(D2846,""PT"",""EN"")"),"I joined the cooperative with the information that we would have different conditions, but to need to pay 2,000.00 the conditions are equal or worse.")</f>
        <v>I joined the cooperative with the information that we would have different conditions, but to need to pay 2,000.00 the conditions are equal or worse.</v>
      </c>
    </row>
    <row r="2847" ht="14.25" customHeight="1">
      <c r="A2847" s="1">
        <v>100.0</v>
      </c>
      <c r="B2847" s="1" t="s">
        <v>1245</v>
      </c>
      <c r="C2847" s="1">
        <v>10.0</v>
      </c>
      <c r="D2847" s="1" t="s">
        <v>1263</v>
      </c>
      <c r="E2847" s="1" t="str">
        <f>IFERROR(__xludf.DUMMYFUNCTION("GOOGLETRANSLATE(D2847,""PT"",""EN"")"),"Customer service, unlinction, complete application.")</f>
        <v>Customer service, unlinction, complete application.</v>
      </c>
    </row>
    <row r="2848" ht="14.25" customHeight="1">
      <c r="A2848" s="1">
        <v>100.0</v>
      </c>
      <c r="B2848" s="1" t="s">
        <v>1245</v>
      </c>
      <c r="C2848" s="1">
        <v>10.0</v>
      </c>
      <c r="D2848" s="1" t="s">
        <v>6</v>
      </c>
      <c r="E2848" s="1"/>
    </row>
    <row r="2849" ht="14.25" customHeight="1">
      <c r="A2849" s="1">
        <v>66.0</v>
      </c>
      <c r="B2849" s="1" t="s">
        <v>1245</v>
      </c>
      <c r="C2849" s="1">
        <v>8.0</v>
      </c>
      <c r="D2849" s="2" t="s">
        <v>1264</v>
      </c>
      <c r="E2849" s="1" t="str">
        <f>IFERROR(__xludf.DUMMYFUNCTION("GOOGLETRANSLATE(D2849,""PT"",""EN"")"),"I think there is room to improve!")</f>
        <v>I think there is room to improve!</v>
      </c>
    </row>
    <row r="2850" ht="14.25" customHeight="1">
      <c r="A2850" s="1">
        <v>100.0</v>
      </c>
      <c r="B2850" s="1" t="s">
        <v>1245</v>
      </c>
      <c r="C2850" s="1">
        <v>10.0</v>
      </c>
      <c r="D2850" s="1" t="s">
        <v>6</v>
      </c>
      <c r="E2850" s="1"/>
    </row>
    <row r="2851" ht="14.25" customHeight="1">
      <c r="A2851" s="1">
        <v>100.0</v>
      </c>
      <c r="B2851" s="1" t="s">
        <v>1245</v>
      </c>
      <c r="C2851" s="1">
        <v>10.0</v>
      </c>
      <c r="D2851" s="1" t="s">
        <v>6</v>
      </c>
      <c r="E2851" s="1"/>
    </row>
    <row r="2852" ht="14.25" customHeight="1">
      <c r="A2852" s="1">
        <v>100.0</v>
      </c>
      <c r="B2852" s="1" t="s">
        <v>1245</v>
      </c>
      <c r="C2852" s="1">
        <v>10.0</v>
      </c>
      <c r="D2852" s="1" t="s">
        <v>6</v>
      </c>
      <c r="E2852" s="1"/>
    </row>
    <row r="2853" ht="14.25" customHeight="1">
      <c r="A2853" s="1">
        <v>33.0</v>
      </c>
      <c r="B2853" s="1" t="s">
        <v>1245</v>
      </c>
      <c r="C2853" s="1">
        <v>1.0</v>
      </c>
      <c r="D2853" s="1" t="s">
        <v>1265</v>
      </c>
      <c r="E2853" s="1" t="str">
        <f>IFERROR(__xludf.DUMMYFUNCTION("GOOGLETRANSLATE(D2853,""PT"",""EN"")"),"Worse bank")</f>
        <v>Worse bank</v>
      </c>
    </row>
    <row r="2854" ht="14.25" customHeight="1">
      <c r="A2854" s="1">
        <v>100.0</v>
      </c>
      <c r="B2854" s="1" t="s">
        <v>1245</v>
      </c>
      <c r="C2854" s="1">
        <v>10.0</v>
      </c>
      <c r="D2854" s="1" t="s">
        <v>1266</v>
      </c>
      <c r="E2854" s="1" t="str">
        <f>IFERROR(__xludf.DUMMYFUNCTION("GOOGLETRANSLATE(D2854,""PT"",""EN"")"),"I feel safe working with you")</f>
        <v>I feel safe working with you</v>
      </c>
    </row>
    <row r="2855" ht="14.25" customHeight="1">
      <c r="A2855" s="1">
        <v>33.0</v>
      </c>
      <c r="B2855" s="1" t="s">
        <v>1245</v>
      </c>
      <c r="C2855" s="1">
        <v>6.0</v>
      </c>
      <c r="D2855" s="1" t="s">
        <v>6</v>
      </c>
      <c r="E2855" s="1"/>
    </row>
    <row r="2856" ht="14.25" customHeight="1">
      <c r="A2856" s="1">
        <v>100.0</v>
      </c>
      <c r="B2856" s="1" t="s">
        <v>1245</v>
      </c>
      <c r="C2856" s="1">
        <v>10.0</v>
      </c>
      <c r="D2856" s="1" t="s">
        <v>1267</v>
      </c>
      <c r="E2856" s="1" t="str">
        <f>IFERROR(__xludf.DUMMYFUNCTION("GOOGLETRANSLATE(D2856,""PT"",""EN"")"),"For the prestivity of employees!")</f>
        <v>For the prestivity of employees!</v>
      </c>
    </row>
    <row r="2857" ht="14.25" customHeight="1">
      <c r="A2857" s="1">
        <v>100.0</v>
      </c>
      <c r="B2857" s="1" t="s">
        <v>1245</v>
      </c>
      <c r="C2857" s="1">
        <v>10.0</v>
      </c>
      <c r="D2857" s="1" t="s">
        <v>1268</v>
      </c>
      <c r="E2857" s="1" t="str">
        <f>IFERROR(__xludf.DUMMYFUNCTION("GOOGLETRANSLATE(D2857,""PT"",""EN"")"),"very good relationship")</f>
        <v>very good relationship</v>
      </c>
    </row>
    <row r="2858" ht="14.25" customHeight="1">
      <c r="A2858" s="1">
        <v>100.0</v>
      </c>
      <c r="B2858" s="1" t="s">
        <v>1245</v>
      </c>
      <c r="C2858" s="1">
        <v>10.0</v>
      </c>
      <c r="D2858" s="1" t="s">
        <v>571</v>
      </c>
      <c r="E2858" s="1" t="str">
        <f>IFERROR(__xludf.DUMMYFUNCTION("GOOGLETRANSLATE(D2858,""PT"",""EN"")"),"The service")</f>
        <v>The service</v>
      </c>
    </row>
    <row r="2859" ht="14.25" customHeight="1">
      <c r="A2859" s="1">
        <v>100.0</v>
      </c>
      <c r="B2859" s="1" t="s">
        <v>1245</v>
      </c>
      <c r="C2859" s="1">
        <v>10.0</v>
      </c>
      <c r="D2859" s="1" t="s">
        <v>6</v>
      </c>
      <c r="E2859" s="1"/>
    </row>
    <row r="2860" ht="14.25" customHeight="1">
      <c r="A2860" s="1">
        <v>100.0</v>
      </c>
      <c r="B2860" s="1" t="s">
        <v>1245</v>
      </c>
      <c r="C2860" s="1">
        <v>9.0</v>
      </c>
      <c r="D2860" s="1" t="s">
        <v>6</v>
      </c>
      <c r="E2860" s="1"/>
    </row>
    <row r="2861" ht="14.25" customHeight="1">
      <c r="A2861" s="1">
        <v>100.0</v>
      </c>
      <c r="B2861" s="1" t="s">
        <v>1245</v>
      </c>
      <c r="C2861" s="1">
        <v>10.0</v>
      </c>
      <c r="D2861" s="1" t="s">
        <v>1269</v>
      </c>
      <c r="E2861" s="1" t="str">
        <f>IFERROR(__xludf.DUMMYFUNCTION("GOOGLETRANSLATE(D2861,""PT"",""EN"")"),"Excellent bank in every way !! Exemplary employees !!")</f>
        <v>Excellent bank in every way !! Exemplary employees !!</v>
      </c>
    </row>
    <row r="2862" ht="14.25" customHeight="1">
      <c r="A2862" s="1">
        <v>100.0</v>
      </c>
      <c r="B2862" s="1" t="s">
        <v>1245</v>
      </c>
      <c r="C2862" s="1">
        <v>10.0</v>
      </c>
      <c r="D2862" s="1" t="s">
        <v>85</v>
      </c>
      <c r="E2862" s="1" t="str">
        <f>IFERROR(__xludf.DUMMYFUNCTION("GOOGLETRANSLATE(D2862,""PT"",""EN"")"),"Service")</f>
        <v>Service</v>
      </c>
    </row>
    <row r="2863" ht="14.25" customHeight="1">
      <c r="A2863" s="1">
        <v>100.0</v>
      </c>
      <c r="B2863" s="1" t="s">
        <v>1245</v>
      </c>
      <c r="C2863" s="1">
        <v>10.0</v>
      </c>
      <c r="D2863" s="1" t="s">
        <v>1270</v>
      </c>
      <c r="E2863" s="1" t="str">
        <f>IFERROR(__xludf.DUMMYFUNCTION("GOOGLETRANSLATE(D2863,""PT"",""EN"")"),"A bank with easy access")</f>
        <v>A bank with easy access</v>
      </c>
    </row>
    <row r="2864" ht="14.25" customHeight="1">
      <c r="A2864" s="1">
        <v>100.0</v>
      </c>
      <c r="B2864" s="1" t="s">
        <v>1245</v>
      </c>
      <c r="C2864" s="1">
        <v>9.0</v>
      </c>
      <c r="D2864" s="1" t="s">
        <v>1271</v>
      </c>
      <c r="E2864" s="1" t="str">
        <f>IFERROR(__xludf.DUMMYFUNCTION("GOOGLETRANSLATE(D2864,""PT"",""EN"")"),"Very good cooperative to work I recommend")</f>
        <v>Very good cooperative to work I recommend</v>
      </c>
    </row>
    <row r="2865" ht="14.25" customHeight="1">
      <c r="A2865" s="1">
        <v>33.0</v>
      </c>
      <c r="B2865" s="1" t="s">
        <v>1245</v>
      </c>
      <c r="C2865" s="1">
        <v>1.0</v>
      </c>
      <c r="D2865" s="2" t="s">
        <v>1272</v>
      </c>
      <c r="E2865" s="1" t="str">
        <f>IFERROR(__xludf.DUMMYFUNCTION("GOOGLETRANSLATE(D2865,""PT"",""EN"")"),"LACK OF CREDIT/ TOTAL CUSTOMER COMMITMENT. UNAVAILABILITY OF SERVICES!")</f>
        <v>LACK OF CREDIT/ TOTAL CUSTOMER COMMITMENT. UNAVAILABILITY OF SERVICES!</v>
      </c>
    </row>
    <row r="2866" ht="14.25" customHeight="1">
      <c r="A2866" s="1">
        <v>100.0</v>
      </c>
      <c r="B2866" s="1" t="s">
        <v>1245</v>
      </c>
      <c r="C2866" s="1">
        <v>10.0</v>
      </c>
      <c r="D2866" s="1" t="s">
        <v>6</v>
      </c>
      <c r="E2866" s="1"/>
    </row>
    <row r="2867" ht="14.25" customHeight="1">
      <c r="A2867" s="1">
        <v>100.0</v>
      </c>
      <c r="B2867" s="1" t="s">
        <v>1245</v>
      </c>
      <c r="C2867" s="1">
        <v>10.0</v>
      </c>
      <c r="D2867" s="1" t="s">
        <v>6</v>
      </c>
      <c r="E2867" s="1"/>
    </row>
    <row r="2868" ht="14.25" customHeight="1">
      <c r="A2868" s="1">
        <v>100.0</v>
      </c>
      <c r="B2868" s="1" t="s">
        <v>1245</v>
      </c>
      <c r="C2868" s="1">
        <v>9.0</v>
      </c>
      <c r="D2868" s="2" t="s">
        <v>1273</v>
      </c>
      <c r="E2868" s="1" t="str">
        <f>IFERROR(__xludf.DUMMYFUNCTION("GOOGLETRANSLATE(D2868,""PT"",""EN"")"),"Rapid service")</f>
        <v>Rapid service</v>
      </c>
    </row>
    <row r="2869" ht="14.25" customHeight="1">
      <c r="A2869" s="1">
        <v>33.0</v>
      </c>
      <c r="B2869" s="1" t="s">
        <v>1245</v>
      </c>
      <c r="C2869" s="1">
        <v>0.0</v>
      </c>
      <c r="D2869" s="2" t="s">
        <v>1274</v>
      </c>
      <c r="E2869" s="1" t="str">
        <f>IFERROR(__xludf.DUMMYFUNCTION("GOOGLETRANSLATE(D2869,""PT"",""EN"")"),"Comparing Sicoob de Minas is the one of was, because in the city I live, there are two agencies, the one I realize is was it, consulting is researching, I came to a supply result, Sicoob Minas, offers better options more , than that of Goias. It is the sa"&amp;"me institutions called Sicoob, which I am interested in changing agencies.")</f>
        <v>Comparing Sicoob de Minas is the one of was, because in the city I live, there are two agencies, the one I realize is was it, consulting is researching, I came to a supply result, Sicoob Minas, offers better options more , than that of Goias. It is the same institutions called Sicoob, which I am interested in changing agencies.</v>
      </c>
    </row>
    <row r="2870" ht="14.25" customHeight="1">
      <c r="A2870" s="1">
        <v>33.0</v>
      </c>
      <c r="B2870" s="1" t="s">
        <v>1245</v>
      </c>
      <c r="C2870" s="1">
        <v>0.0</v>
      </c>
      <c r="D2870" s="1" t="s">
        <v>1275</v>
      </c>
      <c r="E2870" s="1" t="str">
        <f>IFERROR(__xludf.DUMMYFUNCTION("GOOGLETRANSLATE(D2870,""PT"",""EN"")"),"Bad in everything!")</f>
        <v>Bad in everything!</v>
      </c>
    </row>
    <row r="2871" ht="14.25" customHeight="1">
      <c r="A2871" s="1">
        <v>100.0</v>
      </c>
      <c r="B2871" s="1" t="s">
        <v>1245</v>
      </c>
      <c r="C2871" s="1">
        <v>10.0</v>
      </c>
      <c r="D2871" s="1" t="s">
        <v>6</v>
      </c>
      <c r="E2871" s="1"/>
    </row>
    <row r="2872" ht="14.25" customHeight="1">
      <c r="A2872" s="1">
        <v>100.0</v>
      </c>
      <c r="B2872" s="1" t="s">
        <v>1245</v>
      </c>
      <c r="C2872" s="1">
        <v>10.0</v>
      </c>
      <c r="D2872" s="1" t="s">
        <v>6</v>
      </c>
      <c r="E2872" s="1"/>
    </row>
    <row r="2873" ht="14.25" customHeight="1">
      <c r="A2873" s="1">
        <v>100.0</v>
      </c>
      <c r="B2873" s="1" t="s">
        <v>1245</v>
      </c>
      <c r="C2873" s="1">
        <v>10.0</v>
      </c>
      <c r="D2873" s="1" t="s">
        <v>6</v>
      </c>
      <c r="E2873" s="1"/>
    </row>
    <row r="2874" ht="14.25" customHeight="1">
      <c r="A2874" s="1">
        <v>100.0</v>
      </c>
      <c r="B2874" s="1" t="s">
        <v>1245</v>
      </c>
      <c r="C2874" s="1">
        <v>10.0</v>
      </c>
      <c r="D2874" s="1" t="s">
        <v>9</v>
      </c>
      <c r="E2874" s="1" t="str">
        <f>IFERROR(__xludf.DUMMYFUNCTION("GOOGLETRANSLATE(D2874,""PT"",""EN"")"),"10")</f>
        <v>10</v>
      </c>
    </row>
    <row r="2875" ht="14.25" customHeight="1">
      <c r="A2875" s="1">
        <v>100.0</v>
      </c>
      <c r="B2875" s="1" t="s">
        <v>1245</v>
      </c>
      <c r="C2875" s="1">
        <v>10.0</v>
      </c>
      <c r="D2875" s="1" t="s">
        <v>6</v>
      </c>
      <c r="E2875" s="1"/>
    </row>
    <row r="2876" ht="14.25" customHeight="1">
      <c r="A2876" s="1">
        <v>66.0</v>
      </c>
      <c r="B2876" s="1" t="s">
        <v>1245</v>
      </c>
      <c r="C2876" s="1">
        <v>8.0</v>
      </c>
      <c r="D2876" s="1" t="s">
        <v>1276</v>
      </c>
      <c r="E2876" s="1" t="str">
        <f>IFERROR(__xludf.DUMMYFUNCTION("GOOGLETRANSLATE(D2876,""PT"",""EN"")"),"For the best of all for the customer")</f>
        <v>For the best of all for the customer</v>
      </c>
    </row>
    <row r="2877" ht="14.25" customHeight="1">
      <c r="A2877" s="1">
        <v>100.0</v>
      </c>
      <c r="B2877" s="1" t="s">
        <v>1245</v>
      </c>
      <c r="C2877" s="1">
        <v>9.0</v>
      </c>
      <c r="D2877" s="1" t="s">
        <v>505</v>
      </c>
      <c r="E2877" s="1" t="str">
        <f>IFERROR(__xludf.DUMMYFUNCTION("GOOGLETRANSLATE(D2877,""PT"",""EN"")"),"9")</f>
        <v>9</v>
      </c>
    </row>
    <row r="2878" ht="14.25" customHeight="1">
      <c r="A2878" s="1">
        <v>100.0</v>
      </c>
      <c r="B2878" s="1" t="s">
        <v>1245</v>
      </c>
      <c r="C2878" s="1">
        <v>10.0</v>
      </c>
      <c r="D2878" s="1" t="s">
        <v>6</v>
      </c>
      <c r="E2878" s="1"/>
    </row>
    <row r="2879" ht="14.25" customHeight="1">
      <c r="A2879" s="1">
        <v>100.0</v>
      </c>
      <c r="B2879" s="1" t="s">
        <v>1245</v>
      </c>
      <c r="C2879" s="1">
        <v>9.0</v>
      </c>
      <c r="D2879" s="1" t="s">
        <v>1277</v>
      </c>
      <c r="E2879" s="1" t="str">
        <f>IFERROR(__xludf.DUMMYFUNCTION("GOOGLETRANSLATE(D2879,""PT"",""EN"")"),"The service very good especially in agencies")</f>
        <v>The service very good especially in agencies</v>
      </c>
    </row>
    <row r="2880" ht="14.25" customHeight="1">
      <c r="A2880" s="1">
        <v>100.0</v>
      </c>
      <c r="B2880" s="1" t="s">
        <v>1245</v>
      </c>
      <c r="C2880" s="1">
        <v>10.0</v>
      </c>
      <c r="D2880" s="1" t="s">
        <v>6</v>
      </c>
      <c r="E2880" s="1"/>
    </row>
    <row r="2881" ht="14.25" customHeight="1">
      <c r="A2881" s="1">
        <v>100.0</v>
      </c>
      <c r="B2881" s="1" t="s">
        <v>1245</v>
      </c>
      <c r="C2881" s="1">
        <v>10.0</v>
      </c>
      <c r="D2881" s="2" t="s">
        <v>1278</v>
      </c>
      <c r="E2881" s="1" t="str">
        <f>IFERROR(__xludf.DUMMYFUNCTION("GOOGLETRANSLATE(D2881,""PT"",""EN"")"),"Whenever I need a credit, the approval is immediate, great portions is interest within the standard.")</f>
        <v>Whenever I need a credit, the approval is immediate, great portions is interest within the standard.</v>
      </c>
    </row>
    <row r="2882" ht="14.25" customHeight="1">
      <c r="A2882" s="1">
        <v>100.0</v>
      </c>
      <c r="B2882" s="1" t="s">
        <v>1245</v>
      </c>
      <c r="C2882" s="1">
        <v>10.0</v>
      </c>
      <c r="D2882" s="2" t="s">
        <v>342</v>
      </c>
      <c r="E2882" s="1" t="str">
        <f>IFERROR(__xludf.DUMMYFUNCTION("GOOGLETRANSLATE(D2882,""PT"",""EN"")"),"Perfect service")</f>
        <v>Perfect service</v>
      </c>
    </row>
    <row r="2883" ht="14.25" customHeight="1">
      <c r="A2883" s="1">
        <v>33.0</v>
      </c>
      <c r="B2883" s="1" t="s">
        <v>1245</v>
      </c>
      <c r="C2883" s="1">
        <v>0.0</v>
      </c>
      <c r="D2883" s="2" t="s">
        <v>1279</v>
      </c>
      <c r="E2883" s="1" t="str">
        <f>IFERROR(__xludf.DUMMYFUNCTION("GOOGLETRANSLATE(D2883,""PT"",""EN"")"),"I closed my account at Sicoob in December 2022 today are June 2, 2023 I have not received the amount that is retained when opening the account. If I had taken 1,000.00 borrowed for sure in 06 months I would have to pay almost double the amount is how much"&amp;" I will receive besides the 1,000.00 that was retained. At the time of closing the account it was lacking clarification of what the procedure would be like until the act is finished, communication for pessima you are only valued when you will open the acc"&amp;"ount there yes you get connection all the time. But to finish the account you have to stay behind calling is passing anger. This is my reason.")</f>
        <v>I closed my account at Sicoob in December 2022 today are June 2, 2023 I have not received the amount that is retained when opening the account. If I had taken 1,000.00 borrowed for sure in 06 months I would have to pay almost double the amount is how much I will receive besides the 1,000.00 that was retained. At the time of closing the account it was lacking clarification of what the procedure would be like until the act is finished, communication for pessima you are only valued when you will open the account there yes you get connection all the time. But to finish the account you have to stay behind calling is passing anger. This is my reason.</v>
      </c>
    </row>
    <row r="2884" ht="14.25" customHeight="1">
      <c r="A2884" s="1">
        <v>33.0</v>
      </c>
      <c r="B2884" s="1" t="s">
        <v>1245</v>
      </c>
      <c r="C2884" s="1">
        <v>3.0</v>
      </c>
      <c r="D2884" s="1" t="s">
        <v>6</v>
      </c>
      <c r="E2884" s="1"/>
    </row>
    <row r="2885" ht="14.25" customHeight="1">
      <c r="A2885" s="1">
        <v>100.0</v>
      </c>
      <c r="B2885" s="1" t="s">
        <v>1245</v>
      </c>
      <c r="C2885" s="1">
        <v>10.0</v>
      </c>
      <c r="D2885" s="1" t="s">
        <v>6</v>
      </c>
      <c r="E2885" s="1"/>
    </row>
    <row r="2886" ht="14.25" customHeight="1">
      <c r="A2886" s="1">
        <v>100.0</v>
      </c>
      <c r="B2886" s="1" t="s">
        <v>1245</v>
      </c>
      <c r="C2886" s="1">
        <v>10.0</v>
      </c>
      <c r="D2886" s="1" t="s">
        <v>37</v>
      </c>
      <c r="E2886" s="1" t="str">
        <f>IFERROR(__xludf.DUMMYFUNCTION("GOOGLETRANSLATE(D2886,""PT"",""EN"")"),"Great service")</f>
        <v>Great service</v>
      </c>
    </row>
    <row r="2887" ht="14.25" customHeight="1">
      <c r="A2887" s="1">
        <v>100.0</v>
      </c>
      <c r="B2887" s="1" t="s">
        <v>1245</v>
      </c>
      <c r="C2887" s="1">
        <v>10.0</v>
      </c>
      <c r="D2887" s="1" t="s">
        <v>6</v>
      </c>
      <c r="E2887" s="1"/>
    </row>
    <row r="2888" ht="14.25" customHeight="1">
      <c r="A2888" s="1">
        <v>100.0</v>
      </c>
      <c r="B2888" s="1" t="s">
        <v>1245</v>
      </c>
      <c r="C2888" s="1">
        <v>10.0</v>
      </c>
      <c r="D2888" s="1" t="s">
        <v>179</v>
      </c>
      <c r="E2888" s="1" t="str">
        <f>IFERROR(__xludf.DUMMYFUNCTION("GOOGLETRANSLATE(D2888,""PT"",""EN"")"),"Ease")</f>
        <v>Ease</v>
      </c>
    </row>
    <row r="2889" ht="14.25" customHeight="1">
      <c r="A2889" s="1">
        <v>100.0</v>
      </c>
      <c r="B2889" s="1" t="s">
        <v>1245</v>
      </c>
      <c r="C2889" s="1">
        <v>10.0</v>
      </c>
      <c r="D2889" s="1" t="s">
        <v>1280</v>
      </c>
      <c r="E2889" s="1" t="str">
        <f>IFERROR(__xludf.DUMMYFUNCTION("GOOGLETRANSLATE(D2889,""PT"",""EN"")"),"I was very well attended by everyone.")</f>
        <v>I was very well attended by everyone.</v>
      </c>
    </row>
    <row r="2890" ht="14.25" customHeight="1">
      <c r="A2890" s="1">
        <v>100.0</v>
      </c>
      <c r="B2890" s="1" t="s">
        <v>1245</v>
      </c>
      <c r="C2890" s="1">
        <v>10.0</v>
      </c>
      <c r="D2890" s="1" t="s">
        <v>6</v>
      </c>
      <c r="E2890" s="1"/>
    </row>
    <row r="2891" ht="14.25" customHeight="1">
      <c r="A2891" s="1">
        <v>66.0</v>
      </c>
      <c r="B2891" s="1" t="s">
        <v>1245</v>
      </c>
      <c r="C2891" s="1">
        <v>8.0</v>
      </c>
      <c r="D2891" s="1" t="s">
        <v>62</v>
      </c>
      <c r="E2891" s="1" t="str">
        <f>IFERROR(__xludf.DUMMYFUNCTION("GOOGLETRANSLATE(D2891,""PT"",""EN"")"),"Good service")</f>
        <v>Good service</v>
      </c>
    </row>
    <row r="2892" ht="14.25" customHeight="1">
      <c r="A2892" s="1">
        <v>100.0</v>
      </c>
      <c r="B2892" s="1" t="s">
        <v>1245</v>
      </c>
      <c r="C2892" s="1">
        <v>10.0</v>
      </c>
      <c r="D2892" s="1" t="s">
        <v>14</v>
      </c>
      <c r="E2892" s="1" t="str">
        <f>IFERROR(__xludf.DUMMYFUNCTION("GOOGLETRANSLATE(D2892,""PT"",""EN"")"),"Good service, agility.")</f>
        <v>Good service, agility.</v>
      </c>
    </row>
    <row r="2893" ht="14.25" customHeight="1">
      <c r="A2893" s="1">
        <v>100.0</v>
      </c>
      <c r="B2893" s="1" t="s">
        <v>1245</v>
      </c>
      <c r="C2893" s="1">
        <v>10.0</v>
      </c>
      <c r="D2893" s="2" t="s">
        <v>1281</v>
      </c>
      <c r="E2893" s="1" t="str">
        <f>IFERROR(__xludf.DUMMYFUNCTION("GOOGLETRANSLATE(D2893,""PT"",""EN"")"),"Efficiency, agility is security.")</f>
        <v>Efficiency, agility is security.</v>
      </c>
    </row>
    <row r="2894" ht="14.25" customHeight="1">
      <c r="A2894" s="1">
        <v>100.0</v>
      </c>
      <c r="B2894" s="1" t="s">
        <v>1245</v>
      </c>
      <c r="C2894" s="1">
        <v>9.0</v>
      </c>
      <c r="D2894" s="1" t="s">
        <v>6</v>
      </c>
      <c r="E2894" s="1"/>
    </row>
    <row r="2895" ht="14.25" customHeight="1">
      <c r="A2895" s="1">
        <v>33.0</v>
      </c>
      <c r="B2895" s="1" t="s">
        <v>1245</v>
      </c>
      <c r="C2895" s="1">
        <v>3.0</v>
      </c>
      <c r="D2895" s="1" t="s">
        <v>1282</v>
      </c>
      <c r="E2895" s="1" t="str">
        <f>IFERROR(__xludf.DUMMYFUNCTION("GOOGLETRANSLATE(D2895,""PT"",""EN"")"),"Absence of liability")</f>
        <v>Absence of liability</v>
      </c>
    </row>
    <row r="2896" ht="14.25" customHeight="1">
      <c r="A2896" s="1">
        <v>66.0</v>
      </c>
      <c r="B2896" s="1" t="s">
        <v>1245</v>
      </c>
      <c r="C2896" s="1">
        <v>8.0</v>
      </c>
      <c r="D2896" s="1" t="s">
        <v>1283</v>
      </c>
      <c r="E2896" s="1" t="str">
        <f>IFERROR(__xludf.DUMMYFUNCTION("GOOGLETRANSLATE(D2896,""PT"",""EN"")"),"Folder a good service")</f>
        <v>Folder a good service</v>
      </c>
    </row>
    <row r="2897" ht="14.25" customHeight="1">
      <c r="A2897" s="1">
        <v>33.0</v>
      </c>
      <c r="B2897" s="1" t="s">
        <v>1245</v>
      </c>
      <c r="C2897" s="1">
        <v>0.0</v>
      </c>
      <c r="D2897" s="1" t="s">
        <v>6</v>
      </c>
      <c r="E2897" s="1"/>
    </row>
    <row r="2898" ht="14.25" customHeight="1">
      <c r="A2898" s="1">
        <v>100.0</v>
      </c>
      <c r="B2898" s="1" t="s">
        <v>1245</v>
      </c>
      <c r="C2898" s="1">
        <v>10.0</v>
      </c>
      <c r="D2898" s="1" t="s">
        <v>1284</v>
      </c>
      <c r="E2898" s="1" t="str">
        <f>IFERROR(__xludf.DUMMYFUNCTION("GOOGLETRANSLATE(D2898,""PT"",""EN"")"),"Best bank")</f>
        <v>Best bank</v>
      </c>
    </row>
    <row r="2899" ht="14.25" customHeight="1">
      <c r="A2899" s="1">
        <v>100.0</v>
      </c>
      <c r="B2899" s="1" t="s">
        <v>1245</v>
      </c>
      <c r="C2899" s="1">
        <v>10.0</v>
      </c>
      <c r="D2899" s="1" t="s">
        <v>6</v>
      </c>
      <c r="E2899" s="1"/>
    </row>
    <row r="2900" ht="14.25" customHeight="1">
      <c r="A2900" s="1">
        <v>100.0</v>
      </c>
      <c r="B2900" s="1" t="s">
        <v>1245</v>
      </c>
      <c r="C2900" s="1">
        <v>10.0</v>
      </c>
      <c r="D2900" s="1" t="s">
        <v>6</v>
      </c>
      <c r="E2900" s="1"/>
    </row>
    <row r="2901" ht="14.25" customHeight="1">
      <c r="A2901" s="1">
        <v>100.0</v>
      </c>
      <c r="B2901" s="1" t="s">
        <v>1245</v>
      </c>
      <c r="C2901" s="1">
        <v>9.0</v>
      </c>
      <c r="D2901" s="1" t="s">
        <v>6</v>
      </c>
      <c r="E2901" s="1"/>
    </row>
    <row r="2902" ht="14.25" customHeight="1">
      <c r="A2902" s="1">
        <v>33.0</v>
      </c>
      <c r="B2902" s="1" t="s">
        <v>1245</v>
      </c>
      <c r="C2902" s="1">
        <v>3.0</v>
      </c>
      <c r="D2902" s="1" t="s">
        <v>6</v>
      </c>
      <c r="E2902" s="1"/>
    </row>
    <row r="2903" ht="14.25" customHeight="1">
      <c r="A2903" s="1">
        <v>100.0</v>
      </c>
      <c r="B2903" s="1" t="s">
        <v>1245</v>
      </c>
      <c r="C2903" s="1">
        <v>10.0</v>
      </c>
      <c r="D2903" s="1" t="s">
        <v>1285</v>
      </c>
      <c r="E2903" s="1" t="str">
        <f>IFERROR(__xludf.DUMMYFUNCTION("GOOGLETRANSLATE(D2903,""PT"",""EN"")"),"Top mt good, the best I have found to this day")</f>
        <v>Top mt good, the best I have found to this day</v>
      </c>
    </row>
    <row r="2904" ht="14.25" customHeight="1">
      <c r="A2904" s="1">
        <v>33.0</v>
      </c>
      <c r="B2904" s="1" t="s">
        <v>1245</v>
      </c>
      <c r="C2904" s="1">
        <v>2.0</v>
      </c>
      <c r="D2904" s="1" t="s">
        <v>1286</v>
      </c>
      <c r="E2904" s="1" t="str">
        <f>IFERROR(__xludf.DUMMYFUNCTION("GOOGLETRANSLATE(D2904,""PT"",""EN"")"),"FRAC")</f>
        <v>FRAC</v>
      </c>
    </row>
    <row r="2905" ht="14.25" customHeight="1">
      <c r="A2905" s="1">
        <v>100.0</v>
      </c>
      <c r="B2905" s="1" t="s">
        <v>1245</v>
      </c>
      <c r="C2905" s="1">
        <v>10.0</v>
      </c>
      <c r="D2905" s="2" t="s">
        <v>1287</v>
      </c>
      <c r="E2905" s="1" t="str">
        <f>IFERROR(__xludf.DUMMYFUNCTION("GOOGLETRANSLATE(D2905,""PT"",""EN"")"),"Agility is ready service.")</f>
        <v>Agility is ready service.</v>
      </c>
    </row>
    <row r="2906" ht="14.25" customHeight="1">
      <c r="A2906" s="1">
        <v>100.0</v>
      </c>
      <c r="B2906" s="1" t="s">
        <v>1245</v>
      </c>
      <c r="C2906" s="1">
        <v>10.0</v>
      </c>
      <c r="D2906" s="1" t="s">
        <v>6</v>
      </c>
      <c r="E2906" s="1"/>
    </row>
    <row r="2907" ht="14.25" customHeight="1">
      <c r="A2907" s="1">
        <v>66.0</v>
      </c>
      <c r="B2907" s="1" t="s">
        <v>1245</v>
      </c>
      <c r="C2907" s="1">
        <v>7.0</v>
      </c>
      <c r="D2907" s="1" t="s">
        <v>6</v>
      </c>
      <c r="E2907" s="1"/>
    </row>
    <row r="2908" ht="14.25" customHeight="1">
      <c r="A2908" s="1">
        <v>33.0</v>
      </c>
      <c r="B2908" s="1" t="s">
        <v>1245</v>
      </c>
      <c r="C2908" s="1">
        <v>1.0</v>
      </c>
      <c r="D2908" s="1" t="s">
        <v>6</v>
      </c>
      <c r="E2908" s="1"/>
    </row>
    <row r="2909" ht="14.25" customHeight="1">
      <c r="A2909" s="1">
        <v>100.0</v>
      </c>
      <c r="B2909" s="1" t="s">
        <v>1245</v>
      </c>
      <c r="C2909" s="1">
        <v>10.0</v>
      </c>
      <c r="D2909" s="1" t="s">
        <v>1288</v>
      </c>
      <c r="E2909" s="1" t="str">
        <f>IFERROR(__xludf.DUMMYFUNCTION("GOOGLETRANSLATE(D2909,""PT"",""EN"")"),"Because they are very attentive to their customers")</f>
        <v>Because they are very attentive to their customers</v>
      </c>
    </row>
    <row r="2910" ht="14.25" customHeight="1">
      <c r="A2910" s="1">
        <v>100.0</v>
      </c>
      <c r="B2910" s="1" t="s">
        <v>1245</v>
      </c>
      <c r="C2910" s="1">
        <v>10.0</v>
      </c>
      <c r="D2910" s="1" t="s">
        <v>6</v>
      </c>
      <c r="E2910" s="1"/>
    </row>
    <row r="2911" ht="14.25" customHeight="1">
      <c r="A2911" s="1">
        <v>100.0</v>
      </c>
      <c r="B2911" s="1" t="s">
        <v>1245</v>
      </c>
      <c r="C2911" s="1">
        <v>10.0</v>
      </c>
      <c r="D2911" s="2" t="s">
        <v>208</v>
      </c>
      <c r="E2911" s="1" t="str">
        <f>IFERROR(__xludf.DUMMYFUNCTION("GOOGLETRANSLATE(D2911,""PT"",""EN"")"),"excellent")</f>
        <v>excellent</v>
      </c>
    </row>
    <row r="2912" ht="14.25" customHeight="1">
      <c r="A2912" s="1">
        <v>100.0</v>
      </c>
      <c r="B2912" s="1" t="s">
        <v>1245</v>
      </c>
      <c r="C2912" s="1">
        <v>10.0</v>
      </c>
      <c r="D2912" s="1" t="s">
        <v>1289</v>
      </c>
      <c r="E2912" s="1" t="str">
        <f>IFERROR(__xludf.DUMMYFUNCTION("GOOGLETRANSLATE(D2912,""PT"",""EN"")"),"Satisfaction with the bank")</f>
        <v>Satisfaction with the bank</v>
      </c>
    </row>
    <row r="2913" ht="14.25" customHeight="1">
      <c r="A2913" s="1">
        <v>100.0</v>
      </c>
      <c r="B2913" s="1" t="s">
        <v>1245</v>
      </c>
      <c r="C2913" s="1">
        <v>10.0</v>
      </c>
      <c r="D2913" s="1" t="s">
        <v>6</v>
      </c>
      <c r="E2913" s="1"/>
    </row>
    <row r="2914" ht="14.25" customHeight="1">
      <c r="A2914" s="1">
        <v>100.0</v>
      </c>
      <c r="B2914" s="1" t="s">
        <v>1245</v>
      </c>
      <c r="C2914" s="1">
        <v>10.0</v>
      </c>
      <c r="D2914" s="1" t="s">
        <v>6</v>
      </c>
      <c r="E2914" s="1"/>
    </row>
    <row r="2915" ht="14.25" customHeight="1">
      <c r="A2915" s="1">
        <v>100.0</v>
      </c>
      <c r="B2915" s="1" t="s">
        <v>1245</v>
      </c>
      <c r="C2915" s="1">
        <v>10.0</v>
      </c>
      <c r="D2915" s="1" t="s">
        <v>6</v>
      </c>
      <c r="E2915" s="1"/>
    </row>
    <row r="2916" ht="14.25" customHeight="1">
      <c r="A2916" s="1">
        <v>33.0</v>
      </c>
      <c r="B2916" s="1" t="s">
        <v>1245</v>
      </c>
      <c r="C2916" s="1">
        <v>0.0</v>
      </c>
      <c r="D2916" s="1" t="s">
        <v>1290</v>
      </c>
      <c r="E2916" s="1" t="str">
        <f>IFERROR(__xludf.DUMMYFUNCTION("GOOGLETRANSLATE(D2916,""PT"",""EN"")"),"worse bank")</f>
        <v>worse bank</v>
      </c>
    </row>
    <row r="2917" ht="14.25" customHeight="1">
      <c r="A2917" s="1">
        <v>33.0</v>
      </c>
      <c r="B2917" s="1" t="s">
        <v>1245</v>
      </c>
      <c r="C2917" s="1">
        <v>2.0</v>
      </c>
      <c r="D2917" s="1" t="s">
        <v>6</v>
      </c>
      <c r="E2917" s="1"/>
    </row>
    <row r="2918" ht="14.25" customHeight="1">
      <c r="A2918" s="1">
        <v>100.0</v>
      </c>
      <c r="B2918" s="1" t="s">
        <v>1245</v>
      </c>
      <c r="C2918" s="1">
        <v>10.0</v>
      </c>
      <c r="D2918" s="1" t="s">
        <v>6</v>
      </c>
      <c r="E2918" s="1"/>
    </row>
    <row r="2919" ht="14.25" customHeight="1">
      <c r="A2919" s="1">
        <v>33.0</v>
      </c>
      <c r="B2919" s="1" t="s">
        <v>1245</v>
      </c>
      <c r="C2919" s="1">
        <v>0.0</v>
      </c>
      <c r="D2919" s="2" t="s">
        <v>1291</v>
      </c>
      <c r="E2919" s="1" t="str">
        <f>IFERROR(__xludf.DUMMYFUNCTION("GOOGLETRANSLATE(D2919,""PT"",""EN"")"),"Assistance from the Pessimo Agency")</f>
        <v>Assistance from the Pessimo Agency</v>
      </c>
    </row>
    <row r="2920" ht="14.25" customHeight="1">
      <c r="A2920" s="1">
        <v>100.0</v>
      </c>
      <c r="B2920" s="1" t="s">
        <v>1245</v>
      </c>
      <c r="C2920" s="1">
        <v>9.0</v>
      </c>
      <c r="D2920" s="1" t="s">
        <v>6</v>
      </c>
      <c r="E2920" s="1"/>
    </row>
    <row r="2921" ht="14.25" customHeight="1">
      <c r="A2921" s="1">
        <v>100.0</v>
      </c>
      <c r="B2921" s="1" t="s">
        <v>1245</v>
      </c>
      <c r="C2921" s="1">
        <v>10.0</v>
      </c>
      <c r="D2921" s="1" t="s">
        <v>6</v>
      </c>
      <c r="E2921" s="1"/>
    </row>
    <row r="2922" ht="14.25" customHeight="1">
      <c r="A2922" s="1">
        <v>100.0</v>
      </c>
      <c r="B2922" s="1" t="s">
        <v>1245</v>
      </c>
      <c r="C2922" s="1">
        <v>10.0</v>
      </c>
      <c r="D2922" s="1" t="s">
        <v>1292</v>
      </c>
      <c r="E2922" s="1" t="str">
        <f>IFERROR(__xludf.DUMMYFUNCTION("GOOGLETRANSLATE(D2922,""PT"",""EN"")"),"Very good service")</f>
        <v>Very good service</v>
      </c>
    </row>
    <row r="2923" ht="14.25" customHeight="1">
      <c r="A2923" s="1">
        <v>100.0</v>
      </c>
      <c r="B2923" s="1" t="s">
        <v>1245</v>
      </c>
      <c r="C2923" s="1">
        <v>10.0</v>
      </c>
      <c r="D2923" s="1" t="s">
        <v>6</v>
      </c>
      <c r="E2923" s="1"/>
    </row>
    <row r="2924" ht="14.25" customHeight="1">
      <c r="A2924" s="1">
        <v>100.0</v>
      </c>
      <c r="B2924" s="1" t="s">
        <v>1245</v>
      </c>
      <c r="C2924" s="1">
        <v>10.0</v>
      </c>
      <c r="D2924" s="2" t="s">
        <v>1293</v>
      </c>
      <c r="E2924" s="1" t="str">
        <f>IFERROR(__xludf.DUMMYFUNCTION("GOOGLETRANSLATE(D2924,""PT"",""EN"")"),"Because you have known the system for a long time is to see how much more advantageous than commercial banks")</f>
        <v>Because you have known the system for a long time is to see how much more advantageous than commercial banks</v>
      </c>
    </row>
    <row r="2925" ht="14.25" customHeight="1">
      <c r="A2925" s="1">
        <v>100.0</v>
      </c>
      <c r="B2925" s="1" t="s">
        <v>1245</v>
      </c>
      <c r="C2925" s="1">
        <v>9.0</v>
      </c>
      <c r="D2925" s="1" t="s">
        <v>159</v>
      </c>
      <c r="E2925" s="1" t="str">
        <f>IFERROR(__xludf.DUMMYFUNCTION("GOOGLETRANSLATE(D2925,""PT"",""EN"")"),"Attention")</f>
        <v>Attention</v>
      </c>
    </row>
    <row r="2926" ht="14.25" customHeight="1">
      <c r="A2926" s="1">
        <v>100.0</v>
      </c>
      <c r="B2926" s="1" t="s">
        <v>1245</v>
      </c>
      <c r="C2926" s="1">
        <v>10.0</v>
      </c>
      <c r="D2926" s="1" t="s">
        <v>1294</v>
      </c>
      <c r="E2926" s="1" t="str">
        <f>IFERROR(__xludf.DUMMYFUNCTION("GOOGLETRANSLATE(D2926,""PT"",""EN"")"),"A bank with an excellent application to work. Very attentive employees.")</f>
        <v>A bank with an excellent application to work. Very attentive employees.</v>
      </c>
    </row>
    <row r="2927" ht="14.25" customHeight="1">
      <c r="A2927" s="1">
        <v>100.0</v>
      </c>
      <c r="B2927" s="1" t="s">
        <v>1245</v>
      </c>
      <c r="C2927" s="1">
        <v>10.0</v>
      </c>
      <c r="D2927" s="1" t="s">
        <v>17</v>
      </c>
      <c r="E2927" s="1" t="str">
        <f>IFERROR(__xludf.DUMMYFUNCTION("GOOGLETRANSLATE(D2927,""PT"",""EN"")"),"Satisfaction")</f>
        <v>Satisfaction</v>
      </c>
    </row>
    <row r="2928" ht="14.25" customHeight="1">
      <c r="A2928" s="1">
        <v>100.0</v>
      </c>
      <c r="B2928" s="1" t="s">
        <v>1245</v>
      </c>
      <c r="C2928" s="1">
        <v>10.0</v>
      </c>
      <c r="D2928" s="1" t="s">
        <v>1295</v>
      </c>
      <c r="E2928" s="1" t="str">
        <f>IFERROR(__xludf.DUMMYFUNCTION("GOOGLETRANSLATE(D2928,""PT"",""EN"")"),"Great service to associates.")</f>
        <v>Great service to associates.</v>
      </c>
    </row>
    <row r="2929" ht="14.25" customHeight="1">
      <c r="A2929" s="1">
        <v>100.0</v>
      </c>
      <c r="B2929" s="1" t="s">
        <v>1245</v>
      </c>
      <c r="C2929" s="1">
        <v>10.0</v>
      </c>
      <c r="D2929" s="1" t="s">
        <v>1296</v>
      </c>
      <c r="E2929" s="1" t="str">
        <f>IFERROR(__xludf.DUMMYFUNCTION("GOOGLETRANSLATE(D2929,""PT"",""EN"")"),"Very good service, correct service, it is perfect")</f>
        <v>Very good service, correct service, it is perfect</v>
      </c>
    </row>
    <row r="2930" ht="14.25" customHeight="1">
      <c r="A2930" s="1">
        <v>100.0</v>
      </c>
      <c r="B2930" s="1" t="s">
        <v>1245</v>
      </c>
      <c r="C2930" s="1">
        <v>9.0</v>
      </c>
      <c r="D2930" s="1" t="s">
        <v>6</v>
      </c>
      <c r="E2930" s="1"/>
    </row>
    <row r="2931" ht="14.25" customHeight="1">
      <c r="A2931" s="1">
        <v>100.0</v>
      </c>
      <c r="B2931" s="1" t="s">
        <v>1245</v>
      </c>
      <c r="C2931" s="1">
        <v>10.0</v>
      </c>
      <c r="D2931" s="2" t="s">
        <v>1297</v>
      </c>
      <c r="E2931" s="1" t="str">
        <f>IFERROR(__xludf.DUMMYFUNCTION("GOOGLETRANSLATE(D2931,""PT"",""EN"")"),"Because it is a very good bank the service is excellent fast")</f>
        <v>Because it is a very good bank the service is excellent fast</v>
      </c>
    </row>
    <row r="2932" ht="14.25" customHeight="1">
      <c r="A2932" s="1">
        <v>33.0</v>
      </c>
      <c r="B2932" s="1" t="s">
        <v>1245</v>
      </c>
      <c r="C2932" s="1">
        <v>4.0</v>
      </c>
      <c r="D2932" s="2" t="s">
        <v>1298</v>
      </c>
      <c r="E2932" s="1" t="str">
        <f>IFERROR(__xludf.DUMMYFUNCTION("GOOGLETRANSLATE(D2932,""PT"",""EN"")"),"Lots of bureaucracy, but the servers serve very well. Note 4 refers to bureaucracy in the bank system. Employee service is grade 10.")</f>
        <v>Lots of bureaucracy, but the servers serve very well. Note 4 refers to bureaucracy in the bank system. Employee service is grade 10.</v>
      </c>
    </row>
    <row r="2933" ht="14.25" customHeight="1">
      <c r="A2933" s="1">
        <v>100.0</v>
      </c>
      <c r="B2933" s="1" t="s">
        <v>1245</v>
      </c>
      <c r="C2933" s="1">
        <v>9.0</v>
      </c>
      <c r="D2933" s="1" t="s">
        <v>1299</v>
      </c>
      <c r="E2933" s="1" t="str">
        <f>IFERROR(__xludf.DUMMYFUNCTION("GOOGLETRANSLATE(D2933,""PT"",""EN"")"),"Easy to use")</f>
        <v>Easy to use</v>
      </c>
    </row>
    <row r="2934" ht="14.25" customHeight="1">
      <c r="A2934" s="1">
        <v>100.0</v>
      </c>
      <c r="B2934" s="1" t="s">
        <v>1245</v>
      </c>
      <c r="C2934" s="1">
        <v>10.0</v>
      </c>
      <c r="D2934" s="1" t="s">
        <v>1300</v>
      </c>
      <c r="E2934" s="1" t="str">
        <f>IFERROR(__xludf.DUMMYFUNCTION("GOOGLETRANSLATE(D2934,""PT"",""EN"")"),"Excellent service!")</f>
        <v>Excellent service!</v>
      </c>
    </row>
    <row r="2935" ht="14.25" customHeight="1">
      <c r="A2935" s="1">
        <v>100.0</v>
      </c>
      <c r="B2935" s="1" t="s">
        <v>1245</v>
      </c>
      <c r="C2935" s="1">
        <v>10.0</v>
      </c>
      <c r="D2935" s="1" t="s">
        <v>1301</v>
      </c>
      <c r="E2935" s="1" t="str">
        <f>IFERROR(__xludf.DUMMYFUNCTION("GOOGLETRANSLATE(D2935,""PT"",""EN"")"),"A")</f>
        <v>A</v>
      </c>
    </row>
    <row r="2936" ht="14.25" customHeight="1">
      <c r="A2936" s="1">
        <v>100.0</v>
      </c>
      <c r="B2936" s="1" t="s">
        <v>1245</v>
      </c>
      <c r="C2936" s="1">
        <v>10.0</v>
      </c>
      <c r="D2936" s="2" t="s">
        <v>393</v>
      </c>
      <c r="E2936" s="1" t="str">
        <f>IFERROR(__xludf.DUMMYFUNCTION("GOOGLETRANSLATE(D2936,""PT"",""EN"")"),"great")</f>
        <v>great</v>
      </c>
    </row>
    <row r="2937" ht="14.25" customHeight="1">
      <c r="A2937" s="1">
        <v>100.0</v>
      </c>
      <c r="B2937" s="1" t="s">
        <v>1245</v>
      </c>
      <c r="C2937" s="1">
        <v>10.0</v>
      </c>
      <c r="D2937" s="2" t="s">
        <v>1302</v>
      </c>
      <c r="E2937" s="1" t="str">
        <f>IFERROR(__xludf.DUMMYFUNCTION("GOOGLETRANSLATE(D2937,""PT"",""EN"")"),"It's a very good bank, everything easy to solve, congratulations Sicoob has a wonderful team.")</f>
        <v>It's a very good bank, everything easy to solve, congratulations Sicoob has a wonderful team.</v>
      </c>
    </row>
    <row r="2938" ht="14.25" customHeight="1">
      <c r="A2938" s="1">
        <v>33.0</v>
      </c>
      <c r="B2938" s="1" t="s">
        <v>1245</v>
      </c>
      <c r="C2938" s="1">
        <v>3.0</v>
      </c>
      <c r="D2938" s="1" t="s">
        <v>6</v>
      </c>
      <c r="E2938" s="1"/>
    </row>
    <row r="2939" ht="14.25" customHeight="1">
      <c r="A2939" s="1">
        <v>100.0</v>
      </c>
      <c r="B2939" s="1" t="s">
        <v>1245</v>
      </c>
      <c r="C2939" s="1">
        <v>10.0</v>
      </c>
      <c r="D2939" s="1" t="s">
        <v>6</v>
      </c>
      <c r="E2939" s="1"/>
    </row>
    <row r="2940" ht="14.25" customHeight="1">
      <c r="A2940" s="1">
        <v>33.0</v>
      </c>
      <c r="B2940" s="1" t="s">
        <v>1245</v>
      </c>
      <c r="C2940" s="1">
        <v>4.0</v>
      </c>
      <c r="D2940" s="2" t="s">
        <v>1303</v>
      </c>
      <c r="E2940" s="1" t="str">
        <f>IFERROR(__xludf.DUMMYFUNCTION("GOOGLETRANSLATE(D2940,""PT"",""EN"")"),"The fact that when I make an investment in savings (deposit) it does not fall on the same day, horrible failure.")</f>
        <v>The fact that when I make an investment in savings (deposit) it does not fall on the same day, horrible failure.</v>
      </c>
    </row>
    <row r="2941" ht="14.25" customHeight="1">
      <c r="A2941" s="1">
        <v>33.0</v>
      </c>
      <c r="B2941" s="1" t="s">
        <v>1245</v>
      </c>
      <c r="C2941" s="1">
        <v>0.0</v>
      </c>
      <c r="D2941" s="2" t="s">
        <v>1304</v>
      </c>
      <c r="E2941" s="1" t="str">
        <f>IFERROR(__xludf.DUMMYFUNCTION("GOOGLETRANSLATE(D2941,""PT"",""EN"")"),"Did not release anything for me note 0")</f>
        <v>Did not release anything for me note 0</v>
      </c>
    </row>
    <row r="2942" ht="14.25" customHeight="1">
      <c r="A2942" s="1">
        <v>100.0</v>
      </c>
      <c r="B2942" s="1" t="s">
        <v>1245</v>
      </c>
      <c r="C2942" s="1">
        <v>10.0</v>
      </c>
      <c r="D2942" s="1" t="s">
        <v>1305</v>
      </c>
      <c r="E2942" s="1" t="str">
        <f>IFERROR(__xludf.DUMMYFUNCTION("GOOGLETRANSLATE(D2942,""PT"",""EN"")"),"Always exceeds my expectations")</f>
        <v>Always exceeds my expectations</v>
      </c>
    </row>
    <row r="2943" ht="14.25" customHeight="1">
      <c r="A2943" s="1">
        <v>33.0</v>
      </c>
      <c r="B2943" s="1" t="s">
        <v>1245</v>
      </c>
      <c r="C2943" s="1">
        <v>4.0</v>
      </c>
      <c r="D2943" s="1" t="s">
        <v>6</v>
      </c>
      <c r="E2943" s="1"/>
    </row>
    <row r="2944" ht="14.25" customHeight="1">
      <c r="A2944" s="1">
        <v>100.0</v>
      </c>
      <c r="B2944" s="1" t="s">
        <v>1245</v>
      </c>
      <c r="C2944" s="1">
        <v>10.0</v>
      </c>
      <c r="D2944" s="1" t="s">
        <v>6</v>
      </c>
      <c r="E2944" s="1"/>
    </row>
    <row r="2945" ht="14.25" customHeight="1">
      <c r="A2945" s="1">
        <v>100.0</v>
      </c>
      <c r="B2945" s="1" t="s">
        <v>1245</v>
      </c>
      <c r="C2945" s="1">
        <v>10.0</v>
      </c>
      <c r="D2945" s="1" t="s">
        <v>6</v>
      </c>
      <c r="E2945" s="1"/>
    </row>
    <row r="2946" ht="14.25" customHeight="1">
      <c r="A2946" s="1">
        <v>100.0</v>
      </c>
      <c r="B2946" s="1" t="s">
        <v>1245</v>
      </c>
      <c r="C2946" s="1">
        <v>10.0</v>
      </c>
      <c r="D2946" s="1" t="s">
        <v>6</v>
      </c>
      <c r="E2946" s="1"/>
    </row>
    <row r="2947" ht="14.25" customHeight="1">
      <c r="A2947" s="1">
        <v>100.0</v>
      </c>
      <c r="B2947" s="1" t="s">
        <v>1245</v>
      </c>
      <c r="C2947" s="1">
        <v>10.0</v>
      </c>
      <c r="D2947" s="1" t="s">
        <v>1306</v>
      </c>
      <c r="E2947" s="1" t="str">
        <f>IFERROR(__xludf.DUMMYFUNCTION("GOOGLETRANSLATE(D2947,""PT"",""EN"")"),"Best bath")</f>
        <v>Best bath</v>
      </c>
    </row>
    <row r="2948" ht="14.25" customHeight="1">
      <c r="A2948" s="1">
        <v>100.0</v>
      </c>
      <c r="B2948" s="1" t="s">
        <v>1245</v>
      </c>
      <c r="C2948" s="1">
        <v>10.0</v>
      </c>
      <c r="D2948" s="1" t="s">
        <v>1307</v>
      </c>
      <c r="E2948" s="1" t="str">
        <f>IFERROR(__xludf.DUMMYFUNCTION("GOOGLETRANSLATE(D2948,""PT"",""EN"")"),"Excellence in service")</f>
        <v>Excellence in service</v>
      </c>
    </row>
    <row r="2949" ht="14.25" customHeight="1">
      <c r="A2949" s="1">
        <v>100.0</v>
      </c>
      <c r="B2949" s="1" t="s">
        <v>1245</v>
      </c>
      <c r="C2949" s="1">
        <v>9.0</v>
      </c>
      <c r="D2949" s="2" t="s">
        <v>1308</v>
      </c>
      <c r="E2949" s="1" t="str">
        <f>IFERROR(__xludf.DUMMYFUNCTION("GOOGLETRANSLATE(D2949,""PT"",""EN"")"),"Good service is companionship")</f>
        <v>Good service is companionship</v>
      </c>
    </row>
    <row r="2950" ht="14.25" customHeight="1">
      <c r="A2950" s="1">
        <v>100.0</v>
      </c>
      <c r="B2950" s="1" t="s">
        <v>1245</v>
      </c>
      <c r="C2950" s="1">
        <v>10.0</v>
      </c>
      <c r="D2950" s="1" t="s">
        <v>6</v>
      </c>
      <c r="E2950" s="1"/>
    </row>
    <row r="2951" ht="14.25" customHeight="1">
      <c r="A2951" s="1">
        <v>100.0</v>
      </c>
      <c r="B2951" s="1" t="s">
        <v>1245</v>
      </c>
      <c r="C2951" s="1">
        <v>10.0</v>
      </c>
      <c r="D2951" s="1" t="s">
        <v>6</v>
      </c>
      <c r="E2951" s="1"/>
    </row>
    <row r="2952" ht="14.25" customHeight="1">
      <c r="A2952" s="1">
        <v>100.0</v>
      </c>
      <c r="B2952" s="1" t="s">
        <v>1245</v>
      </c>
      <c r="C2952" s="1">
        <v>10.0</v>
      </c>
      <c r="D2952" s="2" t="s">
        <v>1309</v>
      </c>
      <c r="E2952" s="1" t="str">
        <f>IFERROR(__xludf.DUMMYFUNCTION("GOOGLETRANSLATE(D2952,""PT"",""EN"")"),"Easy, practical is fast. Not to mention the benefits")</f>
        <v>Easy, practical is fast. Not to mention the benefits</v>
      </c>
    </row>
    <row r="2953" ht="14.25" customHeight="1">
      <c r="A2953" s="1">
        <v>100.0</v>
      </c>
      <c r="B2953" s="1" t="s">
        <v>1245</v>
      </c>
      <c r="C2953" s="1">
        <v>10.0</v>
      </c>
      <c r="D2953" s="1" t="s">
        <v>6</v>
      </c>
      <c r="E2953" s="1"/>
    </row>
    <row r="2954" ht="14.25" customHeight="1">
      <c r="A2954" s="1">
        <v>33.0</v>
      </c>
      <c r="B2954" s="1" t="s">
        <v>1245</v>
      </c>
      <c r="C2954" s="1">
        <v>5.0</v>
      </c>
      <c r="D2954" s="1" t="s">
        <v>1310</v>
      </c>
      <c r="E2954" s="1" t="str">
        <f>IFERROR(__xludf.DUMMYFUNCTION("GOOGLETRANSLATE(D2954,""PT"",""EN"")"),"Many things you want")</f>
        <v>Many things you want</v>
      </c>
    </row>
    <row r="2955" ht="14.25" customHeight="1">
      <c r="A2955" s="1">
        <v>33.0</v>
      </c>
      <c r="B2955" s="1" t="s">
        <v>1245</v>
      </c>
      <c r="C2955" s="1">
        <v>0.0</v>
      </c>
      <c r="D2955" s="1" t="s">
        <v>6</v>
      </c>
      <c r="E2955" s="1"/>
    </row>
    <row r="2956" ht="14.25" customHeight="1">
      <c r="A2956" s="1">
        <v>100.0</v>
      </c>
      <c r="B2956" s="1" t="s">
        <v>1245</v>
      </c>
      <c r="C2956" s="1">
        <v>10.0</v>
      </c>
      <c r="D2956" s="1" t="s">
        <v>6</v>
      </c>
      <c r="E2956" s="1"/>
    </row>
    <row r="2957" ht="14.25" customHeight="1">
      <c r="A2957" s="1">
        <v>100.0</v>
      </c>
      <c r="B2957" s="1" t="s">
        <v>1245</v>
      </c>
      <c r="C2957" s="1">
        <v>10.0</v>
      </c>
      <c r="D2957" s="1" t="s">
        <v>6</v>
      </c>
      <c r="E2957" s="1"/>
    </row>
    <row r="2958" ht="14.25" customHeight="1">
      <c r="A2958" s="1">
        <v>100.0</v>
      </c>
      <c r="B2958" s="1" t="s">
        <v>1245</v>
      </c>
      <c r="C2958" s="1">
        <v>10.0</v>
      </c>
      <c r="D2958" s="1" t="s">
        <v>1311</v>
      </c>
      <c r="E2958" s="1" t="str">
        <f>IFERROR(__xludf.DUMMYFUNCTION("GOOGLETRANSLATE(D2958,""PT"",""EN"")"),"Good relationship")</f>
        <v>Good relationship</v>
      </c>
    </row>
    <row r="2959" ht="14.25" customHeight="1">
      <c r="A2959" s="1">
        <v>66.0</v>
      </c>
      <c r="B2959" s="1" t="s">
        <v>1245</v>
      </c>
      <c r="C2959" s="1">
        <v>8.0</v>
      </c>
      <c r="D2959" s="1" t="s">
        <v>6</v>
      </c>
      <c r="E2959" s="1"/>
    </row>
    <row r="2960" ht="14.25" customHeight="1">
      <c r="A2960" s="1">
        <v>33.0</v>
      </c>
      <c r="B2960" s="1" t="s">
        <v>1245</v>
      </c>
      <c r="C2960" s="1">
        <v>3.0</v>
      </c>
      <c r="D2960" s="1" t="s">
        <v>6</v>
      </c>
      <c r="E2960" s="1"/>
    </row>
    <row r="2961" ht="14.25" customHeight="1">
      <c r="A2961" s="1">
        <v>100.0</v>
      </c>
      <c r="B2961" s="1" t="s">
        <v>1245</v>
      </c>
      <c r="C2961" s="1">
        <v>9.0</v>
      </c>
      <c r="D2961" s="1" t="s">
        <v>6</v>
      </c>
      <c r="E2961" s="1"/>
    </row>
    <row r="2962" ht="14.25" customHeight="1">
      <c r="A2962" s="1">
        <v>33.0</v>
      </c>
      <c r="B2962" s="1" t="s">
        <v>1245</v>
      </c>
      <c r="C2962" s="1">
        <v>0.0</v>
      </c>
      <c r="D2962" s="2" t="s">
        <v>1312</v>
      </c>
      <c r="E2962" s="1" t="str">
        <f>IFERROR(__xludf.DUMMYFUNCTION("GOOGLETRANSLATE(D2962,""PT"",""EN"")"),"I didn't have approved credit card! Even with CPF without restriction! It should be easy to close the account! Not being able to close the account by the application ...")</f>
        <v>I didn't have approved credit card! Even with CPF without restriction! It should be easy to close the account! Not being able to close the account by the application ...</v>
      </c>
    </row>
    <row r="2963" ht="14.25" customHeight="1">
      <c r="A2963" s="1">
        <v>100.0</v>
      </c>
      <c r="B2963" s="1" t="s">
        <v>1245</v>
      </c>
      <c r="C2963" s="1">
        <v>10.0</v>
      </c>
      <c r="D2963" s="2" t="s">
        <v>1313</v>
      </c>
      <c r="E2963" s="1" t="str">
        <f>IFERROR(__xludf.DUMMYFUNCTION("GOOGLETRANSLATE(D2963,""PT"",""EN"")"),"10 is the service is good")</f>
        <v>10 is the service is good</v>
      </c>
    </row>
    <row r="2964" ht="14.25" customHeight="1">
      <c r="A2964" s="1">
        <v>100.0</v>
      </c>
      <c r="B2964" s="1" t="s">
        <v>1245</v>
      </c>
      <c r="C2964" s="1">
        <v>10.0</v>
      </c>
      <c r="D2964" s="1" t="s">
        <v>6</v>
      </c>
      <c r="E2964" s="1"/>
    </row>
    <row r="2965" ht="14.25" customHeight="1">
      <c r="A2965" s="1">
        <v>100.0</v>
      </c>
      <c r="B2965" s="1" t="s">
        <v>1245</v>
      </c>
      <c r="C2965" s="1">
        <v>10.0</v>
      </c>
      <c r="D2965" s="1" t="s">
        <v>1314</v>
      </c>
      <c r="E2965" s="1" t="str">
        <f>IFERROR(__xludf.DUMMYFUNCTION("GOOGLETRANSLATE(D2965,""PT"",""EN"")"),"very efficient bank")</f>
        <v>very efficient bank</v>
      </c>
    </row>
    <row r="2966" ht="14.25" customHeight="1">
      <c r="A2966" s="1">
        <v>100.0</v>
      </c>
      <c r="B2966" s="1" t="s">
        <v>1245</v>
      </c>
      <c r="C2966" s="1">
        <v>10.0</v>
      </c>
      <c r="D2966" s="1" t="s">
        <v>9</v>
      </c>
      <c r="E2966" s="1" t="str">
        <f>IFERROR(__xludf.DUMMYFUNCTION("GOOGLETRANSLATE(D2966,""PT"",""EN"")"),"10")</f>
        <v>10</v>
      </c>
    </row>
    <row r="2967" ht="14.25" customHeight="1">
      <c r="A2967" s="1">
        <v>100.0</v>
      </c>
      <c r="B2967" s="1" t="s">
        <v>1245</v>
      </c>
      <c r="C2967" s="1">
        <v>10.0</v>
      </c>
      <c r="D2967" s="1" t="s">
        <v>6</v>
      </c>
      <c r="E2967" s="1"/>
    </row>
    <row r="2968" ht="14.25" customHeight="1">
      <c r="A2968" s="1">
        <v>66.0</v>
      </c>
      <c r="B2968" s="1" t="s">
        <v>1245</v>
      </c>
      <c r="C2968" s="1">
        <v>7.0</v>
      </c>
      <c r="D2968" s="2" t="s">
        <v>1315</v>
      </c>
      <c r="E2968" s="1" t="str">
        <f>IFERROR(__xludf.DUMMYFUNCTION("GOOGLETRANSLATE(D2968,""PT"",""EN"")"),"Service is perfect systems. It remains to expedite the release of credit limits. The procedures are excessively bureaucratic, as they depend on the approval of the board in Goianesia")</f>
        <v>Service is perfect systems. It remains to expedite the release of credit limits. The procedures are excessively bureaucratic, as they depend on the approval of the board in Goianesia</v>
      </c>
    </row>
    <row r="2969" ht="14.25" customHeight="1">
      <c r="A2969" s="1">
        <v>100.0</v>
      </c>
      <c r="B2969" s="1" t="s">
        <v>1245</v>
      </c>
      <c r="C2969" s="1">
        <v>10.0</v>
      </c>
      <c r="D2969" s="2" t="s">
        <v>1316</v>
      </c>
      <c r="E2969" s="1" t="str">
        <f>IFERROR(__xludf.DUMMYFUNCTION("GOOGLETRANSLATE(D2969,""PT"",""EN"")"),"The way they work for those who seek them. The conditions offered to members thinking also in those who invest. It is not an institution that only thinks about profits open doors for those who want to invest, work. Important factor, since without work the"&amp;"re are no profits for the institution. Work is flagship makes a nation grow giving opportunities ..")</f>
        <v>The way they work for those who seek them. The conditions offered to members thinking also in those who invest. It is not an institution that only thinks about profits open doors for those who want to invest, work. Important factor, since without work there are no profits for the institution. Work is flagship makes a nation grow giving opportunities ..</v>
      </c>
    </row>
    <row r="2970" ht="14.25" customHeight="1">
      <c r="A2970" s="1">
        <v>100.0</v>
      </c>
      <c r="B2970" s="1" t="s">
        <v>1245</v>
      </c>
      <c r="C2970" s="1">
        <v>10.0</v>
      </c>
      <c r="D2970" s="1" t="s">
        <v>6</v>
      </c>
      <c r="E2970" s="1"/>
    </row>
    <row r="2971" ht="14.25" customHeight="1">
      <c r="A2971" s="1">
        <v>33.0</v>
      </c>
      <c r="B2971" s="1" t="s">
        <v>1245</v>
      </c>
      <c r="C2971" s="1">
        <v>4.0</v>
      </c>
      <c r="D2971" s="1" t="s">
        <v>1317</v>
      </c>
      <c r="E2971" s="1" t="str">
        <f>IFERROR(__xludf.DUMMYFUNCTION("GOOGLETRANSLATE(D2971,""PT"",""EN"")"),"Weak service")</f>
        <v>Weak service</v>
      </c>
    </row>
    <row r="2972" ht="14.25" customHeight="1">
      <c r="A2972" s="1">
        <v>100.0</v>
      </c>
      <c r="B2972" s="1" t="s">
        <v>1245</v>
      </c>
      <c r="C2972" s="1">
        <v>10.0</v>
      </c>
      <c r="D2972" s="1" t="s">
        <v>6</v>
      </c>
      <c r="E2972" s="1"/>
    </row>
    <row r="2973" ht="14.25" customHeight="1">
      <c r="A2973" s="1">
        <v>100.0</v>
      </c>
      <c r="B2973" s="1" t="s">
        <v>1245</v>
      </c>
      <c r="C2973" s="1">
        <v>9.0</v>
      </c>
      <c r="D2973" s="1" t="s">
        <v>62</v>
      </c>
      <c r="E2973" s="1" t="str">
        <f>IFERROR(__xludf.DUMMYFUNCTION("GOOGLETRANSLATE(D2973,""PT"",""EN"")"),"Good service")</f>
        <v>Good service</v>
      </c>
    </row>
    <row r="2974" ht="14.25" customHeight="1">
      <c r="A2974" s="1">
        <v>66.0</v>
      </c>
      <c r="B2974" s="1" t="s">
        <v>1245</v>
      </c>
      <c r="C2974" s="1">
        <v>8.0</v>
      </c>
      <c r="D2974" s="1" t="s">
        <v>6</v>
      </c>
      <c r="E2974" s="1"/>
    </row>
    <row r="2975" ht="14.25" customHeight="1">
      <c r="A2975" s="1">
        <v>100.0</v>
      </c>
      <c r="B2975" s="1" t="s">
        <v>1245</v>
      </c>
      <c r="C2975" s="1">
        <v>10.0</v>
      </c>
      <c r="D2975" s="1" t="s">
        <v>6</v>
      </c>
      <c r="E2975" s="1"/>
    </row>
    <row r="2976" ht="14.25" customHeight="1">
      <c r="A2976" s="1">
        <v>100.0</v>
      </c>
      <c r="B2976" s="1" t="s">
        <v>1245</v>
      </c>
      <c r="C2976" s="1">
        <v>9.0</v>
      </c>
      <c r="D2976" s="1" t="s">
        <v>6</v>
      </c>
      <c r="E2976" s="1"/>
    </row>
    <row r="2977" ht="14.25" customHeight="1">
      <c r="A2977" s="1">
        <v>100.0</v>
      </c>
      <c r="B2977" s="1" t="s">
        <v>1245</v>
      </c>
      <c r="C2977" s="1">
        <v>10.0</v>
      </c>
      <c r="D2977" s="1" t="s">
        <v>6</v>
      </c>
      <c r="E2977" s="1"/>
    </row>
    <row r="2978" ht="14.25" customHeight="1">
      <c r="A2978" s="1">
        <v>66.0</v>
      </c>
      <c r="B2978" s="1" t="s">
        <v>1245</v>
      </c>
      <c r="C2978" s="1">
        <v>8.0</v>
      </c>
      <c r="D2978" s="1" t="s">
        <v>6</v>
      </c>
      <c r="E2978" s="1"/>
    </row>
    <row r="2979" ht="14.25" customHeight="1">
      <c r="A2979" s="1">
        <v>100.0</v>
      </c>
      <c r="B2979" s="1" t="s">
        <v>1245</v>
      </c>
      <c r="C2979" s="1">
        <v>10.0</v>
      </c>
      <c r="D2979" s="1" t="s">
        <v>6</v>
      </c>
      <c r="E2979" s="1"/>
    </row>
    <row r="2980" ht="14.25" customHeight="1">
      <c r="A2980" s="1">
        <v>66.0</v>
      </c>
      <c r="B2980" s="1" t="s">
        <v>1245</v>
      </c>
      <c r="C2980" s="1">
        <v>7.0</v>
      </c>
      <c r="D2980" s="2" t="s">
        <v>1315</v>
      </c>
      <c r="E2980" s="1" t="str">
        <f>IFERROR(__xludf.DUMMYFUNCTION("GOOGLETRANSLATE(D2980,""PT"",""EN"")"),"Service is perfect systems. It remains to expedite the release of credit limits. The procedures are excessively bureaucratic, as they depend on the approval of the board in Goianesia")</f>
        <v>Service is perfect systems. It remains to expedite the release of credit limits. The procedures are excessively bureaucratic, as they depend on the approval of the board in Goianesia</v>
      </c>
    </row>
    <row r="2981" ht="14.25" customHeight="1">
      <c r="A2981" s="1">
        <v>33.0</v>
      </c>
      <c r="B2981" s="1" t="s">
        <v>1245</v>
      </c>
      <c r="C2981" s="1">
        <v>1.0</v>
      </c>
      <c r="D2981" s="2" t="s">
        <v>1318</v>
      </c>
      <c r="E2981" s="1" t="str">
        <f>IFERROR(__xludf.DUMMYFUNCTION("GOOGLETRANSLATE(D2981,""PT"",""EN"")"),"The service has to be the same for everyone rich or poor")</f>
        <v>The service has to be the same for everyone rich or poor</v>
      </c>
    </row>
    <row r="2982" ht="14.25" customHeight="1">
      <c r="A2982" s="1">
        <v>33.0</v>
      </c>
      <c r="B2982" s="1" t="s">
        <v>1245</v>
      </c>
      <c r="C2982" s="1">
        <v>6.0</v>
      </c>
      <c r="D2982" s="2" t="s">
        <v>1319</v>
      </c>
      <c r="E2982" s="1" t="str">
        <f>IFERROR(__xludf.DUMMYFUNCTION("GOOGLETRANSLATE(D2982,""PT"",""EN"")"),"Bank almost perfect. Lack of bureaucracy in the release of credit")</f>
        <v>Bank almost perfect. Lack of bureaucracy in the release of credit</v>
      </c>
    </row>
    <row r="2983" ht="14.25" customHeight="1">
      <c r="A2983" s="1">
        <v>66.0</v>
      </c>
      <c r="B2983" s="1" t="s">
        <v>1245</v>
      </c>
      <c r="C2983" s="1">
        <v>7.0</v>
      </c>
      <c r="D2983" s="2" t="s">
        <v>1315</v>
      </c>
      <c r="E2983" s="1" t="str">
        <f>IFERROR(__xludf.DUMMYFUNCTION("GOOGLETRANSLATE(D2983,""PT"",""EN"")"),"Service is perfect systems. It remains to expedite the release of credit limits. The procedures are excessively bureaucratic, as they depend on the approval of the board in Goianesia")</f>
        <v>Service is perfect systems. It remains to expedite the release of credit limits. The procedures are excessively bureaucratic, as they depend on the approval of the board in Goianesia</v>
      </c>
    </row>
    <row r="2984" ht="14.25" customHeight="1">
      <c r="A2984" s="1">
        <v>100.0</v>
      </c>
      <c r="B2984" s="1" t="s">
        <v>1245</v>
      </c>
      <c r="C2984" s="1">
        <v>10.0</v>
      </c>
      <c r="D2984" s="2" t="s">
        <v>1320</v>
      </c>
      <c r="E2984" s="1" t="str">
        <f>IFERROR(__xludf.DUMMYFUNCTION("GOOGLETRANSLATE(D2984,""PT"",""EN"")"),"Because I was always very well attended to it can solve all my things very easily.")</f>
        <v>Because I was always very well attended to it can solve all my things very easily.</v>
      </c>
    </row>
    <row r="2985" ht="14.25" customHeight="1">
      <c r="A2985" s="1">
        <v>100.0</v>
      </c>
      <c r="B2985" s="1" t="s">
        <v>1245</v>
      </c>
      <c r="C2985" s="1">
        <v>10.0</v>
      </c>
      <c r="D2985" s="2" t="s">
        <v>1321</v>
      </c>
      <c r="E2985" s="1" t="str">
        <f>IFERROR(__xludf.DUMMYFUNCTION("GOOGLETRANSLATE(D2985,""PT"",""EN"")"),"Fees is benefits")</f>
        <v>Fees is benefits</v>
      </c>
    </row>
    <row r="2986" ht="14.25" customHeight="1">
      <c r="A2986" s="1">
        <v>100.0</v>
      </c>
      <c r="B2986" s="1" t="s">
        <v>1245</v>
      </c>
      <c r="C2986" s="1">
        <v>10.0</v>
      </c>
      <c r="D2986" s="1" t="s">
        <v>9</v>
      </c>
      <c r="E2986" s="1" t="str">
        <f>IFERROR(__xludf.DUMMYFUNCTION("GOOGLETRANSLATE(D2986,""PT"",""EN"")"),"10")</f>
        <v>10</v>
      </c>
    </row>
    <row r="2987" ht="14.25" customHeight="1">
      <c r="A2987" s="1">
        <v>33.0</v>
      </c>
      <c r="B2987" s="1" t="s">
        <v>1245</v>
      </c>
      <c r="C2987" s="1">
        <v>0.0</v>
      </c>
      <c r="D2987" s="1" t="s">
        <v>6</v>
      </c>
      <c r="E2987" s="1"/>
    </row>
    <row r="2988" ht="14.25" customHeight="1">
      <c r="A2988" s="1">
        <v>100.0</v>
      </c>
      <c r="B2988" s="1" t="s">
        <v>1245</v>
      </c>
      <c r="C2988" s="1">
        <v>10.0</v>
      </c>
      <c r="D2988" s="1" t="s">
        <v>20</v>
      </c>
      <c r="E2988" s="1" t="str">
        <f>IFERROR(__xludf.DUMMYFUNCTION("GOOGLETRANSLATE(D2988,""PT"",""EN"")"),"Very good")</f>
        <v>Very good</v>
      </c>
    </row>
    <row r="2989" ht="14.25" customHeight="1">
      <c r="A2989" s="1">
        <v>66.0</v>
      </c>
      <c r="B2989" s="1" t="s">
        <v>1245</v>
      </c>
      <c r="C2989" s="1">
        <v>8.0</v>
      </c>
      <c r="D2989" s="1" t="s">
        <v>6</v>
      </c>
      <c r="E2989" s="1"/>
    </row>
    <row r="2990" ht="14.25" customHeight="1">
      <c r="A2990" s="1">
        <v>100.0</v>
      </c>
      <c r="B2990" s="1" t="s">
        <v>1245</v>
      </c>
      <c r="C2990" s="1">
        <v>10.0</v>
      </c>
      <c r="D2990" s="1" t="s">
        <v>1322</v>
      </c>
      <c r="E2990" s="1" t="str">
        <f>IFERROR(__xludf.DUMMYFUNCTION("GOOGLETRANSLATE(D2990,""PT"",""EN"")"),"Professionalism of employees!")</f>
        <v>Professionalism of employees!</v>
      </c>
    </row>
    <row r="2991" ht="14.25" customHeight="1">
      <c r="A2991" s="1">
        <v>100.0</v>
      </c>
      <c r="B2991" s="1" t="s">
        <v>1245</v>
      </c>
      <c r="C2991" s="1">
        <v>10.0</v>
      </c>
      <c r="D2991" s="2" t="s">
        <v>1323</v>
      </c>
      <c r="E2991" s="1" t="str">
        <f>IFERROR(__xludf.DUMMYFUNCTION("GOOGLETRANSLATE(D2991,""PT"",""EN"")"),"Very pleased with agility is efficiency.")</f>
        <v>Very pleased with agility is efficiency.</v>
      </c>
    </row>
    <row r="2992" ht="14.25" customHeight="1">
      <c r="A2992" s="1">
        <v>100.0</v>
      </c>
      <c r="B2992" s="1" t="s">
        <v>1245</v>
      </c>
      <c r="C2992" s="1">
        <v>9.0</v>
      </c>
      <c r="D2992" s="1" t="s">
        <v>1324</v>
      </c>
      <c r="E2992" s="1" t="str">
        <f>IFERROR(__xludf.DUMMYFUNCTION("GOOGLETRANSLATE(D2992,""PT"",""EN"")"),"Interest Responsible")</f>
        <v>Interest Responsible</v>
      </c>
    </row>
    <row r="2993" ht="14.25" customHeight="1">
      <c r="A2993" s="1">
        <v>100.0</v>
      </c>
      <c r="B2993" s="1" t="s">
        <v>1245</v>
      </c>
      <c r="C2993" s="1">
        <v>10.0</v>
      </c>
      <c r="D2993" s="2" t="s">
        <v>1325</v>
      </c>
      <c r="E2993" s="1" t="str">
        <f>IFERROR(__xludf.DUMMYFUNCTION("GOOGLETRANSLATE(D2993,""PT"",""EN"")"),"personalized service")</f>
        <v>personalized service</v>
      </c>
    </row>
    <row r="2994" ht="14.25" customHeight="1">
      <c r="A2994" s="1">
        <v>100.0</v>
      </c>
      <c r="B2994" s="1" t="s">
        <v>1245</v>
      </c>
      <c r="C2994" s="1">
        <v>10.0</v>
      </c>
      <c r="D2994" s="1" t="s">
        <v>190</v>
      </c>
      <c r="E2994" s="1" t="str">
        <f>IFERROR(__xludf.DUMMYFUNCTION("GOOGLETRANSLATE(D2994,""PT"",""EN"")"),"Agility")</f>
        <v>Agility</v>
      </c>
    </row>
    <row r="2995" ht="14.25" customHeight="1">
      <c r="A2995" s="1">
        <v>33.0</v>
      </c>
      <c r="B2995" s="1" t="s">
        <v>1245</v>
      </c>
      <c r="C2995" s="1">
        <v>6.0</v>
      </c>
      <c r="D2995" s="1" t="s">
        <v>6</v>
      </c>
      <c r="E2995" s="1"/>
    </row>
    <row r="2996" ht="14.25" customHeight="1">
      <c r="A2996" s="1">
        <v>100.0</v>
      </c>
      <c r="B2996" s="1" t="s">
        <v>1245</v>
      </c>
      <c r="C2996" s="1">
        <v>10.0</v>
      </c>
      <c r="D2996" s="2" t="s">
        <v>1326</v>
      </c>
      <c r="E2996" s="1" t="str">
        <f>IFERROR(__xludf.DUMMYFUNCTION("GOOGLETRANSLATE(D2996,""PT"",""EN"")"),"Good low cost service in tariffs")</f>
        <v>Good low cost service in tariffs</v>
      </c>
    </row>
    <row r="2997" ht="14.25" customHeight="1">
      <c r="A2997" s="1">
        <v>100.0</v>
      </c>
      <c r="B2997" s="1" t="s">
        <v>1245</v>
      </c>
      <c r="C2997" s="1">
        <v>10.0</v>
      </c>
      <c r="D2997" s="1" t="s">
        <v>1327</v>
      </c>
      <c r="E2997" s="1" t="str">
        <f>IFERROR(__xludf.DUMMYFUNCTION("GOOGLETRANSLATE(D2997,""PT"",""EN"")"),"Very good service kindness of the very good person")</f>
        <v>Very good service kindness of the very good person</v>
      </c>
    </row>
    <row r="2998" ht="14.25" customHeight="1">
      <c r="A2998" s="1">
        <v>66.0</v>
      </c>
      <c r="B2998" s="1" t="s">
        <v>1245</v>
      </c>
      <c r="C2998" s="1">
        <v>8.0</v>
      </c>
      <c r="D2998" s="1" t="s">
        <v>6</v>
      </c>
      <c r="E2998" s="1"/>
    </row>
    <row r="2999" ht="14.25" customHeight="1">
      <c r="A2999" s="1">
        <v>100.0</v>
      </c>
      <c r="B2999" s="1" t="s">
        <v>1245</v>
      </c>
      <c r="C2999" s="1">
        <v>10.0</v>
      </c>
      <c r="D2999" s="1" t="s">
        <v>6</v>
      </c>
      <c r="E2999" s="1"/>
    </row>
    <row r="3000" ht="14.25" customHeight="1">
      <c r="A3000" s="1">
        <v>100.0</v>
      </c>
      <c r="B3000" s="1" t="s">
        <v>1245</v>
      </c>
      <c r="C3000" s="1">
        <v>10.0</v>
      </c>
      <c r="D3000" s="1" t="s">
        <v>1328</v>
      </c>
      <c r="E3000" s="1" t="str">
        <f>IFERROR(__xludf.DUMMYFUNCTION("GOOGLETRANSLATE(D3000,""PT"",""EN"")"),"Personalized service !")</f>
        <v>Personalized service !</v>
      </c>
    </row>
    <row r="3001" ht="14.25" customHeight="1">
      <c r="A3001" s="1">
        <v>100.0</v>
      </c>
      <c r="B3001" s="1" t="s">
        <v>1245</v>
      </c>
      <c r="C3001" s="1">
        <v>9.0</v>
      </c>
      <c r="D3001" s="1" t="s">
        <v>6</v>
      </c>
      <c r="E3001" s="1"/>
    </row>
    <row r="3002" ht="14.25" customHeight="1">
      <c r="A3002" s="1">
        <v>100.0</v>
      </c>
      <c r="B3002" s="1" t="s">
        <v>1245</v>
      </c>
      <c r="C3002" s="1">
        <v>10.0</v>
      </c>
      <c r="D3002" s="2" t="s">
        <v>1329</v>
      </c>
      <c r="E3002" s="1" t="str">
        <f>IFERROR(__xludf.DUMMYFUNCTION("GOOGLETRANSLATE(D3002,""PT"",""EN"")"),"Quality of service is agile procedures")</f>
        <v>Quality of service is agile procedures</v>
      </c>
    </row>
    <row r="3003" ht="14.25" customHeight="1">
      <c r="A3003" s="1">
        <v>100.0</v>
      </c>
      <c r="B3003" s="1" t="s">
        <v>1245</v>
      </c>
      <c r="C3003" s="1">
        <v>10.0</v>
      </c>
      <c r="D3003" s="1" t="s">
        <v>6</v>
      </c>
      <c r="E3003" s="1"/>
    </row>
    <row r="3004" ht="14.25" customHeight="1">
      <c r="A3004" s="1">
        <v>33.0</v>
      </c>
      <c r="B3004" s="1" t="s">
        <v>1245</v>
      </c>
      <c r="C3004" s="1">
        <v>0.0</v>
      </c>
      <c r="D3004" s="2" t="s">
        <v>1330</v>
      </c>
      <c r="E3004" s="1" t="str">
        <f>IFERROR(__xludf.DUMMYFUNCTION("GOOGLETRANSLATE(D3004,""PT"",""EN"")"),"Liar Bank, when we open the account, a thousand promises, when we really need the bank is a lot of bureaucracy, the bank's only intention is to profit on the members. In November I will end my account legal entity, just as I did with the savings, it is a "&amp;"bank in which I will never indicate, because it is only bored!")</f>
        <v>Liar Bank, when we open the account, a thousand promises, when we really need the bank is a lot of bureaucracy, the bank's only intention is to profit on the members. In November I will end my account legal entity, just as I did with the savings, it is a bank in which I will never indicate, because it is only bored!</v>
      </c>
    </row>
    <row r="3005" ht="14.25" customHeight="1">
      <c r="A3005" s="1">
        <v>100.0</v>
      </c>
      <c r="B3005" s="1" t="s">
        <v>1245</v>
      </c>
      <c r="C3005" s="1">
        <v>10.0</v>
      </c>
      <c r="D3005" s="1" t="s">
        <v>6</v>
      </c>
      <c r="E3005" s="1"/>
    </row>
    <row r="3006" ht="14.25" customHeight="1">
      <c r="A3006" s="1">
        <v>33.0</v>
      </c>
      <c r="B3006" s="1" t="s">
        <v>1245</v>
      </c>
      <c r="C3006" s="1">
        <v>6.0</v>
      </c>
      <c r="D3006" s="1" t="s">
        <v>6</v>
      </c>
      <c r="E3006" s="1"/>
    </row>
    <row r="3007" ht="14.25" customHeight="1">
      <c r="A3007" s="1">
        <v>33.0</v>
      </c>
      <c r="B3007" s="1" t="s">
        <v>1245</v>
      </c>
      <c r="C3007" s="1">
        <v>2.0</v>
      </c>
      <c r="D3007" s="1" t="s">
        <v>6</v>
      </c>
      <c r="E3007" s="1"/>
    </row>
    <row r="3008" ht="14.25" customHeight="1">
      <c r="A3008" s="1">
        <v>100.0</v>
      </c>
      <c r="B3008" s="1" t="s">
        <v>1245</v>
      </c>
      <c r="C3008" s="1">
        <v>10.0</v>
      </c>
      <c r="D3008" s="1" t="s">
        <v>1331</v>
      </c>
      <c r="E3008" s="1" t="str">
        <f>IFERROR(__xludf.DUMMYFUNCTION("GOOGLETRANSLATE(D3008,""PT"",""EN"")"),"I certainly recommend, 10")</f>
        <v>I certainly recommend, 10</v>
      </c>
    </row>
    <row r="3009" ht="14.25" customHeight="1">
      <c r="A3009" s="1">
        <v>100.0</v>
      </c>
      <c r="B3009" s="1" t="s">
        <v>1245</v>
      </c>
      <c r="C3009" s="1">
        <v>10.0</v>
      </c>
      <c r="D3009" s="1" t="s">
        <v>6</v>
      </c>
      <c r="E3009" s="1"/>
    </row>
    <row r="3010" ht="14.25" customHeight="1">
      <c r="A3010" s="1">
        <v>100.0</v>
      </c>
      <c r="B3010" s="1" t="s">
        <v>1245</v>
      </c>
      <c r="C3010" s="1">
        <v>10.0</v>
      </c>
      <c r="D3010" s="1" t="s">
        <v>85</v>
      </c>
      <c r="E3010" s="1" t="str">
        <f>IFERROR(__xludf.DUMMYFUNCTION("GOOGLETRANSLATE(D3010,""PT"",""EN"")"),"Service")</f>
        <v>Service</v>
      </c>
    </row>
    <row r="3011" ht="14.25" customHeight="1">
      <c r="A3011" s="1">
        <v>100.0</v>
      </c>
      <c r="B3011" s="1" t="s">
        <v>1245</v>
      </c>
      <c r="C3011" s="1">
        <v>10.0</v>
      </c>
      <c r="D3011" s="1" t="s">
        <v>6</v>
      </c>
      <c r="E3011" s="1"/>
    </row>
    <row r="3012" ht="14.25" customHeight="1">
      <c r="A3012" s="1">
        <v>100.0</v>
      </c>
      <c r="B3012" s="1" t="s">
        <v>1245</v>
      </c>
      <c r="C3012" s="1">
        <v>10.0</v>
      </c>
      <c r="D3012" s="1" t="s">
        <v>112</v>
      </c>
      <c r="E3012" s="1" t="str">
        <f>IFERROR(__xludf.DUMMYFUNCTION("GOOGLETRANSLATE(D3012,""PT"",""EN"")"),"Practicality")</f>
        <v>Practicality</v>
      </c>
    </row>
    <row r="3013" ht="14.25" customHeight="1">
      <c r="A3013" s="1">
        <v>66.0</v>
      </c>
      <c r="B3013" s="1" t="s">
        <v>1245</v>
      </c>
      <c r="C3013" s="1">
        <v>8.0</v>
      </c>
      <c r="D3013" s="1" t="s">
        <v>388</v>
      </c>
      <c r="E3013" s="1" t="str">
        <f>IFERROR(__xludf.DUMMYFUNCTION("GOOGLETRANSLATE(D3013,""PT"",""EN"")"),"8")</f>
        <v>8</v>
      </c>
    </row>
    <row r="3014" ht="14.25" customHeight="1">
      <c r="A3014" s="1">
        <v>100.0</v>
      </c>
      <c r="B3014" s="1" t="s">
        <v>1245</v>
      </c>
      <c r="C3014" s="1">
        <v>9.0</v>
      </c>
      <c r="D3014" s="1" t="s">
        <v>6</v>
      </c>
      <c r="E3014" s="1"/>
    </row>
    <row r="3015" ht="14.25" customHeight="1">
      <c r="A3015" s="1">
        <v>100.0</v>
      </c>
      <c r="B3015" s="1" t="s">
        <v>1245</v>
      </c>
      <c r="C3015" s="1">
        <v>10.0</v>
      </c>
      <c r="D3015" s="2" t="s">
        <v>1332</v>
      </c>
      <c r="E3015" s="1" t="str">
        <f>IFERROR(__xludf.DUMMYFUNCTION("GOOGLETRANSLATE(D3015,""PT"",""EN"")"),"Good service, effectiveness, attention, speed, kindness is some more things")</f>
        <v>Good service, effectiveness, attention, speed, kindness is some more things</v>
      </c>
    </row>
    <row r="3016" ht="14.25" customHeight="1">
      <c r="A3016" s="1">
        <v>100.0</v>
      </c>
      <c r="B3016" s="1" t="s">
        <v>1245</v>
      </c>
      <c r="C3016" s="1">
        <v>10.0</v>
      </c>
      <c r="D3016" s="1" t="s">
        <v>6</v>
      </c>
      <c r="E3016" s="1"/>
    </row>
    <row r="3017" ht="14.25" customHeight="1">
      <c r="A3017" s="1">
        <v>100.0</v>
      </c>
      <c r="B3017" s="1" t="s">
        <v>1245</v>
      </c>
      <c r="C3017" s="1">
        <v>10.0</v>
      </c>
      <c r="D3017" s="1" t="s">
        <v>1333</v>
      </c>
      <c r="E3017" s="1" t="str">
        <f>IFERROR(__xludf.DUMMYFUNCTION("GOOGLETRANSLATE(D3017,""PT"",""EN"")"),"Special attendant")</f>
        <v>Special attendant</v>
      </c>
    </row>
    <row r="3018" ht="14.25" customHeight="1">
      <c r="A3018" s="1">
        <v>100.0</v>
      </c>
      <c r="B3018" s="1" t="s">
        <v>1245</v>
      </c>
      <c r="C3018" s="1">
        <v>9.0</v>
      </c>
      <c r="D3018" s="1" t="s">
        <v>6</v>
      </c>
      <c r="E3018" s="1"/>
    </row>
    <row r="3019" ht="14.25" customHeight="1">
      <c r="A3019" s="1">
        <v>100.0</v>
      </c>
      <c r="B3019" s="1" t="s">
        <v>1245</v>
      </c>
      <c r="C3019" s="1">
        <v>10.0</v>
      </c>
      <c r="D3019" s="1" t="s">
        <v>9</v>
      </c>
      <c r="E3019" s="1" t="str">
        <f>IFERROR(__xludf.DUMMYFUNCTION("GOOGLETRANSLATE(D3019,""PT"",""EN"")"),"10")</f>
        <v>10</v>
      </c>
    </row>
    <row r="3020" ht="14.25" customHeight="1">
      <c r="A3020" s="1">
        <v>66.0</v>
      </c>
      <c r="B3020" s="1" t="s">
        <v>1245</v>
      </c>
      <c r="C3020" s="1">
        <v>7.0</v>
      </c>
      <c r="D3020" s="1" t="s">
        <v>6</v>
      </c>
      <c r="E3020" s="1"/>
    </row>
    <row r="3021" ht="14.25" customHeight="1">
      <c r="A3021" s="1">
        <v>100.0</v>
      </c>
      <c r="B3021" s="1" t="s">
        <v>1245</v>
      </c>
      <c r="C3021" s="1">
        <v>10.0</v>
      </c>
      <c r="D3021" s="1" t="s">
        <v>6</v>
      </c>
      <c r="E3021" s="1"/>
    </row>
    <row r="3022" ht="14.25" customHeight="1">
      <c r="A3022" s="1">
        <v>33.0</v>
      </c>
      <c r="B3022" s="1" t="s">
        <v>1245</v>
      </c>
      <c r="C3022" s="1">
        <v>5.0</v>
      </c>
      <c r="D3022" s="2" t="s">
        <v>1334</v>
      </c>
      <c r="E3022" s="1" t="str">
        <f>IFERROR(__xludf.DUMMYFUNCTION("GOOGLETRANSLATE(D3022,""PT"",""EN"")"),"I'm trying to change my service basket for 2 months but the cooperative says he doesn't have this option")</f>
        <v>I'm trying to change my service basket for 2 months but the cooperative says he doesn't have this option</v>
      </c>
    </row>
    <row r="3023" ht="14.25" customHeight="1">
      <c r="A3023" s="1">
        <v>33.0</v>
      </c>
      <c r="B3023" s="1" t="s">
        <v>1245</v>
      </c>
      <c r="C3023" s="1">
        <v>4.0</v>
      </c>
      <c r="D3023" s="2" t="s">
        <v>1335</v>
      </c>
      <c r="E3023" s="1" t="str">
        <f>IFERROR(__xludf.DUMMYFUNCTION("GOOGLETRANSLATE(D3023,""PT"",""EN"")"),"As much as it moves you have no credit")</f>
        <v>As much as it moves you have no credit</v>
      </c>
    </row>
    <row r="3024" ht="14.25" customHeight="1">
      <c r="A3024" s="1">
        <v>33.0</v>
      </c>
      <c r="B3024" s="1" t="s">
        <v>1245</v>
      </c>
      <c r="C3024" s="1">
        <v>0.0</v>
      </c>
      <c r="D3024" s="2" t="s">
        <v>1336</v>
      </c>
      <c r="E3024" s="1" t="str">
        <f>IFERROR(__xludf.DUMMYFUNCTION("GOOGLETRANSLATE(D3024,""PT"",""EN"")"),"I can not access my account")</f>
        <v>I can not access my account</v>
      </c>
    </row>
    <row r="3025" ht="14.25" customHeight="1">
      <c r="A3025" s="1">
        <v>100.0</v>
      </c>
      <c r="B3025" s="1" t="s">
        <v>1245</v>
      </c>
      <c r="C3025" s="1">
        <v>10.0</v>
      </c>
      <c r="D3025" s="1" t="s">
        <v>6</v>
      </c>
      <c r="E3025" s="1"/>
    </row>
    <row r="3026" ht="14.25" customHeight="1">
      <c r="A3026" s="1">
        <v>100.0</v>
      </c>
      <c r="B3026" s="1" t="s">
        <v>1245</v>
      </c>
      <c r="C3026" s="1">
        <v>10.0</v>
      </c>
      <c r="D3026" s="1" t="s">
        <v>6</v>
      </c>
      <c r="E3026" s="1"/>
    </row>
    <row r="3027" ht="14.25" customHeight="1">
      <c r="A3027" s="1">
        <v>100.0</v>
      </c>
      <c r="B3027" s="1" t="s">
        <v>1245</v>
      </c>
      <c r="C3027" s="1">
        <v>10.0</v>
      </c>
      <c r="D3027" s="2" t="s">
        <v>50</v>
      </c>
      <c r="E3027" s="1" t="str">
        <f>IFERROR(__xludf.DUMMYFUNCTION("GOOGLETRANSLATE(D3027,""PT"",""EN"")"),"great bank")</f>
        <v>great bank</v>
      </c>
    </row>
    <row r="3028" ht="14.25" customHeight="1">
      <c r="A3028" s="1">
        <v>33.0</v>
      </c>
      <c r="B3028" s="1" t="s">
        <v>1245</v>
      </c>
      <c r="C3028" s="1">
        <v>0.0</v>
      </c>
      <c r="D3028" s="1" t="s">
        <v>1337</v>
      </c>
      <c r="E3028" s="1" t="str">
        <f>IFERROR(__xludf.DUMMYFUNCTION("GOOGLETRANSLATE(D3028,""PT"",""EN"")"),"Because they canceled my card")</f>
        <v>Because they canceled my card</v>
      </c>
    </row>
    <row r="3029" ht="14.25" customHeight="1">
      <c r="A3029" s="1">
        <v>100.0</v>
      </c>
      <c r="B3029" s="1" t="s">
        <v>1245</v>
      </c>
      <c r="C3029" s="1">
        <v>10.0</v>
      </c>
      <c r="D3029" s="2" t="s">
        <v>1338</v>
      </c>
      <c r="E3029" s="1" t="str">
        <f>IFERROR(__xludf.DUMMYFUNCTION("GOOGLETRANSLATE(D3029,""PT"",""EN"")"),"Excellent service, it is affordable online platform.")</f>
        <v>Excellent service, it is affordable online platform.</v>
      </c>
    </row>
    <row r="3030" ht="14.25" customHeight="1">
      <c r="A3030" s="1">
        <v>33.0</v>
      </c>
      <c r="B3030" s="1" t="s">
        <v>1245</v>
      </c>
      <c r="C3030" s="1">
        <v>3.0</v>
      </c>
      <c r="D3030" s="2" t="s">
        <v>1339</v>
      </c>
      <c r="E3030" s="1" t="str">
        <f>IFERROR(__xludf.DUMMYFUNCTION("GOOGLETRANSLATE(D3030,""PT"",""EN"")"),"Small companies have few opportunities.")</f>
        <v>Small companies have few opportunities.</v>
      </c>
    </row>
    <row r="3031" ht="14.25" customHeight="1">
      <c r="A3031" s="1">
        <v>100.0</v>
      </c>
      <c r="B3031" s="1" t="s">
        <v>1245</v>
      </c>
      <c r="C3031" s="1">
        <v>10.0</v>
      </c>
      <c r="D3031" s="1" t="s">
        <v>6</v>
      </c>
      <c r="E3031" s="1"/>
    </row>
    <row r="3032" ht="14.25" customHeight="1">
      <c r="A3032" s="1">
        <v>100.0</v>
      </c>
      <c r="B3032" s="1" t="s">
        <v>1245</v>
      </c>
      <c r="C3032" s="1">
        <v>10.0</v>
      </c>
      <c r="D3032" s="1" t="s">
        <v>6</v>
      </c>
      <c r="E3032" s="1"/>
    </row>
    <row r="3033" ht="14.25" customHeight="1">
      <c r="A3033" s="1">
        <v>100.0</v>
      </c>
      <c r="B3033" s="1" t="s">
        <v>1245</v>
      </c>
      <c r="C3033" s="1">
        <v>10.0</v>
      </c>
      <c r="D3033" s="1" t="s">
        <v>6</v>
      </c>
      <c r="E3033" s="1"/>
    </row>
    <row r="3034" ht="14.25" customHeight="1">
      <c r="A3034" s="1">
        <v>100.0</v>
      </c>
      <c r="B3034" s="1" t="s">
        <v>1340</v>
      </c>
      <c r="C3034" s="1">
        <v>9.0</v>
      </c>
      <c r="D3034" s="1" t="s">
        <v>6</v>
      </c>
      <c r="E3034" s="1"/>
    </row>
    <row r="3035" ht="14.25" customHeight="1">
      <c r="A3035" s="1">
        <v>100.0</v>
      </c>
      <c r="B3035" s="1" t="s">
        <v>1340</v>
      </c>
      <c r="C3035" s="1">
        <v>10.0</v>
      </c>
      <c r="D3035" s="1" t="s">
        <v>6</v>
      </c>
      <c r="E3035" s="1"/>
    </row>
    <row r="3036" ht="14.25" customHeight="1">
      <c r="A3036" s="1">
        <v>33.0</v>
      </c>
      <c r="B3036" s="1" t="s">
        <v>1340</v>
      </c>
      <c r="C3036" s="1">
        <v>1.0</v>
      </c>
      <c r="D3036" s="1" t="s">
        <v>6</v>
      </c>
      <c r="E3036" s="1"/>
    </row>
    <row r="3037" ht="14.25" customHeight="1">
      <c r="A3037" s="1">
        <v>33.0</v>
      </c>
      <c r="B3037" s="1" t="s">
        <v>1340</v>
      </c>
      <c r="C3037" s="1">
        <v>3.0</v>
      </c>
      <c r="D3037" s="1" t="s">
        <v>6</v>
      </c>
      <c r="E3037" s="1"/>
    </row>
    <row r="3038" ht="14.25" customHeight="1">
      <c r="A3038" s="1">
        <v>100.0</v>
      </c>
      <c r="B3038" s="1" t="s">
        <v>1340</v>
      </c>
      <c r="C3038" s="1">
        <v>9.0</v>
      </c>
      <c r="D3038" s="1" t="s">
        <v>6</v>
      </c>
      <c r="E3038" s="1"/>
    </row>
    <row r="3039" ht="14.25" customHeight="1">
      <c r="A3039" s="1">
        <v>100.0</v>
      </c>
      <c r="B3039" s="1" t="s">
        <v>1340</v>
      </c>
      <c r="C3039" s="1">
        <v>9.0</v>
      </c>
      <c r="D3039" s="1" t="s">
        <v>1341</v>
      </c>
      <c r="E3039" s="1" t="str">
        <f>IFERROR(__xludf.DUMMYFUNCTION("GOOGLETRANSLATE(D3039,""PT"",""EN"")"),"The issue of the machine rate")</f>
        <v>The issue of the machine rate</v>
      </c>
    </row>
    <row r="3040" ht="14.25" customHeight="1">
      <c r="A3040" s="1">
        <v>100.0</v>
      </c>
      <c r="B3040" s="1" t="s">
        <v>1340</v>
      </c>
      <c r="C3040" s="1">
        <v>10.0</v>
      </c>
      <c r="D3040" s="2" t="s">
        <v>1342</v>
      </c>
      <c r="E3040" s="1" t="str">
        <f>IFERROR(__xludf.DUMMYFUNCTION("GOOGLETRANSLATE(D3040,""PT"",""EN"")"),"Excellent service is services")</f>
        <v>Excellent service is services</v>
      </c>
    </row>
    <row r="3041" ht="14.25" customHeight="1">
      <c r="A3041" s="1">
        <v>33.0</v>
      </c>
      <c r="B3041" s="1" t="s">
        <v>1340</v>
      </c>
      <c r="C3041" s="1">
        <v>2.0</v>
      </c>
      <c r="D3041" s="1" t="s">
        <v>6</v>
      </c>
      <c r="E3041" s="1"/>
    </row>
    <row r="3042" ht="14.25" customHeight="1">
      <c r="A3042" s="1">
        <v>100.0</v>
      </c>
      <c r="B3042" s="1" t="s">
        <v>1340</v>
      </c>
      <c r="C3042" s="1">
        <v>10.0</v>
      </c>
      <c r="D3042" s="1" t="s">
        <v>6</v>
      </c>
      <c r="E3042" s="1"/>
    </row>
    <row r="3043" ht="14.25" customHeight="1">
      <c r="A3043" s="1">
        <v>100.0</v>
      </c>
      <c r="B3043" s="1" t="s">
        <v>1340</v>
      </c>
      <c r="C3043" s="1">
        <v>10.0</v>
      </c>
      <c r="D3043" s="1" t="s">
        <v>6</v>
      </c>
      <c r="E3043" s="1"/>
    </row>
    <row r="3044" ht="14.25" customHeight="1">
      <c r="A3044" s="1">
        <v>100.0</v>
      </c>
      <c r="B3044" s="1" t="s">
        <v>1340</v>
      </c>
      <c r="C3044" s="1">
        <v>9.0</v>
      </c>
      <c r="D3044" s="1" t="s">
        <v>1343</v>
      </c>
      <c r="E3044" s="1" t="str">
        <f>IFERROR(__xludf.DUMMYFUNCTION("GOOGLETRANSLATE(D3044,""PT"",""EN"")"),"effective")</f>
        <v>effective</v>
      </c>
    </row>
    <row r="3045" ht="14.25" customHeight="1">
      <c r="A3045" s="1">
        <v>33.0</v>
      </c>
      <c r="B3045" s="1" t="s">
        <v>1340</v>
      </c>
      <c r="C3045" s="1">
        <v>0.0</v>
      </c>
      <c r="D3045" s="1" t="s">
        <v>1344</v>
      </c>
      <c r="E3045" s="1" t="str">
        <f>IFERROR(__xludf.DUMMYFUNCTION("GOOGLETRANSLATE(D3045,""PT"",""EN"")"),"Many reasons.")</f>
        <v>Many reasons.</v>
      </c>
    </row>
    <row r="3046" ht="14.25" customHeight="1">
      <c r="A3046" s="1">
        <v>100.0</v>
      </c>
      <c r="B3046" s="1" t="s">
        <v>1340</v>
      </c>
      <c r="C3046" s="1">
        <v>10.0</v>
      </c>
      <c r="D3046" s="1" t="s">
        <v>6</v>
      </c>
      <c r="E3046" s="1"/>
    </row>
    <row r="3047" ht="14.25" customHeight="1">
      <c r="A3047" s="1">
        <v>66.0</v>
      </c>
      <c r="B3047" s="1" t="s">
        <v>1340</v>
      </c>
      <c r="C3047" s="1">
        <v>8.0</v>
      </c>
      <c r="D3047" s="1" t="s">
        <v>6</v>
      </c>
      <c r="E3047" s="1"/>
    </row>
    <row r="3048" ht="14.25" customHeight="1">
      <c r="A3048" s="1">
        <v>66.0</v>
      </c>
      <c r="B3048" s="1" t="s">
        <v>1340</v>
      </c>
      <c r="C3048" s="1">
        <v>8.0</v>
      </c>
      <c r="D3048" s="1" t="s">
        <v>6</v>
      </c>
      <c r="E3048" s="1"/>
    </row>
    <row r="3049" ht="14.25" customHeight="1">
      <c r="A3049" s="1">
        <v>100.0</v>
      </c>
      <c r="B3049" s="1" t="s">
        <v>1340</v>
      </c>
      <c r="C3049" s="1">
        <v>9.0</v>
      </c>
      <c r="D3049" s="1" t="s">
        <v>6</v>
      </c>
      <c r="E3049" s="1"/>
    </row>
    <row r="3050" ht="14.25" customHeight="1">
      <c r="A3050" s="1">
        <v>33.0</v>
      </c>
      <c r="B3050" s="1" t="s">
        <v>1340</v>
      </c>
      <c r="C3050" s="1">
        <v>5.0</v>
      </c>
      <c r="D3050" s="2" t="s">
        <v>1345</v>
      </c>
      <c r="E3050" s="1" t="str">
        <f>IFERROR(__xludf.DUMMYFUNCTION("GOOGLETRANSLATE(D3050,""PT"",""EN"")"),"Because it is a financial institution inclined to cooperativism, it should offer more attractive interest lines of credit is not to do so, as its rates are similar to those of the common financial market.")</f>
        <v>Because it is a financial institution inclined to cooperativism, it should offer more attractive interest lines of credit is not to do so, as its rates are similar to those of the common financial market.</v>
      </c>
    </row>
    <row r="3051" ht="14.25" customHeight="1">
      <c r="A3051" s="1">
        <v>100.0</v>
      </c>
      <c r="B3051" s="1" t="s">
        <v>1340</v>
      </c>
      <c r="C3051" s="1">
        <v>10.0</v>
      </c>
      <c r="D3051" s="1" t="s">
        <v>6</v>
      </c>
      <c r="E3051" s="1"/>
    </row>
    <row r="3052" ht="14.25" customHeight="1">
      <c r="A3052" s="1">
        <v>100.0</v>
      </c>
      <c r="B3052" s="1" t="s">
        <v>1340</v>
      </c>
      <c r="C3052" s="1">
        <v>10.0</v>
      </c>
      <c r="D3052" s="1" t="s">
        <v>9</v>
      </c>
      <c r="E3052" s="1" t="str">
        <f>IFERROR(__xludf.DUMMYFUNCTION("GOOGLETRANSLATE(D3052,""PT"",""EN"")"),"10")</f>
        <v>10</v>
      </c>
    </row>
    <row r="3053" ht="14.25" customHeight="1">
      <c r="A3053" s="1">
        <v>33.0</v>
      </c>
      <c r="B3053" s="1" t="s">
        <v>1340</v>
      </c>
      <c r="C3053" s="1">
        <v>2.0</v>
      </c>
      <c r="D3053" s="2" t="s">
        <v>1346</v>
      </c>
      <c r="E3053" s="1" t="str">
        <f>IFERROR(__xludf.DUMMYFUNCTION("GOOGLETRANSLATE(D3053,""PT"",""EN"")"),"I already have my account for many years, I never got any credit offer, I've tried without any success years ago Pronamp is nothing, is the capital balance can not be rescued, only if it is closing the account that they informed me ...")</f>
        <v>I already have my account for many years, I never got any credit offer, I've tried without any success years ago Pronamp is nothing, is the capital balance can not be rescued, only if it is closing the account that they informed me ...</v>
      </c>
    </row>
    <row r="3054" ht="14.25" customHeight="1">
      <c r="A3054" s="1">
        <v>100.0</v>
      </c>
      <c r="B3054" s="1" t="s">
        <v>1340</v>
      </c>
      <c r="C3054" s="1">
        <v>9.0</v>
      </c>
      <c r="D3054" s="1" t="s">
        <v>6</v>
      </c>
      <c r="E3054" s="1"/>
    </row>
    <row r="3055" ht="14.25" customHeight="1">
      <c r="A3055" s="1">
        <v>33.0</v>
      </c>
      <c r="B3055" s="1" t="s">
        <v>1340</v>
      </c>
      <c r="C3055" s="1">
        <v>6.0</v>
      </c>
      <c r="D3055" s="1" t="s">
        <v>6</v>
      </c>
      <c r="E3055" s="1"/>
    </row>
    <row r="3056" ht="14.25" customHeight="1">
      <c r="A3056" s="1">
        <v>33.0</v>
      </c>
      <c r="B3056" s="1" t="s">
        <v>1340</v>
      </c>
      <c r="C3056" s="1">
        <v>3.0</v>
      </c>
      <c r="D3056" s="2" t="s">
        <v>1347</v>
      </c>
      <c r="E3056" s="1" t="str">
        <f>IFERROR(__xludf.DUMMYFUNCTION("GOOGLETRANSLATE(D3056,""PT"",""EN"")"),"I was associated, I tried to contact the agency a few times I was told that my manager was going to return me, but never returned. Then I received a letter excluding me, I tried again to contact, nothing, then they called me talking about this letter, sai"&amp;"d that I wanted someone to answer me. Never returned. A few weeks I asked if they did real estate financing is the person who answered me said I was already described.")</f>
        <v>I was associated, I tried to contact the agency a few times I was told that my manager was going to return me, but never returned. Then I received a letter excluding me, I tried again to contact, nothing, then they called me talking about this letter, said that I wanted someone to answer me. Never returned. A few weeks I asked if they did real estate financing is the person who answered me said I was already described.</v>
      </c>
    </row>
    <row r="3057" ht="14.25" customHeight="1">
      <c r="A3057" s="1">
        <v>100.0</v>
      </c>
      <c r="B3057" s="1" t="s">
        <v>1340</v>
      </c>
      <c r="C3057" s="1">
        <v>10.0</v>
      </c>
      <c r="D3057" s="2" t="s">
        <v>1348</v>
      </c>
      <c r="E3057" s="1" t="str">
        <f>IFERROR(__xludf.DUMMYFUNCTION("GOOGLETRANSLATE(D3057,""PT"",""EN"")"),"Transparency is speed in financial solutions.")</f>
        <v>Transparency is speed in financial solutions.</v>
      </c>
    </row>
    <row r="3058" ht="14.25" customHeight="1">
      <c r="A3058" s="1">
        <v>100.0</v>
      </c>
      <c r="B3058" s="1" t="s">
        <v>1340</v>
      </c>
      <c r="C3058" s="1">
        <v>10.0</v>
      </c>
      <c r="D3058" s="1" t="s">
        <v>1349</v>
      </c>
      <c r="E3058" s="1" t="str">
        <f>IFERROR(__xludf.DUMMYFUNCTION("GOOGLETRANSLATE(D3058,""PT"",""EN"")"),"Good relationship manager with customer")</f>
        <v>Good relationship manager with customer</v>
      </c>
    </row>
    <row r="3059" ht="14.25" customHeight="1">
      <c r="A3059" s="1">
        <v>100.0</v>
      </c>
      <c r="B3059" s="1" t="s">
        <v>1340</v>
      </c>
      <c r="C3059" s="1">
        <v>10.0</v>
      </c>
      <c r="D3059" s="2" t="s">
        <v>1350</v>
      </c>
      <c r="E3059" s="1" t="str">
        <f>IFERROR(__xludf.DUMMYFUNCTION("GOOGLETRANSLATE(D3059,""PT"",""EN"")"),"Good rates, easy contact is speed in service, tolerance")</f>
        <v>Good rates, easy contact is speed in service, tolerance</v>
      </c>
    </row>
    <row r="3060" ht="14.25" customHeight="1">
      <c r="A3060" s="1">
        <v>100.0</v>
      </c>
      <c r="B3060" s="1" t="s">
        <v>1340</v>
      </c>
      <c r="C3060" s="1">
        <v>10.0</v>
      </c>
      <c r="D3060" s="1" t="s">
        <v>6</v>
      </c>
      <c r="E3060" s="1"/>
    </row>
    <row r="3061" ht="14.25" customHeight="1">
      <c r="A3061" s="1">
        <v>100.0</v>
      </c>
      <c r="B3061" s="1" t="s">
        <v>1340</v>
      </c>
      <c r="C3061" s="1">
        <v>9.0</v>
      </c>
      <c r="D3061" s="1" t="s">
        <v>6</v>
      </c>
      <c r="E3061" s="1"/>
    </row>
    <row r="3062" ht="14.25" customHeight="1">
      <c r="A3062" s="1">
        <v>100.0</v>
      </c>
      <c r="B3062" s="1" t="s">
        <v>1340</v>
      </c>
      <c r="C3062" s="1">
        <v>10.0</v>
      </c>
      <c r="D3062" s="1" t="s">
        <v>1351</v>
      </c>
      <c r="E3062" s="1" t="str">
        <f>IFERROR(__xludf.DUMMYFUNCTION("GOOGLETRANSLATE(D3062,""PT"",""EN"")"),"Commitment to the Customer")</f>
        <v>Commitment to the Customer</v>
      </c>
    </row>
    <row r="3063" ht="14.25" customHeight="1">
      <c r="A3063" s="1">
        <v>100.0</v>
      </c>
      <c r="B3063" s="1" t="s">
        <v>1340</v>
      </c>
      <c r="C3063" s="1">
        <v>10.0</v>
      </c>
      <c r="D3063" s="1" t="s">
        <v>62</v>
      </c>
      <c r="E3063" s="1" t="str">
        <f>IFERROR(__xludf.DUMMYFUNCTION("GOOGLETRANSLATE(D3063,""PT"",""EN"")"),"Good service")</f>
        <v>Good service</v>
      </c>
    </row>
    <row r="3064" ht="14.25" customHeight="1">
      <c r="A3064" s="1">
        <v>100.0</v>
      </c>
      <c r="B3064" s="1" t="s">
        <v>1340</v>
      </c>
      <c r="C3064" s="1">
        <v>10.0</v>
      </c>
      <c r="D3064" s="1" t="s">
        <v>6</v>
      </c>
      <c r="E3064" s="1"/>
    </row>
    <row r="3065" ht="14.25" customHeight="1">
      <c r="A3065" s="1">
        <v>100.0</v>
      </c>
      <c r="B3065" s="1" t="s">
        <v>1340</v>
      </c>
      <c r="C3065" s="1">
        <v>10.0</v>
      </c>
      <c r="D3065" s="1" t="s">
        <v>6</v>
      </c>
      <c r="E3065" s="1"/>
    </row>
    <row r="3066" ht="14.25" customHeight="1">
      <c r="A3066" s="1">
        <v>100.0</v>
      </c>
      <c r="B3066" s="1" t="s">
        <v>1340</v>
      </c>
      <c r="C3066" s="1">
        <v>10.0</v>
      </c>
      <c r="D3066" s="1" t="s">
        <v>1352</v>
      </c>
      <c r="E3066" s="1" t="str">
        <f>IFERROR(__xludf.DUMMYFUNCTION("GOOGLETRANSLATE(D3066,""PT"",""EN"")"),"A good bank ...")</f>
        <v>A good bank ...</v>
      </c>
    </row>
    <row r="3067" ht="14.25" customHeight="1">
      <c r="A3067" s="1">
        <v>100.0</v>
      </c>
      <c r="B3067" s="1" t="s">
        <v>1340</v>
      </c>
      <c r="C3067" s="1">
        <v>10.0</v>
      </c>
      <c r="D3067" s="2" t="s">
        <v>1353</v>
      </c>
      <c r="E3067" s="1" t="str">
        <f>IFERROR(__xludf.DUMMYFUNCTION("GOOGLETRANSLATE(D3067,""PT"",""EN"")"),"Better service, smaller rates is the member receives leftovers.")</f>
        <v>Better service, smaller rates is the member receives leftovers.</v>
      </c>
    </row>
    <row r="3068" ht="14.25" customHeight="1">
      <c r="A3068" s="1">
        <v>66.0</v>
      </c>
      <c r="B3068" s="1" t="s">
        <v>1340</v>
      </c>
      <c r="C3068" s="1">
        <v>7.0</v>
      </c>
      <c r="D3068" s="2" t="s">
        <v>1354</v>
      </c>
      <c r="E3068" s="1" t="str">
        <f>IFERROR(__xludf.DUMMYFUNCTION("GOOGLETRANSLATE(D3068,""PT"",""EN"")"),"Can't meet us the satisfaction")</f>
        <v>Can't meet us the satisfaction</v>
      </c>
    </row>
    <row r="3069" ht="14.25" customHeight="1">
      <c r="A3069" s="1">
        <v>100.0</v>
      </c>
      <c r="B3069" s="1" t="s">
        <v>1340</v>
      </c>
      <c r="C3069" s="1">
        <v>10.0</v>
      </c>
      <c r="D3069" s="1" t="s">
        <v>37</v>
      </c>
      <c r="E3069" s="1" t="str">
        <f>IFERROR(__xludf.DUMMYFUNCTION("GOOGLETRANSLATE(D3069,""PT"",""EN"")"),"Great service")</f>
        <v>Great service</v>
      </c>
    </row>
    <row r="3070" ht="14.25" customHeight="1">
      <c r="A3070" s="1">
        <v>100.0</v>
      </c>
      <c r="B3070" s="1" t="s">
        <v>1340</v>
      </c>
      <c r="C3070" s="1">
        <v>9.0</v>
      </c>
      <c r="D3070" s="1" t="s">
        <v>1355</v>
      </c>
      <c r="E3070" s="1" t="str">
        <f>IFERROR(__xludf.DUMMYFUNCTION("GOOGLETRANSLATE(D3070,""PT"",""EN"")"),"Sicoob is for members only.")</f>
        <v>Sicoob is for members only.</v>
      </c>
    </row>
    <row r="3071" ht="14.25" customHeight="1">
      <c r="A3071" s="1">
        <v>100.0</v>
      </c>
      <c r="B3071" s="1" t="s">
        <v>1340</v>
      </c>
      <c r="C3071" s="1">
        <v>10.0</v>
      </c>
      <c r="D3071" s="1" t="s">
        <v>6</v>
      </c>
      <c r="E3071" s="1"/>
    </row>
    <row r="3072" ht="14.25" customHeight="1">
      <c r="A3072" s="1">
        <v>33.0</v>
      </c>
      <c r="B3072" s="1" t="s">
        <v>1340</v>
      </c>
      <c r="C3072" s="1">
        <v>0.0</v>
      </c>
      <c r="D3072" s="2" t="s">
        <v>1356</v>
      </c>
      <c r="E3072" s="1" t="str">
        <f>IFERROR(__xludf.DUMMYFUNCTION("GOOGLETRANSLATE(D3072,""PT"",""EN"")"),"It promises one thing when the account opening is not fulfilling. terrible")</f>
        <v>It promises one thing when the account opening is not fulfilling. terrible</v>
      </c>
    </row>
    <row r="3073" ht="14.25" customHeight="1">
      <c r="A3073" s="1">
        <v>100.0</v>
      </c>
      <c r="B3073" s="1" t="s">
        <v>1340</v>
      </c>
      <c r="C3073" s="1">
        <v>10.0</v>
      </c>
      <c r="D3073" s="1" t="s">
        <v>6</v>
      </c>
      <c r="E3073" s="1"/>
    </row>
    <row r="3074" ht="14.25" customHeight="1">
      <c r="A3074" s="1">
        <v>66.0</v>
      </c>
      <c r="B3074" s="1" t="s">
        <v>1340</v>
      </c>
      <c r="C3074" s="1">
        <v>7.0</v>
      </c>
      <c r="D3074" s="1" t="s">
        <v>6</v>
      </c>
      <c r="E3074" s="1"/>
    </row>
    <row r="3075" ht="14.25" customHeight="1">
      <c r="A3075" s="1">
        <v>66.0</v>
      </c>
      <c r="B3075" s="1" t="s">
        <v>1340</v>
      </c>
      <c r="C3075" s="1">
        <v>7.0</v>
      </c>
      <c r="D3075" s="1" t="s">
        <v>6</v>
      </c>
      <c r="E3075" s="1"/>
    </row>
    <row r="3076" ht="14.25" customHeight="1">
      <c r="A3076" s="1">
        <v>33.0</v>
      </c>
      <c r="B3076" s="1" t="s">
        <v>1340</v>
      </c>
      <c r="C3076" s="1">
        <v>3.0</v>
      </c>
      <c r="D3076" s="1" t="s">
        <v>6</v>
      </c>
      <c r="E3076" s="1"/>
    </row>
    <row r="3077" ht="14.25" customHeight="1">
      <c r="A3077" s="1">
        <v>100.0</v>
      </c>
      <c r="B3077" s="1" t="s">
        <v>1340</v>
      </c>
      <c r="C3077" s="1">
        <v>9.0</v>
      </c>
      <c r="D3077" s="1" t="s">
        <v>1357</v>
      </c>
      <c r="E3077" s="1" t="str">
        <f>IFERROR(__xludf.DUMMYFUNCTION("GOOGLETRANSLATE(D3077,""PT"",""EN"")"),"Reliability!")</f>
        <v>Reliability!</v>
      </c>
    </row>
    <row r="3078" ht="14.25" customHeight="1">
      <c r="A3078" s="1">
        <v>33.0</v>
      </c>
      <c r="B3078" s="1" t="s">
        <v>1340</v>
      </c>
      <c r="C3078" s="1">
        <v>0.0</v>
      </c>
      <c r="D3078" s="1" t="s">
        <v>1358</v>
      </c>
      <c r="E3078" s="1" t="str">
        <f>IFERROR(__xludf.DUMMYFUNCTION("GOOGLETRANSLATE(D3078,""PT"",""EN"")"),"This bank never offered me anything ok")</f>
        <v>This bank never offered me anything ok</v>
      </c>
    </row>
    <row r="3079" ht="14.25" customHeight="1">
      <c r="A3079" s="1">
        <v>100.0</v>
      </c>
      <c r="B3079" s="1" t="s">
        <v>1340</v>
      </c>
      <c r="C3079" s="1">
        <v>9.0</v>
      </c>
      <c r="D3079" s="2" t="s">
        <v>1359</v>
      </c>
      <c r="E3079" s="1" t="str">
        <f>IFERROR(__xludf.DUMMYFUNCTION("GOOGLETRANSLATE(D3079,""PT"",""EN"")"),"It is a bank that provides service to its customers is seeking to know them")</f>
        <v>It is a bank that provides service to its customers is seeking to know them</v>
      </c>
    </row>
    <row r="3080" ht="14.25" customHeight="1">
      <c r="A3080" s="1">
        <v>33.0</v>
      </c>
      <c r="B3080" s="1" t="s">
        <v>1340</v>
      </c>
      <c r="C3080" s="1">
        <v>0.0</v>
      </c>
      <c r="D3080" s="1" t="s">
        <v>1360</v>
      </c>
      <c r="E3080" s="1" t="str">
        <f>IFERROR(__xludf.DUMMYFUNCTION("GOOGLETRANSLATE(D3080,""PT"",""EN"")"),"The bank acts dishonestly, especially when it is necessary to negotiate.")</f>
        <v>The bank acts dishonestly, especially when it is necessary to negotiate.</v>
      </c>
    </row>
    <row r="3081" ht="14.25" customHeight="1">
      <c r="A3081" s="1">
        <v>100.0</v>
      </c>
      <c r="B3081" s="1" t="s">
        <v>1340</v>
      </c>
      <c r="C3081" s="1">
        <v>10.0</v>
      </c>
      <c r="D3081" s="1" t="s">
        <v>1361</v>
      </c>
      <c r="E3081" s="1" t="str">
        <f>IFERROR(__xludf.DUMMYFUNCTION("GOOGLETRANSLATE(D3081,""PT"",""EN"")"),"Speed ​​in service at the agency.")</f>
        <v>Speed ​​in service at the agency.</v>
      </c>
    </row>
    <row r="3082" ht="14.25" customHeight="1">
      <c r="A3082" s="1">
        <v>100.0</v>
      </c>
      <c r="B3082" s="1" t="s">
        <v>1340</v>
      </c>
      <c r="C3082" s="1">
        <v>10.0</v>
      </c>
      <c r="D3082" s="1" t="s">
        <v>6</v>
      </c>
      <c r="E3082" s="1"/>
    </row>
    <row r="3083" ht="14.25" customHeight="1">
      <c r="A3083" s="1">
        <v>100.0</v>
      </c>
      <c r="B3083" s="1" t="s">
        <v>1340</v>
      </c>
      <c r="C3083" s="1">
        <v>10.0</v>
      </c>
      <c r="D3083" s="1" t="s">
        <v>6</v>
      </c>
      <c r="E3083" s="1"/>
    </row>
    <row r="3084" ht="14.25" customHeight="1">
      <c r="A3084" s="1">
        <v>33.0</v>
      </c>
      <c r="B3084" s="1" t="s">
        <v>1340</v>
      </c>
      <c r="C3084" s="1">
        <v>3.0</v>
      </c>
      <c r="D3084" s="1" t="s">
        <v>1362</v>
      </c>
      <c r="E3084" s="1" t="str">
        <f>IFERROR(__xludf.DUMMYFUNCTION("GOOGLETRANSLATE(D3084,""PT"",""EN"")"),"Commercial negotiation difficulty")</f>
        <v>Commercial negotiation difficulty</v>
      </c>
    </row>
    <row r="3085" ht="14.25" customHeight="1">
      <c r="A3085" s="1">
        <v>100.0</v>
      </c>
      <c r="B3085" s="1" t="s">
        <v>1340</v>
      </c>
      <c r="C3085" s="1">
        <v>10.0</v>
      </c>
      <c r="D3085" s="1" t="s">
        <v>85</v>
      </c>
      <c r="E3085" s="1" t="str">
        <f>IFERROR(__xludf.DUMMYFUNCTION("GOOGLETRANSLATE(D3085,""PT"",""EN"")"),"Service")</f>
        <v>Service</v>
      </c>
    </row>
    <row r="3086" ht="14.25" customHeight="1">
      <c r="A3086" s="1">
        <v>66.0</v>
      </c>
      <c r="B3086" s="1" t="s">
        <v>1340</v>
      </c>
      <c r="C3086" s="1">
        <v>8.0</v>
      </c>
      <c r="D3086" s="1" t="s">
        <v>6</v>
      </c>
      <c r="E3086" s="1"/>
    </row>
    <row r="3087" ht="14.25" customHeight="1">
      <c r="A3087" s="1">
        <v>100.0</v>
      </c>
      <c r="B3087" s="1" t="s">
        <v>1340</v>
      </c>
      <c r="C3087" s="1">
        <v>10.0</v>
      </c>
      <c r="D3087" s="1" t="s">
        <v>1363</v>
      </c>
      <c r="E3087" s="1" t="str">
        <f>IFERROR(__xludf.DUMMYFUNCTION("GOOGLETRANSLATE(D3087,""PT"",""EN"")"),"Excellent cooperative. Good service.")</f>
        <v>Excellent cooperative. Good service.</v>
      </c>
    </row>
    <row r="3088" ht="14.25" customHeight="1">
      <c r="A3088" s="1">
        <v>100.0</v>
      </c>
      <c r="B3088" s="1" t="s">
        <v>1340</v>
      </c>
      <c r="C3088" s="1">
        <v>10.0</v>
      </c>
      <c r="D3088" s="2" t="s">
        <v>1364</v>
      </c>
      <c r="E3088" s="1" t="str">
        <f>IFERROR(__xludf.DUMMYFUNCTION("GOOGLETRANSLATE(D3088,""PT"",""EN"")"),"I'm an old customer Sicoob, I like I'm a fan")</f>
        <v>I'm an old customer Sicoob, I like I'm a fan</v>
      </c>
    </row>
    <row r="3089" ht="14.25" customHeight="1">
      <c r="A3089" s="1">
        <v>100.0</v>
      </c>
      <c r="B3089" s="1" t="s">
        <v>1340</v>
      </c>
      <c r="C3089" s="1">
        <v>10.0</v>
      </c>
      <c r="D3089" s="1" t="s">
        <v>25</v>
      </c>
      <c r="E3089" s="1" t="str">
        <f>IFERROR(__xludf.DUMMYFUNCTION("GOOGLETRANSLATE(D3089,""PT"",""EN"")"),"Emergency service.")</f>
        <v>Emergency service.</v>
      </c>
    </row>
    <row r="3090" ht="14.25" customHeight="1">
      <c r="A3090" s="1">
        <v>100.0</v>
      </c>
      <c r="B3090" s="1" t="s">
        <v>1340</v>
      </c>
      <c r="C3090" s="1">
        <v>10.0</v>
      </c>
      <c r="D3090" s="1" t="s">
        <v>1365</v>
      </c>
      <c r="E3090" s="1" t="str">
        <f>IFERROR(__xludf.DUMMYFUNCTION("GOOGLETRANSLATE(D3090,""PT"",""EN"")"),"Cordiality Care Plans")</f>
        <v>Cordiality Care Plans</v>
      </c>
    </row>
    <row r="3091" ht="14.25" customHeight="1">
      <c r="A3091" s="1">
        <v>100.0</v>
      </c>
      <c r="B3091" s="1" t="s">
        <v>1340</v>
      </c>
      <c r="C3091" s="1">
        <v>10.0</v>
      </c>
      <c r="D3091" s="1" t="s">
        <v>1366</v>
      </c>
      <c r="E3091" s="1" t="str">
        <f>IFERROR(__xludf.DUMMYFUNCTION("GOOGLETRANSLATE(D3091,""PT"",""EN"")"),"Meets me in what I need !!")</f>
        <v>Meets me in what I need !!</v>
      </c>
    </row>
    <row r="3092" ht="14.25" customHeight="1">
      <c r="A3092" s="1">
        <v>100.0</v>
      </c>
      <c r="B3092" s="1" t="s">
        <v>1340</v>
      </c>
      <c r="C3092" s="1">
        <v>10.0</v>
      </c>
      <c r="D3092" s="2" t="s">
        <v>1367</v>
      </c>
      <c r="E3092" s="1" t="str">
        <f>IFERROR(__xludf.DUMMYFUNCTION("GOOGLETRANSLATE(D3092,""PT"",""EN"")"),"Customer service, reduced rates is ease in APPs.")</f>
        <v>Customer service, reduced rates is ease in APPs.</v>
      </c>
    </row>
    <row r="3093" ht="14.25" customHeight="1">
      <c r="A3093" s="1">
        <v>66.0</v>
      </c>
      <c r="B3093" s="1" t="s">
        <v>1340</v>
      </c>
      <c r="C3093" s="1">
        <v>8.0</v>
      </c>
      <c r="D3093" s="1" t="s">
        <v>85</v>
      </c>
      <c r="E3093" s="1" t="str">
        <f>IFERROR(__xludf.DUMMYFUNCTION("GOOGLETRANSLATE(D3093,""PT"",""EN"")"),"Service")</f>
        <v>Service</v>
      </c>
    </row>
    <row r="3094" ht="14.25" customHeight="1">
      <c r="A3094" s="1">
        <v>33.0</v>
      </c>
      <c r="B3094" s="1" t="s">
        <v>1340</v>
      </c>
      <c r="C3094" s="1">
        <v>3.0</v>
      </c>
      <c r="D3094" s="1" t="s">
        <v>1368</v>
      </c>
      <c r="E3094" s="1" t="str">
        <f>IFERROR(__xludf.DUMMYFUNCTION("GOOGLETRANSLATE(D3094,""PT"",""EN"")"),"Low income in fixed income investments. Far below 100% of the CDI.")</f>
        <v>Low income in fixed income investments. Far below 100% of the CDI.</v>
      </c>
    </row>
    <row r="3095" ht="14.25" customHeight="1">
      <c r="A3095" s="1">
        <v>33.0</v>
      </c>
      <c r="B3095" s="1" t="s">
        <v>1340</v>
      </c>
      <c r="C3095" s="1">
        <v>0.0</v>
      </c>
      <c r="D3095" s="1" t="s">
        <v>6</v>
      </c>
      <c r="E3095" s="1"/>
    </row>
    <row r="3096" ht="14.25" customHeight="1">
      <c r="A3096" s="1">
        <v>100.0</v>
      </c>
      <c r="B3096" s="1" t="s">
        <v>1340</v>
      </c>
      <c r="C3096" s="1">
        <v>10.0</v>
      </c>
      <c r="D3096" s="1" t="s">
        <v>6</v>
      </c>
      <c r="E3096" s="1"/>
    </row>
    <row r="3097" ht="14.25" customHeight="1">
      <c r="A3097" s="1">
        <v>100.0</v>
      </c>
      <c r="B3097" s="1" t="s">
        <v>1340</v>
      </c>
      <c r="C3097" s="1">
        <v>10.0</v>
      </c>
      <c r="D3097" s="2" t="s">
        <v>1369</v>
      </c>
      <c r="E3097" s="1" t="str">
        <f>IFERROR(__xludf.DUMMYFUNCTION("GOOGLETRANSLATE(D3097,""PT"",""EN"")"),"Always fast service is very good.")</f>
        <v>Always fast service is very good.</v>
      </c>
    </row>
    <row r="3098" ht="14.25" customHeight="1">
      <c r="A3098" s="1">
        <v>100.0</v>
      </c>
      <c r="B3098" s="1" t="s">
        <v>1340</v>
      </c>
      <c r="C3098" s="1">
        <v>10.0</v>
      </c>
      <c r="D3098" s="1" t="s">
        <v>1370</v>
      </c>
      <c r="E3098" s="1" t="str">
        <f>IFERROR(__xludf.DUMMYFUNCTION("GOOGLETRANSLATE(D3098,""PT"",""EN"")"),"good relationship")</f>
        <v>good relationship</v>
      </c>
    </row>
    <row r="3099" ht="14.25" customHeight="1">
      <c r="A3099" s="1">
        <v>100.0</v>
      </c>
      <c r="B3099" s="1" t="s">
        <v>1340</v>
      </c>
      <c r="C3099" s="1">
        <v>10.0</v>
      </c>
      <c r="D3099" s="1" t="s">
        <v>6</v>
      </c>
      <c r="E3099" s="1"/>
    </row>
    <row r="3100" ht="14.25" customHeight="1">
      <c r="A3100" s="1">
        <v>100.0</v>
      </c>
      <c r="B3100" s="1" t="s">
        <v>1340</v>
      </c>
      <c r="C3100" s="1">
        <v>9.0</v>
      </c>
      <c r="D3100" s="1" t="s">
        <v>6</v>
      </c>
      <c r="E3100" s="1"/>
    </row>
    <row r="3101" ht="14.25" customHeight="1">
      <c r="A3101" s="1">
        <v>100.0</v>
      </c>
      <c r="B3101" s="1" t="s">
        <v>1340</v>
      </c>
      <c r="C3101" s="1">
        <v>10.0</v>
      </c>
      <c r="D3101" s="1" t="s">
        <v>1371</v>
      </c>
      <c r="E3101" s="1" t="str">
        <f>IFERROR(__xludf.DUMMYFUNCTION("GOOGLETRANSLATE(D3101,""PT"",""EN"")"),"Interest in solving the problems of associates as far as possible.")</f>
        <v>Interest in solving the problems of associates as far as possible.</v>
      </c>
    </row>
    <row r="3102" ht="14.25" customHeight="1">
      <c r="A3102" s="1">
        <v>33.0</v>
      </c>
      <c r="B3102" s="1" t="s">
        <v>1340</v>
      </c>
      <c r="C3102" s="1">
        <v>0.0</v>
      </c>
      <c r="D3102" s="1" t="s">
        <v>1372</v>
      </c>
      <c r="E3102" s="1" t="str">
        <f>IFERROR(__xludf.DUMMYFUNCTION("GOOGLETRANSLATE(D3102,""PT"",""EN"")"),"Difficulty in contacting people, outdated bank regarding the world's innovations. Difficulty in unlocking the account due to update of the social contract. Extreme bureaucracy for any attitude taken on the bank.")</f>
        <v>Difficulty in contacting people, outdated bank regarding the world's innovations. Difficulty in unlocking the account due to update of the social contract. Extreme bureaucracy for any attitude taken on the bank.</v>
      </c>
    </row>
    <row r="3103" ht="14.25" customHeight="1">
      <c r="A3103" s="1">
        <v>33.0</v>
      </c>
      <c r="B3103" s="1" t="s">
        <v>1340</v>
      </c>
      <c r="C3103" s="1">
        <v>1.0</v>
      </c>
      <c r="D3103" s="2" t="s">
        <v>1373</v>
      </c>
      <c r="E3103" s="1" t="str">
        <f>IFERROR(__xludf.DUMMYFUNCTION("GOOGLETRANSLATE(D3103,""PT"",""EN"")"),"I do not recognize this institution, managers treat their clients with neglect.")</f>
        <v>I do not recognize this institution, managers treat their clients with neglect.</v>
      </c>
    </row>
    <row r="3104" ht="14.25" customHeight="1">
      <c r="A3104" s="1">
        <v>100.0</v>
      </c>
      <c r="B3104" s="1" t="s">
        <v>1340</v>
      </c>
      <c r="C3104" s="1">
        <v>10.0</v>
      </c>
      <c r="D3104" s="1" t="s">
        <v>1374</v>
      </c>
      <c r="E3104" s="1" t="str">
        <f>IFERROR(__xludf.DUMMYFUNCTION("GOOGLETRANSLATE(D3104,""PT"",""EN"")"),"for service")</f>
        <v>for service</v>
      </c>
    </row>
    <row r="3105" ht="14.25" customHeight="1">
      <c r="A3105" s="1">
        <v>100.0</v>
      </c>
      <c r="B3105" s="1" t="s">
        <v>1340</v>
      </c>
      <c r="C3105" s="1">
        <v>10.0</v>
      </c>
      <c r="D3105" s="1" t="s">
        <v>50</v>
      </c>
      <c r="E3105" s="1" t="str">
        <f>IFERROR(__xludf.DUMMYFUNCTION("GOOGLETRANSLATE(D3105,""PT"",""EN"")"),"great bank")</f>
        <v>great bank</v>
      </c>
    </row>
    <row r="3106" ht="14.25" customHeight="1">
      <c r="A3106" s="1">
        <v>100.0</v>
      </c>
      <c r="B3106" s="1" t="s">
        <v>1340</v>
      </c>
      <c r="C3106" s="1">
        <v>10.0</v>
      </c>
      <c r="D3106" s="1" t="s">
        <v>6</v>
      </c>
      <c r="E3106" s="1"/>
    </row>
    <row r="3107" ht="14.25" customHeight="1">
      <c r="A3107" s="1">
        <v>100.0</v>
      </c>
      <c r="B3107" s="1" t="s">
        <v>1340</v>
      </c>
      <c r="C3107" s="1">
        <v>9.0</v>
      </c>
      <c r="D3107" s="1" t="s">
        <v>6</v>
      </c>
      <c r="E3107" s="1"/>
    </row>
    <row r="3108" ht="14.25" customHeight="1">
      <c r="A3108" s="1">
        <v>100.0</v>
      </c>
      <c r="B3108" s="1" t="s">
        <v>1340</v>
      </c>
      <c r="C3108" s="1">
        <v>9.0</v>
      </c>
      <c r="D3108" s="1" t="s">
        <v>6</v>
      </c>
      <c r="E3108" s="1"/>
    </row>
    <row r="3109" ht="14.25" customHeight="1">
      <c r="A3109" s="1">
        <v>100.0</v>
      </c>
      <c r="B3109" s="1" t="s">
        <v>1340</v>
      </c>
      <c r="C3109" s="1">
        <v>9.0</v>
      </c>
      <c r="D3109" s="1" t="s">
        <v>6</v>
      </c>
      <c r="E3109" s="1"/>
    </row>
    <row r="3110" ht="14.25" customHeight="1">
      <c r="A3110" s="1">
        <v>33.0</v>
      </c>
      <c r="B3110" s="1" t="s">
        <v>1340</v>
      </c>
      <c r="C3110" s="1">
        <v>0.0</v>
      </c>
      <c r="D3110" s="2" t="s">
        <v>1375</v>
      </c>
      <c r="E3110" s="1" t="str">
        <f>IFERROR(__xludf.DUMMYFUNCTION("GOOGLETRANSLATE(D3110,""PT"",""EN"")"),"I opened a legal account was just about it. It turns out I don't even have debit card. Then I need to pay debit somewhere, I need to transfer to my daughter's account that is underage to pay debit. Unfortunate")</f>
        <v>I opened a legal account was just about it. It turns out I don't even have debit card. Then I need to pay debit somewhere, I need to transfer to my daughter's account that is underage to pay debit. Unfortunate</v>
      </c>
    </row>
    <row r="3111" ht="14.25" customHeight="1">
      <c r="A3111" s="1">
        <v>33.0</v>
      </c>
      <c r="B3111" s="1" t="s">
        <v>1340</v>
      </c>
      <c r="C3111" s="1">
        <v>3.0</v>
      </c>
      <c r="D3111" s="1" t="s">
        <v>6</v>
      </c>
      <c r="E3111" s="1"/>
    </row>
    <row r="3112" ht="14.25" customHeight="1">
      <c r="A3112" s="1">
        <v>100.0</v>
      </c>
      <c r="B3112" s="1" t="s">
        <v>1340</v>
      </c>
      <c r="C3112" s="1">
        <v>10.0</v>
      </c>
      <c r="D3112" s="1" t="s">
        <v>1376</v>
      </c>
      <c r="E3112" s="1" t="str">
        <f>IFERROR(__xludf.DUMMYFUNCTION("GOOGLETRANSLATE(D3112,""PT"",""EN"")"),"Be well attended!")</f>
        <v>Be well attended!</v>
      </c>
    </row>
    <row r="3113" ht="14.25" customHeight="1">
      <c r="A3113" s="1">
        <v>66.0</v>
      </c>
      <c r="B3113" s="1" t="s">
        <v>1340</v>
      </c>
      <c r="C3113" s="1">
        <v>8.0</v>
      </c>
      <c r="D3113" s="1" t="s">
        <v>6</v>
      </c>
      <c r="E3113" s="1"/>
    </row>
    <row r="3114" ht="14.25" customHeight="1">
      <c r="A3114" s="1">
        <v>66.0</v>
      </c>
      <c r="B3114" s="1" t="s">
        <v>1340</v>
      </c>
      <c r="C3114" s="1">
        <v>8.0</v>
      </c>
      <c r="D3114" s="1" t="s">
        <v>6</v>
      </c>
      <c r="E3114" s="1"/>
    </row>
    <row r="3115" ht="14.25" customHeight="1">
      <c r="A3115" s="1">
        <v>100.0</v>
      </c>
      <c r="B3115" s="1" t="s">
        <v>1340</v>
      </c>
      <c r="C3115" s="1">
        <v>10.0</v>
      </c>
      <c r="D3115" s="2" t="s">
        <v>1377</v>
      </c>
      <c r="E3115" s="1" t="str">
        <f>IFERROR(__xludf.DUMMYFUNCTION("GOOGLETRANSLATE(D3115,""PT"",""EN"")"),"Excellence in the provision of services offered is customer service.")</f>
        <v>Excellence in the provision of services offered is customer service.</v>
      </c>
    </row>
    <row r="3116" ht="14.25" customHeight="1">
      <c r="A3116" s="1">
        <v>100.0</v>
      </c>
      <c r="B3116" s="1" t="s">
        <v>1340</v>
      </c>
      <c r="C3116" s="1">
        <v>9.0</v>
      </c>
      <c r="D3116" s="1" t="s">
        <v>1378</v>
      </c>
      <c r="E3116" s="1" t="str">
        <f>IFERROR(__xludf.DUMMYFUNCTION("GOOGLETRANSLATE(D3116,""PT"",""EN"")"),"Confidence in cooperativism")</f>
        <v>Confidence in cooperativism</v>
      </c>
    </row>
    <row r="3117" ht="14.25" customHeight="1">
      <c r="A3117" s="1">
        <v>33.0</v>
      </c>
      <c r="B3117" s="1" t="s">
        <v>1340</v>
      </c>
      <c r="C3117" s="1">
        <v>3.0</v>
      </c>
      <c r="D3117" s="2" t="s">
        <v>1379</v>
      </c>
      <c r="E3117" s="1" t="str">
        <f>IFERROR(__xludf.DUMMYFUNCTION("GOOGLETRANSLATE(D3117,""PT"",""EN"")"),"I have legal account 3 times I needed to credit 3 times is never released, my sales is transfers are all by the bank is I have no credit !! In short I will look")</f>
        <v>I have legal account 3 times I needed to credit 3 times is never released, my sales is transfers are all by the bank is I have no credit !! In short I will look</v>
      </c>
    </row>
    <row r="3118" ht="14.25" customHeight="1">
      <c r="A3118" s="1">
        <v>100.0</v>
      </c>
      <c r="B3118" s="1" t="s">
        <v>1340</v>
      </c>
      <c r="C3118" s="1">
        <v>10.0</v>
      </c>
      <c r="D3118" s="1" t="s">
        <v>890</v>
      </c>
      <c r="E3118" s="1" t="str">
        <f>IFERROR(__xludf.DUMMYFUNCTION("GOOGLETRANSLATE(D3118,""PT"",""EN"")"),"SERVICE")</f>
        <v>SERVICE</v>
      </c>
    </row>
    <row r="3119" ht="14.25" customHeight="1">
      <c r="A3119" s="1">
        <v>100.0</v>
      </c>
      <c r="B3119" s="1" t="s">
        <v>1340</v>
      </c>
      <c r="C3119" s="1">
        <v>10.0</v>
      </c>
      <c r="D3119" s="1" t="s">
        <v>6</v>
      </c>
      <c r="E3119" s="1"/>
    </row>
    <row r="3120" ht="14.25" customHeight="1">
      <c r="A3120" s="1">
        <v>100.0</v>
      </c>
      <c r="B3120" s="1" t="s">
        <v>1340</v>
      </c>
      <c r="C3120" s="1">
        <v>10.0</v>
      </c>
      <c r="D3120" s="2" t="s">
        <v>1380</v>
      </c>
      <c r="E3120" s="1" t="str">
        <f>IFERROR(__xludf.DUMMYFUNCTION("GOOGLETRANSLATE(D3120,""PT"",""EN"")"),"Excellent service is service")</f>
        <v>Excellent service is service</v>
      </c>
    </row>
    <row r="3121" ht="14.25" customHeight="1">
      <c r="A3121" s="1">
        <v>100.0</v>
      </c>
      <c r="B3121" s="1" t="s">
        <v>1340</v>
      </c>
      <c r="C3121" s="1">
        <v>10.0</v>
      </c>
      <c r="D3121" s="1" t="s">
        <v>6</v>
      </c>
      <c r="E3121" s="1"/>
    </row>
    <row r="3122" ht="14.25" customHeight="1">
      <c r="A3122" s="1">
        <v>33.0</v>
      </c>
      <c r="B3122" s="1" t="s">
        <v>1340</v>
      </c>
      <c r="C3122" s="1">
        <v>0.0</v>
      </c>
      <c r="D3122" s="2" t="s">
        <v>1381</v>
      </c>
      <c r="E3122" s="1" t="str">
        <f>IFERROR(__xludf.DUMMYFUNCTION("GOOGLETRANSLATE(D3122,""PT"",""EN"")"),"Sicoob is no longer a rewarding bank to just another normal commercial bank, full of rates is always trying to push products.")</f>
        <v>Sicoob is no longer a rewarding bank to just another normal commercial bank, full of rates is always trying to push products.</v>
      </c>
    </row>
    <row r="3123" ht="14.25" customHeight="1">
      <c r="A3123" s="1">
        <v>100.0</v>
      </c>
      <c r="B3123" s="1" t="s">
        <v>1340</v>
      </c>
      <c r="C3123" s="1">
        <v>10.0</v>
      </c>
      <c r="D3123" s="1" t="s">
        <v>6</v>
      </c>
      <c r="E3123" s="1"/>
    </row>
    <row r="3124" ht="14.25" customHeight="1">
      <c r="A3124" s="1">
        <v>100.0</v>
      </c>
      <c r="B3124" s="1" t="s">
        <v>1340</v>
      </c>
      <c r="C3124" s="1">
        <v>10.0</v>
      </c>
      <c r="D3124" s="1" t="s">
        <v>6</v>
      </c>
      <c r="E3124" s="1"/>
    </row>
    <row r="3125" ht="14.25" customHeight="1">
      <c r="A3125" s="1">
        <v>100.0</v>
      </c>
      <c r="B3125" s="1" t="s">
        <v>1340</v>
      </c>
      <c r="C3125" s="1">
        <v>10.0</v>
      </c>
      <c r="D3125" s="2" t="s">
        <v>1382</v>
      </c>
      <c r="E3125" s="1" t="str">
        <f>IFERROR(__xludf.DUMMYFUNCTION("GOOGLETRANSLATE(D3125,""PT"",""EN"")"),"Banco Easy to Operate, Credit faster, is capital that returns after")</f>
        <v>Banco Easy to Operate, Credit faster, is capital that returns after</v>
      </c>
    </row>
    <row r="3126" ht="14.25" customHeight="1">
      <c r="A3126" s="1">
        <v>100.0</v>
      </c>
      <c r="B3126" s="1" t="s">
        <v>1340</v>
      </c>
      <c r="C3126" s="1">
        <v>10.0</v>
      </c>
      <c r="D3126" s="2" t="s">
        <v>1383</v>
      </c>
      <c r="E3126" s="1" t="str">
        <f>IFERROR(__xludf.DUMMYFUNCTION("GOOGLETRANSLATE(D3126,""PT"",""EN"")"),"Closest service is agile beyond participation in results.")</f>
        <v>Closest service is agile beyond participation in results.</v>
      </c>
    </row>
    <row r="3127" ht="14.25" customHeight="1">
      <c r="A3127" s="1">
        <v>66.0</v>
      </c>
      <c r="B3127" s="1" t="s">
        <v>1340</v>
      </c>
      <c r="C3127" s="1">
        <v>8.0</v>
      </c>
      <c r="D3127" s="1" t="s">
        <v>6</v>
      </c>
      <c r="E3127" s="1"/>
    </row>
    <row r="3128" ht="14.25" customHeight="1">
      <c r="A3128" s="1">
        <v>33.0</v>
      </c>
      <c r="B3128" s="1" t="s">
        <v>1340</v>
      </c>
      <c r="C3128" s="1">
        <v>2.0</v>
      </c>
      <c r="D3128" s="1" t="s">
        <v>1384</v>
      </c>
      <c r="E3128" s="1" t="str">
        <f>IFERROR(__xludf.DUMMYFUNCTION("GOOGLETRANSLATE(D3128,""PT"",""EN"")"),"Lack of contact from my manager or agency with me. I know from other agencies where contact is often made generating satisfaction.")</f>
        <v>Lack of contact from my manager or agency with me. I know from other agencies where contact is often made generating satisfaction.</v>
      </c>
    </row>
    <row r="3129" ht="14.25" customHeight="1">
      <c r="A3129" s="1">
        <v>100.0</v>
      </c>
      <c r="B3129" s="1" t="s">
        <v>1340</v>
      </c>
      <c r="C3129" s="1">
        <v>10.0</v>
      </c>
      <c r="D3129" s="1" t="s">
        <v>6</v>
      </c>
      <c r="E3129" s="1"/>
    </row>
    <row r="3130" ht="14.25" customHeight="1">
      <c r="A3130" s="1">
        <v>100.0</v>
      </c>
      <c r="B3130" s="1" t="s">
        <v>1340</v>
      </c>
      <c r="C3130" s="1">
        <v>10.0</v>
      </c>
      <c r="D3130" s="2" t="s">
        <v>1385</v>
      </c>
      <c r="E3130" s="1" t="str">
        <f>IFERROR(__xludf.DUMMYFUNCTION("GOOGLETRANSLATE(D3130,""PT"",""EN"")"),"The institution is would be, the professionals too. They are prepared are not like in other banks, which sell dreams there are fees is charges under the cloth. The sincerity is transparency of Sicoob, which I have in my agency (manager is assistants) is i"&amp;"nspiring is causes me to do the mouth to mouth.")</f>
        <v>The institution is would be, the professionals too. They are prepared are not like in other banks, which sell dreams there are fees is charges under the cloth. The sincerity is transparency of Sicoob, which I have in my agency (manager is assistants) is inspiring is causes me to do the mouth to mouth.</v>
      </c>
    </row>
    <row r="3131" ht="14.25" customHeight="1">
      <c r="A3131" s="1">
        <v>33.0</v>
      </c>
      <c r="B3131" s="1" t="s">
        <v>1340</v>
      </c>
      <c r="C3131" s="1">
        <v>4.0</v>
      </c>
      <c r="D3131" s="1" t="s">
        <v>6</v>
      </c>
      <c r="E3131" s="1"/>
    </row>
    <row r="3132" ht="14.25" customHeight="1">
      <c r="A3132" s="1">
        <v>100.0</v>
      </c>
      <c r="B3132" s="1" t="s">
        <v>1340</v>
      </c>
      <c r="C3132" s="1">
        <v>10.0</v>
      </c>
      <c r="D3132" s="1" t="s">
        <v>6</v>
      </c>
      <c r="E3132" s="1"/>
    </row>
    <row r="3133" ht="14.25" customHeight="1">
      <c r="A3133" s="1">
        <v>100.0</v>
      </c>
      <c r="B3133" s="1" t="s">
        <v>1340</v>
      </c>
      <c r="C3133" s="1">
        <v>10.0</v>
      </c>
      <c r="D3133" s="1" t="s">
        <v>1386</v>
      </c>
      <c r="E3133" s="1" t="str">
        <f>IFERROR(__xludf.DUMMYFUNCTION("GOOGLETRANSLATE(D3133,""PT"",""EN"")"),"More attractive rates")</f>
        <v>More attractive rates</v>
      </c>
    </row>
    <row r="3134" ht="14.25" customHeight="1">
      <c r="A3134" s="1">
        <v>100.0</v>
      </c>
      <c r="B3134" s="1" t="s">
        <v>1340</v>
      </c>
      <c r="C3134" s="1">
        <v>10.0</v>
      </c>
      <c r="D3134" s="1" t="s">
        <v>132</v>
      </c>
      <c r="E3134" s="1" t="str">
        <f>IFERROR(__xludf.DUMMYFUNCTION("GOOGLETRANSLATE(D3134,""PT"",""EN"")"),"Great service")</f>
        <v>Great service</v>
      </c>
    </row>
    <row r="3135" ht="14.25" customHeight="1">
      <c r="A3135" s="1">
        <v>66.0</v>
      </c>
      <c r="B3135" s="1" t="s">
        <v>1340</v>
      </c>
      <c r="C3135" s="1">
        <v>7.0</v>
      </c>
      <c r="D3135" s="2" t="s">
        <v>1387</v>
      </c>
      <c r="E3135" s="1" t="str">
        <f>IFERROR(__xludf.DUMMYFUNCTION("GOOGLETRANSLATE(D3135,""PT"",""EN"")"),"Normal bank ... are failing to make a difference ...")</f>
        <v>Normal bank ... are failing to make a difference ...</v>
      </c>
    </row>
    <row r="3136" ht="14.25" customHeight="1">
      <c r="A3136" s="1">
        <v>100.0</v>
      </c>
      <c r="B3136" s="1" t="s">
        <v>1340</v>
      </c>
      <c r="C3136" s="1">
        <v>10.0</v>
      </c>
      <c r="D3136" s="1" t="s">
        <v>6</v>
      </c>
      <c r="E3136" s="1"/>
    </row>
    <row r="3137" ht="14.25" customHeight="1">
      <c r="A3137" s="1">
        <v>100.0</v>
      </c>
      <c r="B3137" s="1" t="s">
        <v>1340</v>
      </c>
      <c r="C3137" s="1">
        <v>10.0</v>
      </c>
      <c r="D3137" s="1" t="s">
        <v>22</v>
      </c>
      <c r="E3137" s="1" t="str">
        <f>IFERROR(__xludf.DUMMYFUNCTION("GOOGLETRANSLATE(D3137,""PT"",""EN"")"),"Excellent service")</f>
        <v>Excellent service</v>
      </c>
    </row>
    <row r="3138" ht="14.25" customHeight="1">
      <c r="A3138" s="1">
        <v>100.0</v>
      </c>
      <c r="B3138" s="1" t="s">
        <v>1340</v>
      </c>
      <c r="C3138" s="1">
        <v>10.0</v>
      </c>
      <c r="D3138" s="1" t="s">
        <v>6</v>
      </c>
      <c r="E3138" s="1"/>
    </row>
    <row r="3139" ht="14.25" customHeight="1">
      <c r="A3139" s="1">
        <v>33.0</v>
      </c>
      <c r="B3139" s="1" t="s">
        <v>1340</v>
      </c>
      <c r="C3139" s="1">
        <v>5.0</v>
      </c>
      <c r="D3139" s="2" t="s">
        <v>1388</v>
      </c>
      <c r="E3139" s="1" t="str">
        <f>IFERROR(__xludf.DUMMYFUNCTION("GOOGLETRANSLATE(D3139,""PT"",""EN"")"),"I have a good turn is never released a credit for me I went to the agency is not released")</f>
        <v>I have a good turn is never released a credit for me I went to the agency is not released</v>
      </c>
    </row>
    <row r="3140" ht="14.25" customHeight="1">
      <c r="A3140" s="1">
        <v>100.0</v>
      </c>
      <c r="B3140" s="1" t="s">
        <v>1340</v>
      </c>
      <c r="C3140" s="1">
        <v>10.0</v>
      </c>
      <c r="D3140" s="1" t="s">
        <v>6</v>
      </c>
      <c r="E3140" s="1"/>
    </row>
    <row r="3141" ht="14.25" customHeight="1">
      <c r="A3141" s="1">
        <v>33.0</v>
      </c>
      <c r="B3141" s="1" t="s">
        <v>1340</v>
      </c>
      <c r="C3141" s="1">
        <v>0.0</v>
      </c>
      <c r="D3141" s="2" t="s">
        <v>1389</v>
      </c>
      <c r="E3141" s="1" t="str">
        <f>IFERROR(__xludf.DUMMYFUNCTION("GOOGLETRANSLATE(D3141,""PT"",""EN"")"),"I did a payroll, I don't know what happened that the payment was not made to the bank is simply protested my name, without even calling me to inform, now I do not buy a needle. I went to the bank is simply told me that I have to pay, so far ok I agree to "&amp;"pay because the name is mine is not, then I run after my rights, but I agree to pay a fair amount.")</f>
        <v>I did a payroll, I don't know what happened that the payment was not made to the bank is simply protested my name, without even calling me to inform, now I do not buy a needle. I went to the bank is simply told me that I have to pay, so far ok I agree to pay because the name is mine is not, then I run after my rights, but I agree to pay a fair amount.</v>
      </c>
    </row>
    <row r="3142" ht="14.25" customHeight="1">
      <c r="A3142" s="1">
        <v>100.0</v>
      </c>
      <c r="B3142" s="1" t="s">
        <v>1340</v>
      </c>
      <c r="C3142" s="1">
        <v>9.0</v>
      </c>
      <c r="D3142" s="1" t="s">
        <v>1390</v>
      </c>
      <c r="E3142" s="1" t="str">
        <f>IFERROR(__xludf.DUMMYFUNCTION("GOOGLETRANSLATE(D3142,""PT"",""EN"")"),"Good employee performance")</f>
        <v>Good employee performance</v>
      </c>
    </row>
    <row r="3143" ht="14.25" customHeight="1">
      <c r="A3143" s="1">
        <v>100.0</v>
      </c>
      <c r="B3143" s="1" t="s">
        <v>1340</v>
      </c>
      <c r="C3143" s="1">
        <v>10.0</v>
      </c>
      <c r="D3143" s="1" t="s">
        <v>6</v>
      </c>
      <c r="E3143" s="1"/>
    </row>
    <row r="3144" ht="14.25" customHeight="1">
      <c r="A3144" s="1">
        <v>100.0</v>
      </c>
      <c r="B3144" s="1" t="s">
        <v>1340</v>
      </c>
      <c r="C3144" s="1">
        <v>10.0</v>
      </c>
      <c r="D3144" s="1" t="s">
        <v>6</v>
      </c>
      <c r="E3144" s="1"/>
    </row>
    <row r="3145" ht="14.25" customHeight="1">
      <c r="A3145" s="1">
        <v>100.0</v>
      </c>
      <c r="B3145" s="1" t="s">
        <v>1340</v>
      </c>
      <c r="C3145" s="1">
        <v>10.0</v>
      </c>
      <c r="D3145" s="2" t="s">
        <v>1391</v>
      </c>
      <c r="E3145" s="1" t="str">
        <f>IFERROR(__xludf.DUMMYFUNCTION("GOOGLETRANSLATE(D3145,""PT"",""EN"")"),"The agility with which they attended me is the facilities we have in this bank")</f>
        <v>The agility with which they attended me is the facilities we have in this bank</v>
      </c>
    </row>
    <row r="3146" ht="14.25" customHeight="1">
      <c r="A3146" s="1">
        <v>100.0</v>
      </c>
      <c r="B3146" s="1" t="s">
        <v>1340</v>
      </c>
      <c r="C3146" s="1">
        <v>10.0</v>
      </c>
      <c r="D3146" s="1" t="s">
        <v>6</v>
      </c>
      <c r="E3146" s="1"/>
    </row>
    <row r="3147" ht="14.25" customHeight="1">
      <c r="A3147" s="1">
        <v>33.0</v>
      </c>
      <c r="B3147" s="1" t="s">
        <v>1340</v>
      </c>
      <c r="C3147" s="1">
        <v>0.0</v>
      </c>
      <c r="D3147" s="2" t="s">
        <v>1392</v>
      </c>
      <c r="E3147" s="1" t="str">
        <f>IFERROR(__xludf.DUMMYFUNCTION("GOOGLETRANSLATE(D3147,""PT"",""EN"")"),"For Pessima Manager! Soon I will be changing a bank.")</f>
        <v>For Pessima Manager! Soon I will be changing a bank.</v>
      </c>
    </row>
    <row r="3148" ht="14.25" customHeight="1">
      <c r="A3148" s="1">
        <v>33.0</v>
      </c>
      <c r="B3148" s="1" t="s">
        <v>1340</v>
      </c>
      <c r="C3148" s="1">
        <v>5.0</v>
      </c>
      <c r="D3148" s="1" t="s">
        <v>1393</v>
      </c>
      <c r="E3148" s="1" t="str">
        <f>IFERROR(__xludf.DUMMYFUNCTION("GOOGLETRANSLATE(D3148,""PT"",""EN"")"),"Simply because it has changed in the statement the way to take the RDC application balance was very bad")</f>
        <v>Simply because it has changed in the statement the way to take the RDC application balance was very bad</v>
      </c>
    </row>
    <row r="3149" ht="14.25" customHeight="1">
      <c r="A3149" s="1">
        <v>33.0</v>
      </c>
      <c r="B3149" s="1" t="s">
        <v>1340</v>
      </c>
      <c r="C3149" s="1">
        <v>0.0</v>
      </c>
      <c r="D3149" s="2" t="s">
        <v>1394</v>
      </c>
      <c r="E3149" s="1" t="str">
        <f>IFERROR(__xludf.DUMMYFUNCTION("GOOGLETRANSLATE(D3149,""PT"",""EN"")"),"I try to talk to the manager never to serve is never return, the customer is unmeasured, I do not know where the professional ethics is to treat with their customers.")</f>
        <v>I try to talk to the manager never to serve is never return, the customer is unmeasured, I do not know where the professional ethics is to treat with their customers.</v>
      </c>
    </row>
    <row r="3150" ht="14.25" customHeight="1">
      <c r="A3150" s="1">
        <v>33.0</v>
      </c>
      <c r="B3150" s="1" t="s">
        <v>1340</v>
      </c>
      <c r="C3150" s="1">
        <v>5.0</v>
      </c>
      <c r="D3150" s="2" t="s">
        <v>1395</v>
      </c>
      <c r="E3150" s="1" t="str">
        <f>IFERROR(__xludf.DUMMYFUNCTION("GOOGLETRANSLATE(D3150,""PT"",""EN"")"),"Bank that doesn't pay attention to individuals, I opened account never offered me anything.")</f>
        <v>Bank that doesn't pay attention to individuals, I opened account never offered me anything.</v>
      </c>
    </row>
    <row r="3151" ht="14.25" customHeight="1">
      <c r="A3151" s="1">
        <v>100.0</v>
      </c>
      <c r="B3151" s="1" t="s">
        <v>1340</v>
      </c>
      <c r="C3151" s="1">
        <v>9.0</v>
      </c>
      <c r="D3151" s="1" t="s">
        <v>6</v>
      </c>
      <c r="E3151" s="1"/>
    </row>
    <row r="3152" ht="14.25" customHeight="1">
      <c r="A3152" s="1">
        <v>100.0</v>
      </c>
      <c r="B3152" s="1" t="s">
        <v>1340</v>
      </c>
      <c r="C3152" s="1">
        <v>10.0</v>
      </c>
      <c r="D3152" s="1" t="s">
        <v>6</v>
      </c>
      <c r="E3152" s="1"/>
    </row>
    <row r="3153" ht="14.25" customHeight="1">
      <c r="A3153" s="1">
        <v>100.0</v>
      </c>
      <c r="B3153" s="1" t="s">
        <v>1340</v>
      </c>
      <c r="C3153" s="1">
        <v>10.0</v>
      </c>
      <c r="D3153" s="2" t="s">
        <v>1396</v>
      </c>
      <c r="E3153" s="1" t="str">
        <f>IFERROR(__xludf.DUMMYFUNCTION("GOOGLETRANSLATE(D3153,""PT"",""EN"")"),"I'm not a customer yet")</f>
        <v>I'm not a customer yet</v>
      </c>
    </row>
    <row r="3154" ht="14.25" customHeight="1">
      <c r="A3154" s="1">
        <v>100.0</v>
      </c>
      <c r="B3154" s="1" t="s">
        <v>1340</v>
      </c>
      <c r="C3154" s="1">
        <v>10.0</v>
      </c>
      <c r="D3154" s="1" t="s">
        <v>22</v>
      </c>
      <c r="E3154" s="1" t="str">
        <f>IFERROR(__xludf.DUMMYFUNCTION("GOOGLETRANSLATE(D3154,""PT"",""EN"")"),"Excellent service")</f>
        <v>Excellent service</v>
      </c>
    </row>
    <row r="3155" ht="14.25" customHeight="1">
      <c r="A3155" s="1">
        <v>100.0</v>
      </c>
      <c r="B3155" s="1" t="s">
        <v>1340</v>
      </c>
      <c r="C3155" s="1">
        <v>10.0</v>
      </c>
      <c r="D3155" s="1" t="s">
        <v>112</v>
      </c>
      <c r="E3155" s="1" t="str">
        <f>IFERROR(__xludf.DUMMYFUNCTION("GOOGLETRANSLATE(D3155,""PT"",""EN"")"),"Practicality")</f>
        <v>Practicality</v>
      </c>
    </row>
    <row r="3156" ht="14.25" customHeight="1">
      <c r="A3156" s="1">
        <v>33.0</v>
      </c>
      <c r="B3156" s="1" t="s">
        <v>1340</v>
      </c>
      <c r="C3156" s="1">
        <v>6.0</v>
      </c>
      <c r="D3156" s="1" t="s">
        <v>6</v>
      </c>
      <c r="E3156" s="1"/>
    </row>
    <row r="3157" ht="14.25" customHeight="1">
      <c r="A3157" s="1">
        <v>33.0</v>
      </c>
      <c r="B3157" s="1" t="s">
        <v>1340</v>
      </c>
      <c r="C3157" s="1">
        <v>0.0</v>
      </c>
      <c r="D3157" s="1" t="s">
        <v>6</v>
      </c>
      <c r="E3157" s="1"/>
    </row>
    <row r="3158" ht="14.25" customHeight="1">
      <c r="A3158" s="1">
        <v>100.0</v>
      </c>
      <c r="B3158" s="1" t="s">
        <v>1340</v>
      </c>
      <c r="C3158" s="1">
        <v>10.0</v>
      </c>
      <c r="D3158" s="1" t="s">
        <v>6</v>
      </c>
      <c r="E3158" s="1"/>
    </row>
    <row r="3159" ht="14.25" customHeight="1">
      <c r="A3159" s="1">
        <v>100.0</v>
      </c>
      <c r="B3159" s="1" t="s">
        <v>1340</v>
      </c>
      <c r="C3159" s="1">
        <v>10.0</v>
      </c>
      <c r="D3159" s="1" t="s">
        <v>1397</v>
      </c>
      <c r="E3159" s="1" t="str">
        <f>IFERROR(__xludf.DUMMYFUNCTION("GOOGLETRANSLATE(D3159,""PT"",""EN"")"),"by personal service")</f>
        <v>by personal service</v>
      </c>
    </row>
    <row r="3160" ht="14.25" customHeight="1">
      <c r="A3160" s="1">
        <v>100.0</v>
      </c>
      <c r="B3160" s="1" t="s">
        <v>1340</v>
      </c>
      <c r="C3160" s="1">
        <v>10.0</v>
      </c>
      <c r="D3160" s="1" t="s">
        <v>6</v>
      </c>
      <c r="E3160" s="1"/>
    </row>
    <row r="3161" ht="14.25" customHeight="1">
      <c r="A3161" s="1">
        <v>100.0</v>
      </c>
      <c r="B3161" s="1" t="s">
        <v>1340</v>
      </c>
      <c r="C3161" s="1">
        <v>9.0</v>
      </c>
      <c r="D3161" s="2" t="s">
        <v>1398</v>
      </c>
      <c r="E3161" s="1" t="str">
        <f>IFERROR(__xludf.DUMMYFUNCTION("GOOGLETRANSLATE(D3161,""PT"",""EN"")"),"I don't usually recommend anything is neither anyone. This note only shows that there is one possibility.")</f>
        <v>I don't usually recommend anything is neither anyone. This note only shows that there is one possibility.</v>
      </c>
    </row>
    <row r="3162" ht="14.25" customHeight="1">
      <c r="A3162" s="1">
        <v>100.0</v>
      </c>
      <c r="B3162" s="1" t="s">
        <v>1340</v>
      </c>
      <c r="C3162" s="1">
        <v>10.0</v>
      </c>
      <c r="D3162" s="1" t="s">
        <v>6</v>
      </c>
      <c r="E3162" s="1"/>
    </row>
    <row r="3163" ht="14.25" customHeight="1">
      <c r="A3163" s="1">
        <v>100.0</v>
      </c>
      <c r="B3163" s="1" t="s">
        <v>1340</v>
      </c>
      <c r="C3163" s="1">
        <v>10.0</v>
      </c>
      <c r="D3163" s="1" t="s">
        <v>1399</v>
      </c>
      <c r="E3163" s="1" t="str">
        <f>IFERROR(__xludf.DUMMYFUNCTION("GOOGLETRANSLATE(D3163,""PT"",""EN"")"),"Service!!!")</f>
        <v>Service!!!</v>
      </c>
    </row>
    <row r="3164" ht="14.25" customHeight="1">
      <c r="A3164" s="1">
        <v>100.0</v>
      </c>
      <c r="B3164" s="1" t="s">
        <v>1340</v>
      </c>
      <c r="C3164" s="1">
        <v>10.0</v>
      </c>
      <c r="D3164" s="1" t="s">
        <v>6</v>
      </c>
      <c r="E3164" s="1"/>
    </row>
    <row r="3165" ht="14.25" customHeight="1">
      <c r="A3165" s="1">
        <v>33.0</v>
      </c>
      <c r="B3165" s="1" t="s">
        <v>1340</v>
      </c>
      <c r="C3165" s="1">
        <v>3.0</v>
      </c>
      <c r="D3165" s="1" t="s">
        <v>6</v>
      </c>
      <c r="E3165" s="1"/>
    </row>
    <row r="3166" ht="14.25" customHeight="1">
      <c r="A3166" s="1">
        <v>66.0</v>
      </c>
      <c r="B3166" s="1" t="s">
        <v>1340</v>
      </c>
      <c r="C3166" s="1">
        <v>7.0</v>
      </c>
      <c r="D3166" s="1" t="s">
        <v>6</v>
      </c>
      <c r="E3166" s="1"/>
    </row>
    <row r="3167" ht="14.25" customHeight="1">
      <c r="A3167" s="1">
        <v>100.0</v>
      </c>
      <c r="B3167" s="1" t="s">
        <v>1340</v>
      </c>
      <c r="C3167" s="1">
        <v>10.0</v>
      </c>
      <c r="D3167" s="1" t="s">
        <v>45</v>
      </c>
      <c r="E3167" s="1" t="str">
        <f>IFERROR(__xludf.DUMMYFUNCTION("GOOGLETRANSLATE(D3167,""PT"",""EN"")"),"Excellent service")</f>
        <v>Excellent service</v>
      </c>
    </row>
    <row r="3168" ht="14.25" customHeight="1">
      <c r="A3168" s="1">
        <v>33.0</v>
      </c>
      <c r="B3168" s="1" t="s">
        <v>1340</v>
      </c>
      <c r="C3168" s="1">
        <v>0.0</v>
      </c>
      <c r="D3168" s="2" t="s">
        <v>1400</v>
      </c>
      <c r="E3168" s="1" t="str">
        <f>IFERROR(__xludf.DUMMYFUNCTION("GOOGLETRANSLATE(D3168,""PT"",""EN"")"),"Support the program of Rede Globo, clearly against agribusiness that sustains this country. A shame!")</f>
        <v>Support the program of Rede Globo, clearly against agribusiness that sustains this country. A shame!</v>
      </c>
    </row>
    <row r="3169" ht="14.25" customHeight="1">
      <c r="A3169" s="1">
        <v>100.0</v>
      </c>
      <c r="B3169" s="1" t="s">
        <v>1340</v>
      </c>
      <c r="C3169" s="1">
        <v>10.0</v>
      </c>
      <c r="D3169" s="1" t="s">
        <v>6</v>
      </c>
      <c r="E3169" s="1"/>
    </row>
    <row r="3170" ht="14.25" customHeight="1">
      <c r="A3170" s="1">
        <v>66.0</v>
      </c>
      <c r="B3170" s="1" t="s">
        <v>1340</v>
      </c>
      <c r="C3170" s="1">
        <v>8.0</v>
      </c>
      <c r="D3170" s="1" t="s">
        <v>6</v>
      </c>
      <c r="E3170" s="1"/>
    </row>
    <row r="3171" ht="14.25" customHeight="1">
      <c r="A3171" s="1">
        <v>33.0</v>
      </c>
      <c r="B3171" s="1" t="s">
        <v>1340</v>
      </c>
      <c r="C3171" s="1">
        <v>3.0</v>
      </c>
      <c r="D3171" s="1" t="s">
        <v>6</v>
      </c>
      <c r="E3171" s="1"/>
    </row>
    <row r="3172" ht="14.25" customHeight="1">
      <c r="A3172" s="1">
        <v>33.0</v>
      </c>
      <c r="B3172" s="1" t="s">
        <v>1340</v>
      </c>
      <c r="C3172" s="1">
        <v>6.0</v>
      </c>
      <c r="D3172" s="1" t="s">
        <v>1401</v>
      </c>
      <c r="E3172" s="1" t="str">
        <f>IFERROR(__xludf.DUMMYFUNCTION("GOOGLETRANSLATE(D3172,""PT"",""EN"")"),"The application gives a lot of error")</f>
        <v>The application gives a lot of error</v>
      </c>
    </row>
    <row r="3173" ht="14.25" customHeight="1">
      <c r="A3173" s="1">
        <v>100.0</v>
      </c>
      <c r="B3173" s="1" t="s">
        <v>1340</v>
      </c>
      <c r="C3173" s="1">
        <v>10.0</v>
      </c>
      <c r="D3173" s="2" t="s">
        <v>593</v>
      </c>
      <c r="E3173" s="1" t="str">
        <f>IFERROR(__xludf.DUMMYFUNCTION("GOOGLETRANSLATE(D3173,""PT"",""EN"")"),"great service")</f>
        <v>great service</v>
      </c>
    </row>
    <row r="3174" ht="14.25" customHeight="1">
      <c r="A3174" s="1">
        <v>100.0</v>
      </c>
      <c r="B3174" s="1" t="s">
        <v>1340</v>
      </c>
      <c r="C3174" s="1">
        <v>9.0</v>
      </c>
      <c r="D3174" s="1" t="s">
        <v>6</v>
      </c>
      <c r="E3174" s="1"/>
    </row>
    <row r="3175" ht="14.25" customHeight="1">
      <c r="A3175" s="1">
        <v>100.0</v>
      </c>
      <c r="B3175" s="1" t="s">
        <v>1340</v>
      </c>
      <c r="C3175" s="1">
        <v>10.0</v>
      </c>
      <c r="D3175" s="2" t="s">
        <v>1402</v>
      </c>
      <c r="E3175" s="1" t="str">
        <f>IFERROR(__xludf.DUMMYFUNCTION("GOOGLETRANSLATE(D3175,""PT"",""EN"")"),"Always professional service is efficient. Products is services appropriate to my needs the competence of my manager")</f>
        <v>Always professional service is efficient. Products is services appropriate to my needs the competence of my manager</v>
      </c>
    </row>
    <row r="3176" ht="14.25" customHeight="1">
      <c r="A3176" s="1">
        <v>66.0</v>
      </c>
      <c r="B3176" s="1" t="s">
        <v>1340</v>
      </c>
      <c r="C3176" s="1">
        <v>8.0</v>
      </c>
      <c r="D3176" s="1" t="s">
        <v>6</v>
      </c>
      <c r="E3176" s="1"/>
    </row>
    <row r="3177" ht="14.25" customHeight="1">
      <c r="A3177" s="1">
        <v>100.0</v>
      </c>
      <c r="B3177" s="1" t="s">
        <v>1340</v>
      </c>
      <c r="C3177" s="1">
        <v>10.0</v>
      </c>
      <c r="D3177" s="2" t="s">
        <v>1403</v>
      </c>
      <c r="E3177" s="1" t="str">
        <f>IFERROR(__xludf.DUMMYFUNCTION("GOOGLETRANSLATE(D3177,""PT"",""EN"")"),"excellent bank")</f>
        <v>excellent bank</v>
      </c>
    </row>
    <row r="3178" ht="14.25" customHeight="1">
      <c r="A3178" s="1">
        <v>100.0</v>
      </c>
      <c r="B3178" s="1" t="s">
        <v>1340</v>
      </c>
      <c r="C3178" s="1">
        <v>10.0</v>
      </c>
      <c r="D3178" s="1" t="s">
        <v>6</v>
      </c>
      <c r="E3178" s="1"/>
    </row>
    <row r="3179" ht="14.25" customHeight="1">
      <c r="A3179" s="1">
        <v>100.0</v>
      </c>
      <c r="B3179" s="1" t="s">
        <v>1340</v>
      </c>
      <c r="C3179" s="1">
        <v>10.0</v>
      </c>
      <c r="D3179" s="2" t="s">
        <v>1404</v>
      </c>
      <c r="E3179" s="1" t="str">
        <f>IFERROR(__xludf.DUMMYFUNCTION("GOOGLETRANSLATE(D3179,""PT"",""EN"")"),"For the quality of services and service")</f>
        <v>For the quality of services and service</v>
      </c>
    </row>
    <row r="3180" ht="14.25" customHeight="1">
      <c r="A3180" s="1">
        <v>66.0</v>
      </c>
      <c r="B3180" s="1" t="s">
        <v>1340</v>
      </c>
      <c r="C3180" s="1">
        <v>8.0</v>
      </c>
      <c r="D3180" s="1" t="s">
        <v>6</v>
      </c>
      <c r="E3180" s="1"/>
    </row>
    <row r="3181" ht="14.25" customHeight="1">
      <c r="A3181" s="1">
        <v>100.0</v>
      </c>
      <c r="B3181" s="1" t="s">
        <v>1340</v>
      </c>
      <c r="C3181" s="1">
        <v>10.0</v>
      </c>
      <c r="D3181" s="1" t="s">
        <v>6</v>
      </c>
      <c r="E3181" s="1"/>
    </row>
    <row r="3182" ht="14.25" customHeight="1">
      <c r="A3182" s="1">
        <v>100.0</v>
      </c>
      <c r="B3182" s="1" t="s">
        <v>1340</v>
      </c>
      <c r="C3182" s="1">
        <v>10.0</v>
      </c>
      <c r="D3182" s="1" t="s">
        <v>6</v>
      </c>
      <c r="E3182" s="1"/>
    </row>
    <row r="3183" ht="14.25" customHeight="1">
      <c r="A3183" s="1">
        <v>66.0</v>
      </c>
      <c r="B3183" s="1" t="s">
        <v>1340</v>
      </c>
      <c r="C3183" s="1">
        <v>8.0</v>
      </c>
      <c r="D3183" s="1" t="s">
        <v>6</v>
      </c>
      <c r="E3183" s="1"/>
    </row>
    <row r="3184" ht="14.25" customHeight="1">
      <c r="A3184" s="1">
        <v>66.0</v>
      </c>
      <c r="B3184" s="1" t="s">
        <v>1340</v>
      </c>
      <c r="C3184" s="1">
        <v>8.0</v>
      </c>
      <c r="D3184" s="1" t="s">
        <v>1405</v>
      </c>
      <c r="E3184" s="1" t="str">
        <f>IFERROR(__xludf.DUMMYFUNCTION("GOOGLETRANSLATE(D3184,""PT"",""EN"")"),"Agility in service")</f>
        <v>Agility in service</v>
      </c>
    </row>
    <row r="3185" ht="14.25" customHeight="1">
      <c r="A3185" s="1">
        <v>33.0</v>
      </c>
      <c r="B3185" s="1" t="s">
        <v>1340</v>
      </c>
      <c r="C3185" s="1">
        <v>6.0</v>
      </c>
      <c r="D3185" s="1" t="s">
        <v>6</v>
      </c>
      <c r="E3185" s="1"/>
    </row>
    <row r="3186" ht="14.25" customHeight="1">
      <c r="A3186" s="1">
        <v>33.0</v>
      </c>
      <c r="B3186" s="1" t="s">
        <v>1340</v>
      </c>
      <c r="C3186" s="1">
        <v>5.0</v>
      </c>
      <c r="D3186" s="2" t="s">
        <v>1406</v>
      </c>
      <c r="E3186" s="1" t="str">
        <f>IFERROR(__xludf.DUMMYFUNCTION("GOOGLETRANSLATE(D3186,""PT"",""EN"")"),"GOOD AFTERNOON! Lack communication with the customer, I tried to make the building insurance, tried a card I got no answer")</f>
        <v>GOOD AFTERNOON! Lack communication with the customer, I tried to make the building insurance, tried a card I got no answer</v>
      </c>
    </row>
    <row r="3187" ht="14.25" customHeight="1">
      <c r="A3187" s="1">
        <v>100.0</v>
      </c>
      <c r="B3187" s="1" t="s">
        <v>1340</v>
      </c>
      <c r="C3187" s="1">
        <v>9.0</v>
      </c>
      <c r="D3187" s="1" t="s">
        <v>6</v>
      </c>
      <c r="E3187" s="1"/>
    </row>
    <row r="3188" ht="14.25" customHeight="1">
      <c r="A3188" s="1">
        <v>100.0</v>
      </c>
      <c r="B3188" s="1" t="s">
        <v>1340</v>
      </c>
      <c r="C3188" s="1">
        <v>10.0</v>
      </c>
      <c r="D3188" s="2" t="s">
        <v>1407</v>
      </c>
      <c r="E3188" s="1" t="str">
        <f>IFERROR(__xludf.DUMMYFUNCTION("GOOGLETRANSLATE(D3188,""PT"",""EN"")"),"Great bank is an excellent app.")</f>
        <v>Great bank is an excellent app.</v>
      </c>
    </row>
    <row r="3189" ht="14.25" customHeight="1">
      <c r="A3189" s="1">
        <v>100.0</v>
      </c>
      <c r="B3189" s="1" t="s">
        <v>1340</v>
      </c>
      <c r="C3189" s="1">
        <v>10.0</v>
      </c>
      <c r="D3189" s="1" t="s">
        <v>1408</v>
      </c>
      <c r="E3189" s="1" t="str">
        <f>IFERROR(__xludf.DUMMYFUNCTION("GOOGLETRANSLATE(D3189,""PT"",""EN"")"),"By the time of partnerships we live.")</f>
        <v>By the time of partnerships we live.</v>
      </c>
    </row>
    <row r="3190" ht="14.25" customHeight="1">
      <c r="A3190" s="1">
        <v>33.0</v>
      </c>
      <c r="B3190" s="1" t="s">
        <v>1340</v>
      </c>
      <c r="C3190" s="1">
        <v>1.0</v>
      </c>
      <c r="D3190" s="1" t="s">
        <v>6</v>
      </c>
      <c r="E3190" s="1"/>
    </row>
    <row r="3191" ht="14.25" customHeight="1">
      <c r="A3191" s="1">
        <v>100.0</v>
      </c>
      <c r="B3191" s="1" t="s">
        <v>1340</v>
      </c>
      <c r="C3191" s="1">
        <v>10.0</v>
      </c>
      <c r="D3191" s="1" t="s">
        <v>6</v>
      </c>
      <c r="E3191" s="1"/>
    </row>
    <row r="3192" ht="14.25" customHeight="1">
      <c r="A3192" s="1">
        <v>100.0</v>
      </c>
      <c r="B3192" s="1" t="s">
        <v>1340</v>
      </c>
      <c r="C3192" s="1">
        <v>10.0</v>
      </c>
      <c r="D3192" s="1" t="s">
        <v>6</v>
      </c>
      <c r="E3192" s="1"/>
    </row>
    <row r="3193" ht="14.25" customHeight="1">
      <c r="A3193" s="1">
        <v>100.0</v>
      </c>
      <c r="B3193" s="1" t="s">
        <v>1340</v>
      </c>
      <c r="C3193" s="1">
        <v>10.0</v>
      </c>
      <c r="D3193" s="1" t="s">
        <v>37</v>
      </c>
      <c r="E3193" s="1" t="str">
        <f>IFERROR(__xludf.DUMMYFUNCTION("GOOGLETRANSLATE(D3193,""PT"",""EN"")"),"Great service")</f>
        <v>Great service</v>
      </c>
    </row>
    <row r="3194" ht="14.25" customHeight="1">
      <c r="A3194" s="1">
        <v>33.0</v>
      </c>
      <c r="B3194" s="1" t="s">
        <v>1340</v>
      </c>
      <c r="C3194" s="1">
        <v>4.0</v>
      </c>
      <c r="D3194" s="1" t="s">
        <v>6</v>
      </c>
      <c r="E3194" s="1"/>
    </row>
    <row r="3195" ht="14.25" customHeight="1">
      <c r="A3195" s="1">
        <v>100.0</v>
      </c>
      <c r="B3195" s="1" t="s">
        <v>1340</v>
      </c>
      <c r="C3195" s="1">
        <v>9.0</v>
      </c>
      <c r="D3195" s="2" t="s">
        <v>1409</v>
      </c>
      <c r="E3195" s="1" t="str">
        <f>IFERROR(__xludf.DUMMYFUNCTION("GOOGLETRANSLATE(D3195,""PT"",""EN"")"),"I like the facilities, service when I need it is fees are good.")</f>
        <v>I like the facilities, service when I need it is fees are good.</v>
      </c>
    </row>
    <row r="3196" ht="14.25" customHeight="1">
      <c r="A3196" s="1">
        <v>100.0</v>
      </c>
      <c r="B3196" s="1" t="s">
        <v>1340</v>
      </c>
      <c r="C3196" s="1">
        <v>10.0</v>
      </c>
      <c r="D3196" s="1" t="s">
        <v>6</v>
      </c>
      <c r="E3196" s="1"/>
    </row>
    <row r="3197" ht="14.25" customHeight="1">
      <c r="A3197" s="1">
        <v>33.0</v>
      </c>
      <c r="B3197" s="1" t="s">
        <v>1340</v>
      </c>
      <c r="C3197" s="1">
        <v>6.0</v>
      </c>
      <c r="D3197" s="2" t="s">
        <v>1410</v>
      </c>
      <c r="E3197" s="1" t="str">
        <f>IFERROR(__xludf.DUMMYFUNCTION("GOOGLETRANSLATE(D3197,""PT"",""EN"")"),"Banco Mixed is bad service")</f>
        <v>Banco Mixed is bad service</v>
      </c>
    </row>
    <row r="3198" ht="14.25" customHeight="1">
      <c r="A3198" s="1">
        <v>100.0</v>
      </c>
      <c r="B3198" s="1" t="s">
        <v>1340</v>
      </c>
      <c r="C3198" s="1">
        <v>9.0</v>
      </c>
      <c r="D3198" s="1" t="s">
        <v>6</v>
      </c>
      <c r="E3198" s="1"/>
    </row>
    <row r="3199" ht="14.25" customHeight="1">
      <c r="A3199" s="1">
        <v>100.0</v>
      </c>
      <c r="B3199" s="1" t="s">
        <v>1340</v>
      </c>
      <c r="C3199" s="1">
        <v>10.0</v>
      </c>
      <c r="D3199" s="2" t="s">
        <v>1411</v>
      </c>
      <c r="E3199" s="1" t="str">
        <f>IFERROR(__xludf.DUMMYFUNCTION("GOOGLETRANSLATE(D3199,""PT"",""EN"")"),"Agility in the services")</f>
        <v>Agility in the services</v>
      </c>
    </row>
    <row r="3200" ht="14.25" customHeight="1">
      <c r="A3200" s="1">
        <v>100.0</v>
      </c>
      <c r="B3200" s="1" t="s">
        <v>1340</v>
      </c>
      <c r="C3200" s="1">
        <v>10.0</v>
      </c>
      <c r="D3200" s="1" t="s">
        <v>6</v>
      </c>
      <c r="E3200" s="1"/>
    </row>
    <row r="3201" ht="14.25" customHeight="1">
      <c r="A3201" s="1">
        <v>100.0</v>
      </c>
      <c r="B3201" s="1" t="s">
        <v>1340</v>
      </c>
      <c r="C3201" s="1">
        <v>10.0</v>
      </c>
      <c r="D3201" s="1" t="s">
        <v>6</v>
      </c>
      <c r="E3201" s="1"/>
    </row>
    <row r="3202" ht="14.25" customHeight="1">
      <c r="A3202" s="1">
        <v>100.0</v>
      </c>
      <c r="B3202" s="1" t="s">
        <v>1340</v>
      </c>
      <c r="C3202" s="1">
        <v>9.0</v>
      </c>
      <c r="D3202" s="1" t="s">
        <v>505</v>
      </c>
      <c r="E3202" s="1" t="str">
        <f>IFERROR(__xludf.DUMMYFUNCTION("GOOGLETRANSLATE(D3202,""PT"",""EN"")"),"9")</f>
        <v>9</v>
      </c>
    </row>
    <row r="3203" ht="14.25" customHeight="1">
      <c r="A3203" s="1">
        <v>100.0</v>
      </c>
      <c r="B3203" s="1" t="s">
        <v>1340</v>
      </c>
      <c r="C3203" s="1">
        <v>10.0</v>
      </c>
      <c r="D3203" s="1" t="s">
        <v>6</v>
      </c>
      <c r="E3203" s="1"/>
    </row>
    <row r="3204" ht="14.25" customHeight="1">
      <c r="A3204" s="1">
        <v>100.0</v>
      </c>
      <c r="B3204" s="1" t="s">
        <v>1340</v>
      </c>
      <c r="C3204" s="1">
        <v>10.0</v>
      </c>
      <c r="D3204" s="2" t="s">
        <v>18</v>
      </c>
      <c r="E3204" s="1" t="str">
        <f>IFERROR(__xludf.DUMMYFUNCTION("GOOGLETRANSLATE(D3204,""PT"",""EN"")"),"Trust")</f>
        <v>Trust</v>
      </c>
    </row>
    <row r="3205" ht="14.25" customHeight="1">
      <c r="A3205" s="1">
        <v>100.0</v>
      </c>
      <c r="B3205" s="1" t="s">
        <v>1340</v>
      </c>
      <c r="C3205" s="1">
        <v>10.0</v>
      </c>
      <c r="D3205" s="2" t="s">
        <v>1412</v>
      </c>
      <c r="E3205" s="1" t="str">
        <f>IFERROR(__xludf.DUMMYFUNCTION("GOOGLETRANSLATE(D3205,""PT"",""EN"")"),"Agility in the procedures is the excellent service of my manager is from your assistant with me")</f>
        <v>Agility in the procedures is the excellent service of my manager is from your assistant with me</v>
      </c>
    </row>
    <row r="3206" ht="14.25" customHeight="1">
      <c r="A3206" s="1">
        <v>66.0</v>
      </c>
      <c r="B3206" s="1" t="s">
        <v>1340</v>
      </c>
      <c r="C3206" s="1">
        <v>8.0</v>
      </c>
      <c r="D3206" s="1" t="s">
        <v>6</v>
      </c>
      <c r="E3206" s="1"/>
    </row>
    <row r="3207" ht="14.25" customHeight="1">
      <c r="A3207" s="1">
        <v>66.0</v>
      </c>
      <c r="B3207" s="1" t="s">
        <v>1340</v>
      </c>
      <c r="C3207" s="1">
        <v>7.0</v>
      </c>
      <c r="D3207" s="1" t="s">
        <v>6</v>
      </c>
      <c r="E3207" s="1"/>
    </row>
    <row r="3208" ht="14.25" customHeight="1">
      <c r="A3208" s="1">
        <v>33.0</v>
      </c>
      <c r="B3208" s="1" t="s">
        <v>1340</v>
      </c>
      <c r="C3208" s="1">
        <v>0.0</v>
      </c>
      <c r="D3208" s="2" t="s">
        <v>1413</v>
      </c>
      <c r="E3208" s="1" t="str">
        <f>IFERROR(__xludf.DUMMYFUNCTION("GOOGLETRANSLATE(D3208,""PT"",""EN"")"),"Launches made in the account without consent or warning, justifying that it is in the company's statute.")</f>
        <v>Launches made in the account without consent or warning, justifying that it is in the company's statute.</v>
      </c>
    </row>
    <row r="3209" ht="14.25" customHeight="1">
      <c r="A3209" s="1">
        <v>100.0</v>
      </c>
      <c r="B3209" s="1" t="s">
        <v>1340</v>
      </c>
      <c r="C3209" s="1">
        <v>10.0</v>
      </c>
      <c r="D3209" s="1" t="s">
        <v>6</v>
      </c>
      <c r="E3209" s="1"/>
    </row>
    <row r="3210" ht="14.25" customHeight="1">
      <c r="A3210" s="1">
        <v>33.0</v>
      </c>
      <c r="B3210" s="1" t="s">
        <v>1340</v>
      </c>
      <c r="C3210" s="1">
        <v>5.0</v>
      </c>
      <c r="D3210" s="1" t="s">
        <v>6</v>
      </c>
      <c r="E3210" s="1"/>
    </row>
    <row r="3211" ht="14.25" customHeight="1">
      <c r="A3211" s="1">
        <v>100.0</v>
      </c>
      <c r="B3211" s="1" t="s">
        <v>1340</v>
      </c>
      <c r="C3211" s="1">
        <v>10.0</v>
      </c>
      <c r="D3211" s="1" t="s">
        <v>1414</v>
      </c>
      <c r="E3211" s="1" t="str">
        <f>IFERROR(__xludf.DUMMYFUNCTION("GOOGLETRANSLATE(D3211,""PT"",""EN"")"),"I was always corresponded in all requests, being well answered.")</f>
        <v>I was always corresponded in all requests, being well answered.</v>
      </c>
    </row>
    <row r="3212" ht="14.25" customHeight="1">
      <c r="A3212" s="1">
        <v>100.0</v>
      </c>
      <c r="B3212" s="1" t="s">
        <v>1340</v>
      </c>
      <c r="C3212" s="1">
        <v>10.0</v>
      </c>
      <c r="D3212" s="1" t="s">
        <v>1415</v>
      </c>
      <c r="E3212" s="1" t="str">
        <f>IFERROR(__xludf.DUMMYFUNCTION("GOOGLETRANSLATE(D3212,""PT"",""EN"")"),"All financial solutions meet at Sicoob")</f>
        <v>All financial solutions meet at Sicoob</v>
      </c>
    </row>
    <row r="3213" ht="14.25" customHeight="1">
      <c r="A3213" s="1">
        <v>100.0</v>
      </c>
      <c r="B3213" s="1" t="s">
        <v>1340</v>
      </c>
      <c r="C3213" s="1">
        <v>10.0</v>
      </c>
      <c r="D3213" s="1" t="s">
        <v>1416</v>
      </c>
      <c r="E3213" s="1" t="str">
        <f>IFERROR(__xludf.DUMMYFUNCTION("GOOGLETRANSLATE(D3213,""PT"",""EN"")"),"Whenever I requested something I was immediately attended")</f>
        <v>Whenever I requested something I was immediately attended</v>
      </c>
    </row>
    <row r="3214" ht="14.25" customHeight="1">
      <c r="A3214" s="1">
        <v>100.0</v>
      </c>
      <c r="B3214" s="1" t="s">
        <v>1340</v>
      </c>
      <c r="C3214" s="1">
        <v>9.0</v>
      </c>
      <c r="D3214" s="2" t="s">
        <v>1417</v>
      </c>
      <c r="E3214" s="1" t="str">
        <f>IFERROR(__xludf.DUMMYFUNCTION("GOOGLETRANSLATE(D3214,""PT"",""EN"")"),"Good service, but the card system is weak")</f>
        <v>Good service, but the card system is weak</v>
      </c>
    </row>
    <row r="3215" ht="14.25" customHeight="1">
      <c r="A3215" s="1">
        <v>33.0</v>
      </c>
      <c r="B3215" s="1" t="s">
        <v>1340</v>
      </c>
      <c r="C3215" s="1">
        <v>0.0</v>
      </c>
      <c r="D3215" s="1" t="s">
        <v>1418</v>
      </c>
      <c r="E3215" s="1" t="str">
        <f>IFERROR(__xludf.DUMMYFUNCTION("GOOGLETRANSLATE(D3215,""PT"",""EN"")"),"Rich cooperative!")</f>
        <v>Rich cooperative!</v>
      </c>
    </row>
    <row r="3216" ht="14.25" customHeight="1">
      <c r="A3216" s="1">
        <v>100.0</v>
      </c>
      <c r="B3216" s="1" t="s">
        <v>1340</v>
      </c>
      <c r="C3216" s="1">
        <v>10.0</v>
      </c>
      <c r="D3216" s="1" t="s">
        <v>6</v>
      </c>
      <c r="E3216" s="1"/>
    </row>
    <row r="3217" ht="14.25" customHeight="1">
      <c r="A3217" s="1">
        <v>100.0</v>
      </c>
      <c r="B3217" s="1" t="s">
        <v>1340</v>
      </c>
      <c r="C3217" s="1">
        <v>10.0</v>
      </c>
      <c r="D3217" s="2" t="s">
        <v>1419</v>
      </c>
      <c r="E3217" s="1" t="str">
        <f>IFERROR(__xludf.DUMMYFUNCTION("GOOGLETRANSLATE(D3217,""PT"",""EN"")"),"reliable bank is at low cost")</f>
        <v>reliable bank is at low cost</v>
      </c>
    </row>
    <row r="3218" ht="14.25" customHeight="1">
      <c r="A3218" s="1">
        <v>100.0</v>
      </c>
      <c r="B3218" s="1" t="s">
        <v>1340</v>
      </c>
      <c r="C3218" s="1">
        <v>10.0</v>
      </c>
      <c r="D3218" s="1" t="s">
        <v>62</v>
      </c>
      <c r="E3218" s="1" t="str">
        <f>IFERROR(__xludf.DUMMYFUNCTION("GOOGLETRANSLATE(D3218,""PT"",""EN"")"),"Good service")</f>
        <v>Good service</v>
      </c>
    </row>
    <row r="3219" ht="14.25" customHeight="1">
      <c r="A3219" s="1">
        <v>100.0</v>
      </c>
      <c r="B3219" s="1" t="s">
        <v>1340</v>
      </c>
      <c r="C3219" s="1">
        <v>10.0</v>
      </c>
      <c r="D3219" s="1" t="s">
        <v>6</v>
      </c>
      <c r="E3219" s="1"/>
    </row>
    <row r="3220" ht="14.25" customHeight="1">
      <c r="A3220" s="1">
        <v>100.0</v>
      </c>
      <c r="B3220" s="1" t="s">
        <v>1340</v>
      </c>
      <c r="C3220" s="1">
        <v>9.0</v>
      </c>
      <c r="D3220" s="1" t="s">
        <v>1420</v>
      </c>
      <c r="E3220" s="1" t="str">
        <f>IFERROR(__xludf.DUMMYFUNCTION("GOOGLETRANSLATE(D3220,""PT"",""EN"")"),"Application")</f>
        <v>Application</v>
      </c>
    </row>
    <row r="3221" ht="14.25" customHeight="1">
      <c r="A3221" s="1">
        <v>33.0</v>
      </c>
      <c r="B3221" s="1" t="s">
        <v>1340</v>
      </c>
      <c r="C3221" s="1">
        <v>6.0</v>
      </c>
      <c r="D3221" s="1" t="s">
        <v>6</v>
      </c>
      <c r="E3221" s="1"/>
    </row>
    <row r="3222" ht="14.25" customHeight="1">
      <c r="A3222" s="1">
        <v>100.0</v>
      </c>
      <c r="B3222" s="1" t="s">
        <v>1340</v>
      </c>
      <c r="C3222" s="1">
        <v>10.0</v>
      </c>
      <c r="D3222" s="2" t="s">
        <v>1421</v>
      </c>
      <c r="E3222" s="1" t="str">
        <f>IFERROR(__xludf.DUMMYFUNCTION("GOOGLETRANSLATE(D3222,""PT"",""EN"")"),"Good service, agility and promptness in the request !!!! """)</f>
        <v>Good service, agility and promptness in the request !!!! "</v>
      </c>
    </row>
    <row r="3223" ht="14.25" customHeight="1">
      <c r="A3223" s="1">
        <v>33.0</v>
      </c>
      <c r="B3223" s="1" t="s">
        <v>1340</v>
      </c>
      <c r="C3223" s="1">
        <v>6.0</v>
      </c>
      <c r="D3223" s="1" t="s">
        <v>1422</v>
      </c>
      <c r="E3223" s="1" t="str">
        <f>IFERROR(__xludf.DUMMYFUNCTION("GOOGLETRANSLATE(D3223,""PT"",""EN"")"),"Work the quotas better, for the benefit of the cooperative")</f>
        <v>Work the quotas better, for the benefit of the cooperative</v>
      </c>
    </row>
    <row r="3224" ht="14.25" customHeight="1">
      <c r="A3224" s="1">
        <v>100.0</v>
      </c>
      <c r="B3224" s="1" t="s">
        <v>1340</v>
      </c>
      <c r="C3224" s="1">
        <v>10.0</v>
      </c>
      <c r="D3224" s="1" t="s">
        <v>6</v>
      </c>
      <c r="E3224" s="1"/>
    </row>
    <row r="3225" ht="14.25" customHeight="1">
      <c r="A3225" s="1">
        <v>33.0</v>
      </c>
      <c r="B3225" s="1" t="s">
        <v>1340</v>
      </c>
      <c r="C3225" s="1">
        <v>3.0</v>
      </c>
      <c r="D3225" s="1" t="s">
        <v>6</v>
      </c>
      <c r="E3225" s="1"/>
    </row>
    <row r="3226" ht="14.25" customHeight="1">
      <c r="A3226" s="1">
        <v>33.0</v>
      </c>
      <c r="B3226" s="1" t="s">
        <v>1340</v>
      </c>
      <c r="C3226" s="1">
        <v>2.0</v>
      </c>
      <c r="D3226" s="1" t="s">
        <v>6</v>
      </c>
      <c r="E3226" s="1"/>
    </row>
    <row r="3227" ht="14.25" customHeight="1">
      <c r="A3227" s="1">
        <v>66.0</v>
      </c>
      <c r="B3227" s="1" t="s">
        <v>1340</v>
      </c>
      <c r="C3227" s="1">
        <v>8.0</v>
      </c>
      <c r="D3227" s="2" t="s">
        <v>1423</v>
      </c>
      <c r="E3227" s="1" t="str">
        <f>IFERROR(__xludf.DUMMYFUNCTION("GOOGLETRANSLATE(D3227,""PT"",""EN"")"),"In my agency there is a missing box 24 hours but the rest is note 10")</f>
        <v>In my agency there is a missing box 24 hours but the rest is note 10</v>
      </c>
    </row>
    <row r="3228" ht="14.25" customHeight="1">
      <c r="A3228" s="1">
        <v>100.0</v>
      </c>
      <c r="B3228" s="1" t="s">
        <v>1340</v>
      </c>
      <c r="C3228" s="1">
        <v>10.0</v>
      </c>
      <c r="D3228" s="1" t="s">
        <v>1424</v>
      </c>
      <c r="E3228" s="1" t="str">
        <f>IFERROR(__xludf.DUMMYFUNCTION("GOOGLETRANSLATE(D3228,""PT"",""EN"")"),"Many facilities")</f>
        <v>Many facilities</v>
      </c>
    </row>
    <row r="3229" ht="14.25" customHeight="1">
      <c r="A3229" s="1">
        <v>33.0</v>
      </c>
      <c r="B3229" s="1" t="s">
        <v>1340</v>
      </c>
      <c r="C3229" s="1">
        <v>0.0</v>
      </c>
      <c r="D3229" s="2" t="s">
        <v>1425</v>
      </c>
      <c r="E3229" s="1" t="str">
        <f>IFERROR(__xludf.DUMMYFUNCTION("GOOGLETRANSLATE(D3229,""PT"",""EN"")"),"Bad service. Little credit release")</f>
        <v>Bad service. Little credit release</v>
      </c>
    </row>
    <row r="3230" ht="14.25" customHeight="1">
      <c r="A3230" s="1">
        <v>100.0</v>
      </c>
      <c r="B3230" s="1" t="s">
        <v>1340</v>
      </c>
      <c r="C3230" s="1">
        <v>10.0</v>
      </c>
      <c r="D3230" s="1" t="s">
        <v>6</v>
      </c>
      <c r="E3230" s="1"/>
    </row>
    <row r="3231" ht="14.25" customHeight="1">
      <c r="A3231" s="1">
        <v>100.0</v>
      </c>
      <c r="B3231" s="1" t="s">
        <v>1340</v>
      </c>
      <c r="C3231" s="1">
        <v>10.0</v>
      </c>
      <c r="D3231" s="1" t="s">
        <v>6</v>
      </c>
      <c r="E3231" s="1"/>
    </row>
    <row r="3232" ht="14.25" customHeight="1">
      <c r="A3232" s="1">
        <v>100.0</v>
      </c>
      <c r="B3232" s="1" t="s">
        <v>1340</v>
      </c>
      <c r="C3232" s="1">
        <v>10.0</v>
      </c>
      <c r="D3232" s="2" t="s">
        <v>1426</v>
      </c>
      <c r="E3232" s="1" t="str">
        <f>IFERROR(__xludf.DUMMYFUNCTION("GOOGLETRANSLATE(D3232,""PT"",""EN"")"),"The excellent service at the Bela Vista de Goiás agency.")</f>
        <v>The excellent service at the Bela Vista de Goiás agency.</v>
      </c>
    </row>
    <row r="3233" ht="14.25" customHeight="1">
      <c r="A3233" s="1">
        <v>100.0</v>
      </c>
      <c r="B3233" s="1" t="s">
        <v>1340</v>
      </c>
      <c r="C3233" s="1">
        <v>10.0</v>
      </c>
      <c r="D3233" s="2" t="s">
        <v>1427</v>
      </c>
      <c r="E3233" s="1" t="str">
        <f>IFERROR(__xludf.DUMMYFUNCTION("GOOGLETRANSLATE(D3233,""PT"",""EN"")"),"Partnership, it is great professionals")</f>
        <v>Partnership, it is great professionals</v>
      </c>
    </row>
    <row r="3234" ht="14.25" customHeight="1">
      <c r="A3234" s="1">
        <v>100.0</v>
      </c>
      <c r="B3234" s="1" t="s">
        <v>1340</v>
      </c>
      <c r="C3234" s="1">
        <v>10.0</v>
      </c>
      <c r="D3234" s="2" t="s">
        <v>1428</v>
      </c>
      <c r="E3234" s="1" t="str">
        <f>IFERROR(__xludf.DUMMYFUNCTION("GOOGLETRANSLATE(D3234,""PT"",""EN"")"),"Good service and speed to solve")</f>
        <v>Good service and speed to solve</v>
      </c>
    </row>
    <row r="3235" ht="14.25" customHeight="1">
      <c r="A3235" s="1">
        <v>100.0</v>
      </c>
      <c r="B3235" s="1" t="s">
        <v>1340</v>
      </c>
      <c r="C3235" s="1">
        <v>10.0</v>
      </c>
      <c r="D3235" s="1" t="s">
        <v>6</v>
      </c>
      <c r="E3235" s="1"/>
    </row>
    <row r="3236" ht="14.25" customHeight="1">
      <c r="A3236" s="1">
        <v>100.0</v>
      </c>
      <c r="B3236" s="1" t="s">
        <v>1340</v>
      </c>
      <c r="C3236" s="1">
        <v>10.0</v>
      </c>
      <c r="D3236" s="1" t="s">
        <v>1429</v>
      </c>
      <c r="E3236" s="1" t="str">
        <f>IFERROR(__xludf.DUMMYFUNCTION("GOOGLETRANSLATE(D3236,""PT"",""EN"")"),"nothing to complain about")</f>
        <v>nothing to complain about</v>
      </c>
    </row>
    <row r="3237" ht="14.25" customHeight="1">
      <c r="A3237" s="1">
        <v>100.0</v>
      </c>
      <c r="B3237" s="1" t="s">
        <v>1340</v>
      </c>
      <c r="C3237" s="1">
        <v>10.0</v>
      </c>
      <c r="D3237" s="1" t="s">
        <v>604</v>
      </c>
      <c r="E3237" s="1" t="str">
        <f>IFERROR(__xludf.DUMMYFUNCTION("GOOGLETRANSLATE(D3237,""PT"",""EN"")"),"Special service")</f>
        <v>Special service</v>
      </c>
    </row>
    <row r="3238" ht="14.25" customHeight="1">
      <c r="A3238" s="1">
        <v>100.0</v>
      </c>
      <c r="B3238" s="1" t="s">
        <v>1340</v>
      </c>
      <c r="C3238" s="1">
        <v>10.0</v>
      </c>
      <c r="D3238" s="1" t="s">
        <v>6</v>
      </c>
      <c r="E3238" s="1"/>
    </row>
    <row r="3239" ht="14.25" customHeight="1">
      <c r="A3239" s="1">
        <v>100.0</v>
      </c>
      <c r="B3239" s="1" t="s">
        <v>1340</v>
      </c>
      <c r="C3239" s="1">
        <v>10.0</v>
      </c>
      <c r="D3239" s="1" t="s">
        <v>6</v>
      </c>
      <c r="E3239" s="1"/>
    </row>
    <row r="3240" ht="14.25" customHeight="1">
      <c r="A3240" s="1">
        <v>33.0</v>
      </c>
      <c r="B3240" s="1" t="s">
        <v>1340</v>
      </c>
      <c r="C3240" s="1">
        <v>0.0</v>
      </c>
      <c r="D3240" s="1" t="s">
        <v>6</v>
      </c>
      <c r="E3240" s="1"/>
    </row>
    <row r="3241" ht="14.25" customHeight="1">
      <c r="A3241" s="1">
        <v>100.0</v>
      </c>
      <c r="B3241" s="1" t="s">
        <v>1340</v>
      </c>
      <c r="C3241" s="1">
        <v>10.0</v>
      </c>
      <c r="D3241" s="1" t="s">
        <v>6</v>
      </c>
      <c r="E3241" s="1"/>
    </row>
    <row r="3242" ht="14.25" customHeight="1">
      <c r="A3242" s="1">
        <v>33.0</v>
      </c>
      <c r="B3242" s="1" t="s">
        <v>1340</v>
      </c>
      <c r="C3242" s="1">
        <v>1.0</v>
      </c>
      <c r="D3242" s="1" t="s">
        <v>6</v>
      </c>
      <c r="E3242" s="1"/>
    </row>
    <row r="3243" ht="14.25" customHeight="1">
      <c r="A3243" s="1">
        <v>66.0</v>
      </c>
      <c r="B3243" s="1" t="s">
        <v>1340</v>
      </c>
      <c r="C3243" s="1">
        <v>8.0</v>
      </c>
      <c r="D3243" s="1" t="s">
        <v>6</v>
      </c>
      <c r="E3243" s="1"/>
    </row>
    <row r="3244" ht="14.25" customHeight="1">
      <c r="A3244" s="1">
        <v>33.0</v>
      </c>
      <c r="B3244" s="1" t="s">
        <v>1340</v>
      </c>
      <c r="C3244" s="1">
        <v>1.0</v>
      </c>
      <c r="D3244" s="2" t="s">
        <v>1430</v>
      </c>
      <c r="E3244" s="1" t="str">
        <f>IFERROR(__xludf.DUMMYFUNCTION("GOOGLETRANSLATE(D3244,""PT"",""EN"")"),"Sicoob was once a good financial institution. Today no more. I'm even looking for another bank.")</f>
        <v>Sicoob was once a good financial institution. Today no more. I'm even looking for another bank.</v>
      </c>
    </row>
    <row r="3245" ht="14.25" customHeight="1">
      <c r="A3245" s="1">
        <v>100.0</v>
      </c>
      <c r="B3245" s="1" t="s">
        <v>1340</v>
      </c>
      <c r="C3245" s="1">
        <v>10.0</v>
      </c>
      <c r="D3245" s="1" t="s">
        <v>6</v>
      </c>
      <c r="E3245" s="1"/>
    </row>
    <row r="3246" ht="14.25" customHeight="1">
      <c r="A3246" s="1">
        <v>100.0</v>
      </c>
      <c r="B3246" s="1" t="s">
        <v>1340</v>
      </c>
      <c r="C3246" s="1">
        <v>10.0</v>
      </c>
      <c r="D3246" s="1" t="s">
        <v>85</v>
      </c>
      <c r="E3246" s="1" t="str">
        <f>IFERROR(__xludf.DUMMYFUNCTION("GOOGLETRANSLATE(D3246,""PT"",""EN"")"),"Service")</f>
        <v>Service</v>
      </c>
    </row>
    <row r="3247" ht="14.25" customHeight="1">
      <c r="A3247" s="1">
        <v>100.0</v>
      </c>
      <c r="B3247" s="1" t="s">
        <v>1340</v>
      </c>
      <c r="C3247" s="1">
        <v>10.0</v>
      </c>
      <c r="D3247" s="1" t="s">
        <v>1431</v>
      </c>
      <c r="E3247" s="1" t="str">
        <f>IFERROR(__xludf.DUMMYFUNCTION("GOOGLETRANSLATE(D3247,""PT"",""EN"")"),"Whenever we need we were met.")</f>
        <v>Whenever we need we were met.</v>
      </c>
    </row>
    <row r="3248" ht="14.25" customHeight="1">
      <c r="A3248" s="1">
        <v>100.0</v>
      </c>
      <c r="B3248" s="1" t="s">
        <v>1340</v>
      </c>
      <c r="C3248" s="1">
        <v>10.0</v>
      </c>
      <c r="D3248" s="2" t="s">
        <v>1432</v>
      </c>
      <c r="E3248" s="1" t="str">
        <f>IFERROR(__xludf.DUMMYFUNCTION("GOOGLETRANSLATE(D3248,""PT"",""EN"")"),"Attention to norms is the joy of employees")</f>
        <v>Attention to norms is the joy of employees</v>
      </c>
    </row>
    <row r="3249" ht="14.25" customHeight="1">
      <c r="A3249" s="1">
        <v>100.0</v>
      </c>
      <c r="B3249" s="1" t="s">
        <v>1340</v>
      </c>
      <c r="C3249" s="1">
        <v>10.0</v>
      </c>
      <c r="D3249" s="1" t="s">
        <v>42</v>
      </c>
      <c r="E3249" s="1" t="str">
        <f>IFERROR(__xludf.DUMMYFUNCTION("GOOGLETRANSLATE(D3249,""PT"",""EN"")"),"good service")</f>
        <v>good service</v>
      </c>
    </row>
    <row r="3250" ht="14.25" customHeight="1">
      <c r="A3250" s="1">
        <v>100.0</v>
      </c>
      <c r="B3250" s="1" t="s">
        <v>1340</v>
      </c>
      <c r="C3250" s="1">
        <v>10.0</v>
      </c>
      <c r="D3250" s="2" t="s">
        <v>1433</v>
      </c>
      <c r="E3250" s="1" t="str">
        <f>IFERROR(__xludf.DUMMYFUNCTION("GOOGLETRANSLATE(D3250,""PT"",""EN"")"),"It is the bank of the future. It is a concrete bank with your ideas and goals, which gives your customers a security is transparency with your business.")</f>
        <v>It is the bank of the future. It is a concrete bank with your ideas and goals, which gives your customers a security is transparency with your business.</v>
      </c>
    </row>
    <row r="3251" ht="14.25" customHeight="1">
      <c r="A3251" s="1">
        <v>66.0</v>
      </c>
      <c r="B3251" s="1" t="s">
        <v>1340</v>
      </c>
      <c r="C3251" s="1">
        <v>8.0</v>
      </c>
      <c r="D3251" s="1" t="s">
        <v>67</v>
      </c>
      <c r="E3251" s="1"/>
    </row>
    <row r="3252" ht="14.25" customHeight="1">
      <c r="A3252" s="1">
        <v>100.0</v>
      </c>
      <c r="B3252" s="1" t="s">
        <v>1340</v>
      </c>
      <c r="C3252" s="1">
        <v>10.0</v>
      </c>
      <c r="D3252" s="1" t="s">
        <v>1434</v>
      </c>
      <c r="E3252" s="1" t="str">
        <f>IFERROR(__xludf.DUMMYFUNCTION("GOOGLETRANSLATE(D3252,""PT"",""EN"")"),"For the good service!")</f>
        <v>For the good service!</v>
      </c>
    </row>
    <row r="3253" ht="14.25" customHeight="1">
      <c r="A3253" s="1">
        <v>100.0</v>
      </c>
      <c r="B3253" s="1" t="s">
        <v>1340</v>
      </c>
      <c r="C3253" s="1">
        <v>10.0</v>
      </c>
      <c r="D3253" s="1" t="s">
        <v>1435</v>
      </c>
      <c r="E3253" s="1" t="str">
        <f>IFERROR(__xludf.DUMMYFUNCTION("GOOGLETRANSLATE(D3253,""PT"",""EN"")"),"Service with great excellence!")</f>
        <v>Service with great excellence!</v>
      </c>
    </row>
    <row r="3254" ht="14.25" customHeight="1">
      <c r="A3254" s="1">
        <v>33.0</v>
      </c>
      <c r="B3254" s="1" t="s">
        <v>1340</v>
      </c>
      <c r="C3254" s="1">
        <v>1.0</v>
      </c>
      <c r="D3254" s="2" t="s">
        <v>1436</v>
      </c>
      <c r="E3254" s="1" t="str">
        <f>IFERROR(__xludf.DUMMYFUNCTION("GOOGLETRANSLATE(D3254,""PT"",""EN"")"),"NO")</f>
        <v>NO</v>
      </c>
    </row>
    <row r="3255" ht="14.25" customHeight="1">
      <c r="A3255" s="1">
        <v>66.0</v>
      </c>
      <c r="B3255" s="1" t="s">
        <v>1340</v>
      </c>
      <c r="C3255" s="1">
        <v>8.0</v>
      </c>
      <c r="D3255" s="2" t="s">
        <v>1437</v>
      </c>
      <c r="E3255" s="1" t="str">
        <f>IFERROR(__xludf.DUMMYFUNCTION("GOOGLETRANSLATE(D3255,""PT"",""EN"")"),"Bureaucracy to get a credit card")</f>
        <v>Bureaucracy to get a credit card</v>
      </c>
    </row>
    <row r="3256" ht="14.25" customHeight="1">
      <c r="A3256" s="1">
        <v>100.0</v>
      </c>
      <c r="B3256" s="1" t="s">
        <v>1340</v>
      </c>
      <c r="C3256" s="1">
        <v>10.0</v>
      </c>
      <c r="D3256" s="2" t="s">
        <v>1438</v>
      </c>
      <c r="E3256" s="1" t="str">
        <f>IFERROR(__xludf.DUMMYFUNCTION("GOOGLETRANSLATE(D3256,""PT"",""EN"")"),"Great service from the manager, supplied all our questions quickly, we were very pleased with the transfer they had from the beginning to the end of the process, we are already indicating for many friends, only gratitude 🙏🏾")</f>
        <v>Great service from the manager, supplied all our questions quickly, we were very pleased with the transfer they had from the beginning to the end of the process, we are already indicating for many friends, only gratitude 🙏🏾</v>
      </c>
    </row>
    <row r="3257" ht="14.25" customHeight="1">
      <c r="A3257" s="1">
        <v>100.0</v>
      </c>
      <c r="B3257" s="1" t="s">
        <v>1340</v>
      </c>
      <c r="C3257" s="1">
        <v>10.0</v>
      </c>
      <c r="D3257" s="1" t="s">
        <v>37</v>
      </c>
      <c r="E3257" s="1" t="str">
        <f>IFERROR(__xludf.DUMMYFUNCTION("GOOGLETRANSLATE(D3257,""PT"",""EN"")"),"Great service")</f>
        <v>Great service</v>
      </c>
    </row>
    <row r="3258" ht="14.25" customHeight="1">
      <c r="A3258" s="1">
        <v>33.0</v>
      </c>
      <c r="B3258" s="1" t="s">
        <v>1340</v>
      </c>
      <c r="C3258" s="1">
        <v>1.0</v>
      </c>
      <c r="D3258" s="2" t="s">
        <v>1439</v>
      </c>
      <c r="E3258" s="1" t="str">
        <f>IFERROR(__xludf.DUMMYFUNCTION("GOOGLETRANSLATE(D3258,""PT"",""EN"")"),"Work in a company is already")</f>
        <v>Work in a company is already</v>
      </c>
    </row>
    <row r="3259" ht="14.25" customHeight="1">
      <c r="A3259" s="1">
        <v>33.0</v>
      </c>
      <c r="B3259" s="1" t="s">
        <v>1340</v>
      </c>
      <c r="C3259" s="1">
        <v>2.0</v>
      </c>
      <c r="D3259" s="1" t="s">
        <v>1440</v>
      </c>
      <c r="E3259" s="1" t="str">
        <f>IFERROR(__xludf.DUMMYFUNCTION("GOOGLETRANSLATE(D3259,""PT"",""EN"")"),"Form of relationship with the cooperative")</f>
        <v>Form of relationship with the cooperative</v>
      </c>
    </row>
    <row r="3260" ht="14.25" customHeight="1">
      <c r="A3260" s="1">
        <v>100.0</v>
      </c>
      <c r="B3260" s="1" t="s">
        <v>1340</v>
      </c>
      <c r="C3260" s="1">
        <v>10.0</v>
      </c>
      <c r="D3260" s="2" t="s">
        <v>1441</v>
      </c>
      <c r="E3260" s="1" t="str">
        <f>IFERROR(__xludf.DUMMYFUNCTION("GOOGLETRANSLATE(D3260,""PT"",""EN"")"),"serious bank")</f>
        <v>serious bank</v>
      </c>
    </row>
    <row r="3261" ht="14.25" customHeight="1">
      <c r="A3261" s="1">
        <v>100.0</v>
      </c>
      <c r="B3261" s="1" t="s">
        <v>1340</v>
      </c>
      <c r="C3261" s="1">
        <v>9.0</v>
      </c>
      <c r="D3261" s="2" t="s">
        <v>1442</v>
      </c>
      <c r="E3261" s="1" t="str">
        <f>IFERROR(__xludf.DUMMYFUNCTION("GOOGLETRANSLATE(D3261,""PT"",""EN"")"),"Highly trained and helpful managers, the cooperative through its applications facilitating the life of the businessman")</f>
        <v>Highly trained and helpful managers, the cooperative through its applications facilitating the life of the businessman</v>
      </c>
    </row>
    <row r="3262" ht="14.25" customHeight="1">
      <c r="A3262" s="1">
        <v>66.0</v>
      </c>
      <c r="B3262" s="1" t="s">
        <v>1340</v>
      </c>
      <c r="C3262" s="1">
        <v>7.0</v>
      </c>
      <c r="D3262" s="1" t="s">
        <v>6</v>
      </c>
      <c r="E3262" s="1"/>
    </row>
    <row r="3263" ht="14.25" customHeight="1">
      <c r="A3263" s="1">
        <v>100.0</v>
      </c>
      <c r="B3263" s="1" t="s">
        <v>1340</v>
      </c>
      <c r="C3263" s="1">
        <v>10.0</v>
      </c>
      <c r="D3263" s="1" t="s">
        <v>6</v>
      </c>
      <c r="E3263" s="1"/>
    </row>
    <row r="3264" ht="14.25" customHeight="1">
      <c r="A3264" s="1">
        <v>33.0</v>
      </c>
      <c r="B3264" s="1" t="s">
        <v>1340</v>
      </c>
      <c r="C3264" s="1">
        <v>0.0</v>
      </c>
      <c r="D3264" s="1" t="s">
        <v>1443</v>
      </c>
      <c r="E3264" s="1" t="str">
        <f>IFERROR(__xludf.DUMMYFUNCTION("GOOGLETRANSLATE(D3264,""PT"",""EN"")"),"Managers are never accessible by phone, WhatsApp or in person.")</f>
        <v>Managers are never accessible by phone, WhatsApp or in person.</v>
      </c>
    </row>
    <row r="3265" ht="14.25" customHeight="1">
      <c r="A3265" s="1">
        <v>100.0</v>
      </c>
      <c r="B3265" s="1" t="s">
        <v>1340</v>
      </c>
      <c r="C3265" s="1">
        <v>10.0</v>
      </c>
      <c r="D3265" s="1" t="s">
        <v>1444</v>
      </c>
      <c r="E3265" s="1" t="str">
        <f>IFERROR(__xludf.DUMMYFUNCTION("GOOGLETRANSLATE(D3265,""PT"",""EN"")"),"Good service, clarity in the app")</f>
        <v>Good service, clarity in the app</v>
      </c>
    </row>
    <row r="3266" ht="14.25" customHeight="1">
      <c r="A3266" s="1">
        <v>33.0</v>
      </c>
      <c r="B3266" s="1" t="s">
        <v>1340</v>
      </c>
      <c r="C3266" s="1">
        <v>2.0</v>
      </c>
      <c r="D3266" s="2" t="s">
        <v>1445</v>
      </c>
      <c r="E3266" s="1" t="str">
        <f>IFERROR(__xludf.DUMMYFUNCTION("GOOGLETRANSLATE(D3266,""PT"",""EN"")"),"Difficulties in service excess bureaucracy Lack of attention is communication C clients application (banking)")</f>
        <v>Difficulties in service excess bureaucracy Lack of attention is communication C clients application (banking)</v>
      </c>
    </row>
    <row r="3267" ht="14.25" customHeight="1">
      <c r="A3267" s="1">
        <v>100.0</v>
      </c>
      <c r="B3267" s="1" t="s">
        <v>1340</v>
      </c>
      <c r="C3267" s="1">
        <v>9.0</v>
      </c>
      <c r="D3267" s="1" t="s">
        <v>6</v>
      </c>
      <c r="E3267" s="1"/>
    </row>
    <row r="3268" ht="14.25" customHeight="1">
      <c r="A3268" s="1">
        <v>33.0</v>
      </c>
      <c r="B3268" s="1" t="s">
        <v>1340</v>
      </c>
      <c r="C3268" s="1">
        <v>0.0</v>
      </c>
      <c r="D3268" s="1" t="s">
        <v>6</v>
      </c>
      <c r="E3268" s="1"/>
    </row>
    <row r="3269" ht="14.25" customHeight="1">
      <c r="A3269" s="1">
        <v>33.0</v>
      </c>
      <c r="B3269" s="1" t="s">
        <v>1340</v>
      </c>
      <c r="C3269" s="1">
        <v>0.0</v>
      </c>
      <c r="D3269" s="1" t="s">
        <v>1446</v>
      </c>
      <c r="E3269" s="1" t="str">
        <f>IFERROR(__xludf.DUMMYFUNCTION("GOOGLETRANSLATE(D3269,""PT"",""EN"")"),"The most incoherent bank I've ever seen.")</f>
        <v>The most incoherent bank I've ever seen.</v>
      </c>
    </row>
    <row r="3270" ht="14.25" customHeight="1">
      <c r="A3270" s="1">
        <v>100.0</v>
      </c>
      <c r="B3270" s="1" t="s">
        <v>1340</v>
      </c>
      <c r="C3270" s="1">
        <v>10.0</v>
      </c>
      <c r="D3270" s="1" t="s">
        <v>1447</v>
      </c>
      <c r="E3270" s="1" t="str">
        <f>IFERROR(__xludf.DUMMYFUNCTION("GOOGLETRANSLATE(D3270,""PT"",""EN"")"),"I never had problems, great service")</f>
        <v>I never had problems, great service</v>
      </c>
    </row>
    <row r="3271" ht="14.25" customHeight="1">
      <c r="A3271" s="1">
        <v>66.0</v>
      </c>
      <c r="B3271" s="1" t="s">
        <v>1340</v>
      </c>
      <c r="C3271" s="1">
        <v>8.0</v>
      </c>
      <c r="D3271" s="1" t="s">
        <v>6</v>
      </c>
      <c r="E3271" s="1"/>
    </row>
    <row r="3272" ht="14.25" customHeight="1">
      <c r="A3272" s="1">
        <v>100.0</v>
      </c>
      <c r="B3272" s="1" t="s">
        <v>1340</v>
      </c>
      <c r="C3272" s="1">
        <v>10.0</v>
      </c>
      <c r="D3272" s="1" t="s">
        <v>6</v>
      </c>
      <c r="E3272" s="1"/>
    </row>
    <row r="3273" ht="14.25" customHeight="1">
      <c r="A3273" s="1">
        <v>100.0</v>
      </c>
      <c r="B3273" s="1" t="s">
        <v>1340</v>
      </c>
      <c r="C3273" s="1">
        <v>10.0</v>
      </c>
      <c r="D3273" s="1" t="s">
        <v>1448</v>
      </c>
      <c r="E3273" s="1" t="str">
        <f>IFERROR(__xludf.DUMMYFUNCTION("GOOGLETRANSLATE(D3273,""PT"",""EN"")"),"Excellence in service")</f>
        <v>Excellence in service</v>
      </c>
    </row>
    <row r="3274" ht="14.25" customHeight="1">
      <c r="A3274" s="1">
        <v>100.0</v>
      </c>
      <c r="B3274" s="1" t="s">
        <v>1340</v>
      </c>
      <c r="C3274" s="1">
        <v>9.0</v>
      </c>
      <c r="D3274" s="1" t="s">
        <v>6</v>
      </c>
      <c r="E3274" s="1"/>
    </row>
    <row r="3275" ht="14.25" customHeight="1">
      <c r="A3275" s="1">
        <v>100.0</v>
      </c>
      <c r="B3275" s="1" t="s">
        <v>1340</v>
      </c>
      <c r="C3275" s="1">
        <v>10.0</v>
      </c>
      <c r="D3275" s="1" t="s">
        <v>6</v>
      </c>
      <c r="E3275" s="1"/>
    </row>
    <row r="3276" ht="14.25" customHeight="1">
      <c r="A3276" s="1">
        <v>100.0</v>
      </c>
      <c r="B3276" s="1" t="s">
        <v>1340</v>
      </c>
      <c r="C3276" s="1">
        <v>10.0</v>
      </c>
      <c r="D3276" s="2" t="s">
        <v>1449</v>
      </c>
      <c r="E3276" s="1" t="str">
        <f>IFERROR(__xludf.DUMMYFUNCTION("GOOGLETRANSLATE(D3276,""PT"",""EN"")"),"Agility in service and trained professionals!")</f>
        <v>Agility in service and trained professionals!</v>
      </c>
    </row>
    <row r="3277" ht="14.25" customHeight="1">
      <c r="A3277" s="1">
        <v>100.0</v>
      </c>
      <c r="B3277" s="1" t="s">
        <v>1340</v>
      </c>
      <c r="C3277" s="1">
        <v>10.0</v>
      </c>
      <c r="D3277" s="1" t="s">
        <v>1052</v>
      </c>
      <c r="E3277" s="1" t="str">
        <f>IFERROR(__xludf.DUMMYFUNCTION("GOOGLETRANSLATE(D3277,""PT"",""EN"")"),"Great.")</f>
        <v>Great.</v>
      </c>
    </row>
    <row r="3278" ht="14.25" customHeight="1">
      <c r="A3278" s="1">
        <v>33.0</v>
      </c>
      <c r="B3278" s="1" t="s">
        <v>1340</v>
      </c>
      <c r="C3278" s="1">
        <v>3.0</v>
      </c>
      <c r="D3278" s="1" t="s">
        <v>6</v>
      </c>
      <c r="E3278" s="1"/>
    </row>
    <row r="3279" ht="14.25" customHeight="1">
      <c r="A3279" s="1">
        <v>100.0</v>
      </c>
      <c r="B3279" s="1" t="s">
        <v>1340</v>
      </c>
      <c r="C3279" s="1">
        <v>10.0</v>
      </c>
      <c r="D3279" s="1" t="s">
        <v>1284</v>
      </c>
      <c r="E3279" s="1" t="str">
        <f>IFERROR(__xludf.DUMMYFUNCTION("GOOGLETRANSLATE(D3279,""PT"",""EN"")"),"Best bank")</f>
        <v>Best bank</v>
      </c>
    </row>
    <row r="3280" ht="14.25" customHeight="1">
      <c r="A3280" s="1">
        <v>100.0</v>
      </c>
      <c r="B3280" s="1" t="s">
        <v>1340</v>
      </c>
      <c r="C3280" s="1">
        <v>10.0</v>
      </c>
      <c r="D3280" s="1" t="s">
        <v>1240</v>
      </c>
      <c r="E3280" s="1" t="str">
        <f>IFERROR(__xludf.DUMMYFUNCTION("GOOGLETRANSLATE(D3280,""PT"",""EN"")"),"Humanized service")</f>
        <v>Humanized service</v>
      </c>
    </row>
    <row r="3281" ht="14.25" customHeight="1">
      <c r="A3281" s="1">
        <v>66.0</v>
      </c>
      <c r="B3281" s="1" t="s">
        <v>1340</v>
      </c>
      <c r="C3281" s="1">
        <v>8.0</v>
      </c>
      <c r="D3281" s="2" t="s">
        <v>1450</v>
      </c>
      <c r="E3281" s="1" t="str">
        <f>IFERROR(__xludf.DUMMYFUNCTION("GOOGLETRANSLATE(D3281,""PT"",""EN"")"),"I don't even know the manager of my account")</f>
        <v>I don't even know the manager of my account</v>
      </c>
    </row>
    <row r="3282" ht="14.25" customHeight="1">
      <c r="A3282" s="1">
        <v>66.0</v>
      </c>
      <c r="B3282" s="1" t="s">
        <v>1340</v>
      </c>
      <c r="C3282" s="1">
        <v>8.0</v>
      </c>
      <c r="D3282" s="2" t="s">
        <v>1451</v>
      </c>
      <c r="E3282" s="1" t="str">
        <f>IFERROR(__xludf.DUMMYFUNCTION("GOOGLETRANSLATE(D3282,""PT"",""EN"")"),"Sometimes the delay in speech at the agency")</f>
        <v>Sometimes the delay in speech at the agency</v>
      </c>
    </row>
    <row r="3283" ht="14.25" customHeight="1">
      <c r="A3283" s="1">
        <v>100.0</v>
      </c>
      <c r="B3283" s="1" t="s">
        <v>1340</v>
      </c>
      <c r="C3283" s="1">
        <v>10.0</v>
      </c>
      <c r="D3283" s="2" t="s">
        <v>1452</v>
      </c>
      <c r="E3283" s="1" t="str">
        <f>IFERROR(__xludf.DUMMYFUNCTION("GOOGLETRANSLATE(D3283,""PT"",""EN"")"),"Sicoob is a bank that always serves us with excellence and agility.")</f>
        <v>Sicoob is a bank that always serves us with excellence and agility.</v>
      </c>
    </row>
    <row r="3284" ht="14.25" customHeight="1">
      <c r="A3284" s="1">
        <v>66.0</v>
      </c>
      <c r="B3284" s="1" t="s">
        <v>1340</v>
      </c>
      <c r="C3284" s="1">
        <v>7.0</v>
      </c>
      <c r="D3284" s="2" t="s">
        <v>1453</v>
      </c>
      <c r="E3284" s="1" t="str">
        <f>IFERROR(__xludf.DUMMYFUNCTION("GOOGLETRANSLATE(D3284,""PT"",""EN"")"),"It can improve is to propose other services.")</f>
        <v>It can improve is to propose other services.</v>
      </c>
    </row>
    <row r="3285" ht="14.25" customHeight="1">
      <c r="A3285" s="1">
        <v>100.0</v>
      </c>
      <c r="B3285" s="1" t="s">
        <v>1340</v>
      </c>
      <c r="C3285" s="1">
        <v>10.0</v>
      </c>
      <c r="D3285" s="1" t="s">
        <v>1454</v>
      </c>
      <c r="E3285" s="1" t="str">
        <f>IFERROR(__xludf.DUMMYFUNCTION("GOOGLETRANSLATE(D3285,""PT"",""EN"")"),"An excellent bank")</f>
        <v>An excellent bank</v>
      </c>
    </row>
    <row r="3286" ht="14.25" customHeight="1">
      <c r="A3286" s="1">
        <v>100.0</v>
      </c>
      <c r="B3286" s="1" t="s">
        <v>1340</v>
      </c>
      <c r="C3286" s="1">
        <v>10.0</v>
      </c>
      <c r="D3286" s="1" t="s">
        <v>1405</v>
      </c>
      <c r="E3286" s="1" t="str">
        <f>IFERROR(__xludf.DUMMYFUNCTION("GOOGLETRANSLATE(D3286,""PT"",""EN"")"),"Agility in service")</f>
        <v>Agility in service</v>
      </c>
    </row>
    <row r="3287" ht="14.25" customHeight="1">
      <c r="A3287" s="1">
        <v>100.0</v>
      </c>
      <c r="B3287" s="1" t="s">
        <v>1340</v>
      </c>
      <c r="C3287" s="1">
        <v>10.0</v>
      </c>
      <c r="D3287" s="1" t="s">
        <v>1455</v>
      </c>
      <c r="E3287" s="1" t="str">
        <f>IFERROR(__xludf.DUMMYFUNCTION("GOOGLETRANSLATE(D3287,""PT"",""EN"")"),"Best Bank in the World")</f>
        <v>Best Bank in the World</v>
      </c>
    </row>
    <row r="3288" ht="14.25" customHeight="1">
      <c r="A3288" s="1">
        <v>66.0</v>
      </c>
      <c r="B3288" s="1" t="s">
        <v>1340</v>
      </c>
      <c r="C3288" s="1">
        <v>7.0</v>
      </c>
      <c r="D3288" s="1" t="s">
        <v>6</v>
      </c>
      <c r="E3288" s="1"/>
    </row>
    <row r="3289" ht="14.25" customHeight="1">
      <c r="A3289" s="1">
        <v>33.0</v>
      </c>
      <c r="B3289" s="1" t="s">
        <v>1340</v>
      </c>
      <c r="C3289" s="1">
        <v>3.0</v>
      </c>
      <c r="D3289" s="1" t="s">
        <v>6</v>
      </c>
      <c r="E3289" s="1"/>
    </row>
    <row r="3290" ht="14.25" customHeight="1">
      <c r="A3290" s="1">
        <v>100.0</v>
      </c>
      <c r="B3290" s="1" t="s">
        <v>1340</v>
      </c>
      <c r="C3290" s="1">
        <v>10.0</v>
      </c>
      <c r="D3290" s="1" t="s">
        <v>1456</v>
      </c>
      <c r="E3290" s="1" t="str">
        <f>IFERROR(__xludf.DUMMYFUNCTION("GOOGLETRANSLATE(D3290,""PT"",""EN"")"),"Ease of contact with the institution in solving various demands.")</f>
        <v>Ease of contact with the institution in solving various demands.</v>
      </c>
    </row>
    <row r="3291" ht="14.25" customHeight="1">
      <c r="A3291" s="1">
        <v>100.0</v>
      </c>
      <c r="B3291" s="1" t="s">
        <v>1340</v>
      </c>
      <c r="C3291" s="1">
        <v>10.0</v>
      </c>
      <c r="D3291" s="1" t="s">
        <v>9</v>
      </c>
      <c r="E3291" s="1" t="str">
        <f>IFERROR(__xludf.DUMMYFUNCTION("GOOGLETRANSLATE(D3291,""PT"",""EN"")"),"10")</f>
        <v>10</v>
      </c>
    </row>
    <row r="3292" ht="14.25" customHeight="1">
      <c r="A3292" s="1">
        <v>100.0</v>
      </c>
      <c r="B3292" s="1" t="s">
        <v>1340</v>
      </c>
      <c r="C3292" s="1">
        <v>10.0</v>
      </c>
      <c r="D3292" s="2" t="s">
        <v>1457</v>
      </c>
      <c r="E3292" s="1" t="str">
        <f>IFERROR(__xludf.DUMMYFUNCTION("GOOGLETRANSLATE(D3292,""PT"",""EN"")"),"Efficiency, suitability is exemplary service is professional to cooperative clients of Sicoob.")</f>
        <v>Efficiency, suitability is exemplary service is professional to cooperative clients of Sicoob.</v>
      </c>
    </row>
    <row r="3293" ht="14.25" customHeight="1">
      <c r="A3293" s="1">
        <v>100.0</v>
      </c>
      <c r="B3293" s="1" t="s">
        <v>1340</v>
      </c>
      <c r="C3293" s="1">
        <v>10.0</v>
      </c>
      <c r="D3293" s="2" t="s">
        <v>1458</v>
      </c>
      <c r="E3293" s="1" t="str">
        <f>IFERROR(__xludf.DUMMYFUNCTION("GOOGLETRANSLATE(D3293,""PT"",""EN"")"),"very helpful manager total knowledge in their attributions")</f>
        <v>very helpful manager total knowledge in their attributions</v>
      </c>
    </row>
    <row r="3294" ht="14.25" customHeight="1">
      <c r="A3294" s="1">
        <v>100.0</v>
      </c>
      <c r="B3294" s="1" t="s">
        <v>1340</v>
      </c>
      <c r="C3294" s="1">
        <v>10.0</v>
      </c>
      <c r="D3294" s="1" t="s">
        <v>6</v>
      </c>
      <c r="E3294" s="1"/>
    </row>
    <row r="3295" ht="14.25" customHeight="1">
      <c r="A3295" s="1">
        <v>100.0</v>
      </c>
      <c r="B3295" s="1" t="s">
        <v>1340</v>
      </c>
      <c r="C3295" s="1">
        <v>10.0</v>
      </c>
      <c r="D3295" s="1" t="s">
        <v>6</v>
      </c>
      <c r="E3295" s="1"/>
    </row>
    <row r="3296" ht="14.25" customHeight="1">
      <c r="A3296" s="1">
        <v>66.0</v>
      </c>
      <c r="B3296" s="1" t="s">
        <v>1340</v>
      </c>
      <c r="C3296" s="1">
        <v>7.0</v>
      </c>
      <c r="D3296" s="1" t="s">
        <v>6</v>
      </c>
      <c r="E3296" s="1"/>
    </row>
    <row r="3297" ht="14.25" customHeight="1">
      <c r="A3297" s="1">
        <v>66.0</v>
      </c>
      <c r="B3297" s="1" t="s">
        <v>1340</v>
      </c>
      <c r="C3297" s="1">
        <v>8.0</v>
      </c>
      <c r="D3297" s="1" t="s">
        <v>6</v>
      </c>
      <c r="E3297" s="1"/>
    </row>
    <row r="3298" ht="14.25" customHeight="1">
      <c r="A3298" s="1">
        <v>100.0</v>
      </c>
      <c r="B3298" s="1" t="s">
        <v>1340</v>
      </c>
      <c r="C3298" s="1">
        <v>10.0</v>
      </c>
      <c r="D3298" s="2" t="s">
        <v>1459</v>
      </c>
      <c r="E3298" s="1" t="str">
        <f>IFERROR(__xludf.DUMMYFUNCTION("GOOGLETRANSLATE(D3298,""PT"",""EN"")"),"Excellent service and agility")</f>
        <v>Excellent service and agility</v>
      </c>
    </row>
    <row r="3299" ht="14.25" customHeight="1">
      <c r="A3299" s="1">
        <v>66.0</v>
      </c>
      <c r="B3299" s="1" t="s">
        <v>1340</v>
      </c>
      <c r="C3299" s="1">
        <v>8.0</v>
      </c>
      <c r="D3299" s="1" t="s">
        <v>6</v>
      </c>
      <c r="E3299" s="1"/>
    </row>
    <row r="3300" ht="14.25" customHeight="1">
      <c r="A3300" s="1">
        <v>100.0</v>
      </c>
      <c r="B3300" s="1" t="s">
        <v>1340</v>
      </c>
      <c r="C3300" s="1">
        <v>10.0</v>
      </c>
      <c r="D3300" s="1" t="s">
        <v>593</v>
      </c>
      <c r="E3300" s="1" t="str">
        <f>IFERROR(__xludf.DUMMYFUNCTION("GOOGLETRANSLATE(D3300,""PT"",""EN"")"),"great service")</f>
        <v>great service</v>
      </c>
    </row>
    <row r="3301" ht="14.25" customHeight="1">
      <c r="A3301" s="1">
        <v>33.0</v>
      </c>
      <c r="B3301" s="1" t="s">
        <v>1340</v>
      </c>
      <c r="C3301" s="1">
        <v>4.0</v>
      </c>
      <c r="D3301" s="1" t="s">
        <v>6</v>
      </c>
      <c r="E3301" s="1"/>
    </row>
    <row r="3302" ht="14.25" customHeight="1">
      <c r="A3302" s="1">
        <v>100.0</v>
      </c>
      <c r="B3302" s="1" t="s">
        <v>1340</v>
      </c>
      <c r="C3302" s="1">
        <v>10.0</v>
      </c>
      <c r="D3302" s="1" t="s">
        <v>6</v>
      </c>
      <c r="E3302" s="1"/>
    </row>
    <row r="3303" ht="14.25" customHeight="1">
      <c r="A3303" s="1">
        <v>33.0</v>
      </c>
      <c r="B3303" s="1" t="s">
        <v>1340</v>
      </c>
      <c r="C3303" s="1">
        <v>1.0</v>
      </c>
      <c r="D3303" s="1" t="s">
        <v>85</v>
      </c>
      <c r="E3303" s="1" t="str">
        <f>IFERROR(__xludf.DUMMYFUNCTION("GOOGLETRANSLATE(D3303,""PT"",""EN"")"),"Service")</f>
        <v>Service</v>
      </c>
    </row>
    <row r="3304" ht="14.25" customHeight="1">
      <c r="A3304" s="1">
        <v>100.0</v>
      </c>
      <c r="B3304" s="1" t="s">
        <v>1340</v>
      </c>
      <c r="C3304" s="1">
        <v>10.0</v>
      </c>
      <c r="D3304" s="2" t="s">
        <v>1460</v>
      </c>
      <c r="E3304" s="1" t="str">
        <f>IFERROR(__xludf.DUMMYFUNCTION("GOOGLETRANSLATE(D3304,""PT"",""EN"")"),"Customer service, attention and care")</f>
        <v>Customer service, attention and care</v>
      </c>
    </row>
    <row r="3305" ht="14.25" customHeight="1">
      <c r="A3305" s="1">
        <v>33.0</v>
      </c>
      <c r="B3305" s="1" t="s">
        <v>1340</v>
      </c>
      <c r="C3305" s="1">
        <v>3.0</v>
      </c>
      <c r="D3305" s="1" t="s">
        <v>1461</v>
      </c>
      <c r="E3305" s="1" t="str">
        <f>IFERROR(__xludf.DUMMYFUNCTION("GOOGLETRANSLATE(D3305,""PT"",""EN"")"),"Dissatisfied with the way the bank treats its account holders.")</f>
        <v>Dissatisfied with the way the bank treats its account holders.</v>
      </c>
    </row>
    <row r="3306" ht="14.25" customHeight="1">
      <c r="A3306" s="1">
        <v>100.0</v>
      </c>
      <c r="B3306" s="1" t="s">
        <v>1340</v>
      </c>
      <c r="C3306" s="1">
        <v>10.0</v>
      </c>
      <c r="D3306" s="1" t="s">
        <v>6</v>
      </c>
      <c r="E3306" s="1"/>
    </row>
    <row r="3307" ht="14.25" customHeight="1">
      <c r="A3307" s="1">
        <v>100.0</v>
      </c>
      <c r="B3307" s="1" t="s">
        <v>1340</v>
      </c>
      <c r="C3307" s="1">
        <v>9.0</v>
      </c>
      <c r="D3307" s="1" t="s">
        <v>6</v>
      </c>
      <c r="E3307" s="1"/>
    </row>
    <row r="3308" ht="14.25" customHeight="1">
      <c r="A3308" s="1">
        <v>100.0</v>
      </c>
      <c r="B3308" s="1" t="s">
        <v>1340</v>
      </c>
      <c r="C3308" s="1">
        <v>10.0</v>
      </c>
      <c r="D3308" s="1" t="s">
        <v>1462</v>
      </c>
      <c r="E3308" s="1" t="str">
        <f>IFERROR(__xludf.DUMMYFUNCTION("GOOGLETRANSLATE(D3308,""PT"",""EN"")"),"The cordial service of the bank team.")</f>
        <v>The cordial service of the bank team.</v>
      </c>
    </row>
    <row r="3309" ht="14.25" customHeight="1">
      <c r="A3309" s="1">
        <v>66.0</v>
      </c>
      <c r="B3309" s="1" t="s">
        <v>1340</v>
      </c>
      <c r="C3309" s="1">
        <v>8.0</v>
      </c>
      <c r="D3309" s="1" t="s">
        <v>6</v>
      </c>
      <c r="E3309" s="1"/>
    </row>
    <row r="3310" ht="14.25" customHeight="1">
      <c r="A3310" s="1">
        <v>33.0</v>
      </c>
      <c r="B3310" s="1" t="s">
        <v>1340</v>
      </c>
      <c r="C3310" s="1">
        <v>1.0</v>
      </c>
      <c r="D3310" s="1" t="s">
        <v>1463</v>
      </c>
      <c r="E3310" s="1" t="str">
        <f>IFERROR(__xludf.DUMMYFUNCTION("GOOGLETRANSLATE(D3310,""PT"",""EN"")"),"The service is very decaying. You need to improve a lot.")</f>
        <v>The service is very decaying. You need to improve a lot.</v>
      </c>
    </row>
    <row r="3311" ht="14.25" customHeight="1">
      <c r="A3311" s="1">
        <v>33.0</v>
      </c>
      <c r="B3311" s="1" t="s">
        <v>1340</v>
      </c>
      <c r="C3311" s="1">
        <v>1.0</v>
      </c>
      <c r="D3311" s="1" t="s">
        <v>1464</v>
      </c>
      <c r="E3311" s="1" t="str">
        <f>IFERROR(__xludf.DUMMYFUNCTION("GOOGLETRANSLATE(D3311,""PT"",""EN"")"),"Management 0")</f>
        <v>Management 0</v>
      </c>
    </row>
    <row r="3312" ht="14.25" customHeight="1">
      <c r="A3312" s="1">
        <v>33.0</v>
      </c>
      <c r="B3312" s="1" t="s">
        <v>1340</v>
      </c>
      <c r="C3312" s="1">
        <v>5.0</v>
      </c>
      <c r="D3312" s="2" t="s">
        <v>1465</v>
      </c>
      <c r="E3312" s="1" t="str">
        <f>IFERROR(__xludf.DUMMYFUNCTION("GOOGLETRANSLATE(D3312,""PT"",""EN"")"),"If it weren't for security")</f>
        <v>If it weren't for security</v>
      </c>
    </row>
    <row r="3313" ht="14.25" customHeight="1">
      <c r="A3313" s="1">
        <v>33.0</v>
      </c>
      <c r="B3313" s="1" t="s">
        <v>1340</v>
      </c>
      <c r="C3313" s="1">
        <v>0.0</v>
      </c>
      <c r="D3313" s="1" t="s">
        <v>6</v>
      </c>
      <c r="E3313" s="1"/>
    </row>
    <row r="3314" ht="14.25" customHeight="1">
      <c r="A3314" s="1">
        <v>100.0</v>
      </c>
      <c r="B3314" s="1" t="s">
        <v>1340</v>
      </c>
      <c r="C3314" s="1">
        <v>10.0</v>
      </c>
      <c r="D3314" s="2" t="s">
        <v>1466</v>
      </c>
      <c r="E3314" s="1" t="str">
        <f>IFERROR(__xludf.DUMMYFUNCTION("GOOGLETRANSLATE(D3314,""PT"",""EN"")"),"Practicality and agility.")</f>
        <v>Practicality and agility.</v>
      </c>
    </row>
    <row r="3315" ht="14.25" customHeight="1">
      <c r="A3315" s="1">
        <v>100.0</v>
      </c>
      <c r="B3315" s="1" t="s">
        <v>1340</v>
      </c>
      <c r="C3315" s="1">
        <v>10.0</v>
      </c>
      <c r="D3315" s="2" t="s">
        <v>1467</v>
      </c>
      <c r="E3315" s="1" t="str">
        <f>IFERROR(__xludf.DUMMYFUNCTION("GOOGLETRANSLATE(D3315,""PT"",""EN"")"),"A good relationship is attention !!")</f>
        <v>A good relationship is attention !!</v>
      </c>
    </row>
    <row r="3316" ht="14.25" customHeight="1">
      <c r="A3316" s="1">
        <v>100.0</v>
      </c>
      <c r="B3316" s="1" t="s">
        <v>1340</v>
      </c>
      <c r="C3316" s="1">
        <v>10.0</v>
      </c>
      <c r="D3316" s="1" t="s">
        <v>1468</v>
      </c>
      <c r="E3316" s="1" t="str">
        <f>IFERROR(__xludf.DUMMYFUNCTION("GOOGLETRANSLATE(D3316,""PT"",""EN"")"),"Great")</f>
        <v>Great</v>
      </c>
    </row>
    <row r="3317" ht="14.25" customHeight="1">
      <c r="A3317" s="1">
        <v>66.0</v>
      </c>
      <c r="B3317" s="1" t="s">
        <v>1340</v>
      </c>
      <c r="C3317" s="1">
        <v>7.0</v>
      </c>
      <c r="D3317" s="1" t="s">
        <v>6</v>
      </c>
      <c r="E3317" s="1"/>
    </row>
    <row r="3318" ht="14.25" customHeight="1">
      <c r="A3318" s="1">
        <v>100.0</v>
      </c>
      <c r="B3318" s="1" t="s">
        <v>1340</v>
      </c>
      <c r="C3318" s="1">
        <v>10.0</v>
      </c>
      <c r="D3318" s="1" t="s">
        <v>1469</v>
      </c>
      <c r="E3318" s="1" t="str">
        <f>IFERROR(__xludf.DUMMYFUNCTION("GOOGLETRANSLATE(D3318,""PT"",""EN"")"),"The excellent service provided by the cooperative team 3333")</f>
        <v>The excellent service provided by the cooperative team 3333</v>
      </c>
    </row>
    <row r="3319" ht="14.25" customHeight="1">
      <c r="A3319" s="1">
        <v>33.0</v>
      </c>
      <c r="B3319" s="1" t="s">
        <v>1340</v>
      </c>
      <c r="C3319" s="1">
        <v>3.0</v>
      </c>
      <c r="D3319" s="1" t="s">
        <v>6</v>
      </c>
      <c r="E3319" s="1"/>
    </row>
    <row r="3320" ht="14.25" customHeight="1">
      <c r="A3320" s="1">
        <v>100.0</v>
      </c>
      <c r="B3320" s="1" t="s">
        <v>1340</v>
      </c>
      <c r="C3320" s="1">
        <v>10.0</v>
      </c>
      <c r="D3320" s="1" t="s">
        <v>6</v>
      </c>
      <c r="E3320" s="1"/>
    </row>
    <row r="3321" ht="14.25" customHeight="1">
      <c r="A3321" s="1">
        <v>100.0</v>
      </c>
      <c r="B3321" s="1" t="s">
        <v>1340</v>
      </c>
      <c r="C3321" s="1">
        <v>10.0</v>
      </c>
      <c r="D3321" s="1" t="s">
        <v>1470</v>
      </c>
      <c r="E3321" s="1" t="str">
        <f>IFERROR(__xludf.DUMMYFUNCTION("GOOGLETRANSLATE(D3321,""PT"",""EN"")"),"Great bank in all questions.")</f>
        <v>Great bank in all questions.</v>
      </c>
    </row>
    <row r="3322" ht="14.25" customHeight="1">
      <c r="A3322" s="1">
        <v>66.0</v>
      </c>
      <c r="B3322" s="1" t="s">
        <v>1340</v>
      </c>
      <c r="C3322" s="1">
        <v>7.0</v>
      </c>
      <c r="D3322" s="1" t="s">
        <v>6</v>
      </c>
      <c r="E3322" s="1"/>
    </row>
    <row r="3323" ht="14.25" customHeight="1">
      <c r="A3323" s="1">
        <v>100.0</v>
      </c>
      <c r="B3323" s="1" t="s">
        <v>1340</v>
      </c>
      <c r="C3323" s="1">
        <v>10.0</v>
      </c>
      <c r="D3323" s="2" t="s">
        <v>1471</v>
      </c>
      <c r="E3323" s="1" t="str">
        <f>IFERROR(__xludf.DUMMYFUNCTION("GOOGLETRANSLATE(D3323,""PT"",""EN"")"),"I have been a cooperative for 14 years for a singular counselor. I know how it is, how it works is the collective benefits provided.")</f>
        <v>I have been a cooperative for 14 years for a singular counselor. I know how it is, how it works is the collective benefits provided.</v>
      </c>
    </row>
    <row r="3324" ht="14.25" customHeight="1">
      <c r="A3324" s="1">
        <v>100.0</v>
      </c>
      <c r="B3324" s="1" t="s">
        <v>1340</v>
      </c>
      <c r="C3324" s="1">
        <v>10.0</v>
      </c>
      <c r="D3324" s="1" t="s">
        <v>1472</v>
      </c>
      <c r="E3324" s="1" t="str">
        <f>IFERROR(__xludf.DUMMYFUNCTION("GOOGLETRANSLATE(D3324,""PT"",""EN"")"),"Quality in service")</f>
        <v>Quality in service</v>
      </c>
    </row>
    <row r="3325" ht="14.25" customHeight="1">
      <c r="A3325" s="1">
        <v>33.0</v>
      </c>
      <c r="B3325" s="1" t="s">
        <v>1340</v>
      </c>
      <c r="C3325" s="1">
        <v>0.0</v>
      </c>
      <c r="D3325" s="1" t="s">
        <v>6</v>
      </c>
      <c r="E3325" s="1"/>
    </row>
    <row r="3326" ht="14.25" customHeight="1">
      <c r="A3326" s="1">
        <v>100.0</v>
      </c>
      <c r="B3326" s="1" t="s">
        <v>1340</v>
      </c>
      <c r="C3326" s="1">
        <v>10.0</v>
      </c>
      <c r="D3326" s="1" t="s">
        <v>6</v>
      </c>
      <c r="E3326" s="1"/>
    </row>
    <row r="3327" ht="14.25" customHeight="1">
      <c r="A3327" s="1">
        <v>100.0</v>
      </c>
      <c r="B3327" s="1" t="s">
        <v>1340</v>
      </c>
      <c r="C3327" s="1">
        <v>10.0</v>
      </c>
      <c r="D3327" s="2" t="s">
        <v>1473</v>
      </c>
      <c r="E3327" s="1" t="str">
        <f>IFERROR(__xludf.DUMMYFUNCTION("GOOGLETRANSLATE(D3327,""PT"",""EN"")"),"Seriousness, charisma is agility in what was asked.")</f>
        <v>Seriousness, charisma is agility in what was asked.</v>
      </c>
    </row>
    <row r="3328" ht="14.25" customHeight="1">
      <c r="A3328" s="1">
        <v>100.0</v>
      </c>
      <c r="B3328" s="1" t="s">
        <v>1340</v>
      </c>
      <c r="C3328" s="1">
        <v>10.0</v>
      </c>
      <c r="D3328" s="1" t="s">
        <v>6</v>
      </c>
      <c r="E3328" s="1"/>
    </row>
    <row r="3329" ht="14.25" customHeight="1">
      <c r="A3329" s="1">
        <v>100.0</v>
      </c>
      <c r="B3329" s="1" t="s">
        <v>1340</v>
      </c>
      <c r="C3329" s="1">
        <v>10.0</v>
      </c>
      <c r="D3329" s="2" t="s">
        <v>1474</v>
      </c>
      <c r="E3329" s="1" t="str">
        <f>IFERROR(__xludf.DUMMYFUNCTION("GOOGLETRANSLATE(D3329,""PT"",""EN"")"),"Good service, attention is commitment to the cooperative.")</f>
        <v>Good service, attention is commitment to the cooperative.</v>
      </c>
    </row>
    <row r="3330" ht="14.25" customHeight="1">
      <c r="A3330" s="1">
        <v>100.0</v>
      </c>
      <c r="B3330" s="1" t="s">
        <v>1340</v>
      </c>
      <c r="C3330" s="1">
        <v>10.0</v>
      </c>
      <c r="D3330" s="1" t="s">
        <v>6</v>
      </c>
      <c r="E3330" s="1"/>
    </row>
    <row r="3331" ht="14.25" customHeight="1">
      <c r="A3331" s="1">
        <v>66.0</v>
      </c>
      <c r="B3331" s="1" t="s">
        <v>1340</v>
      </c>
      <c r="C3331" s="1">
        <v>8.0</v>
      </c>
      <c r="D3331" s="1" t="s">
        <v>6</v>
      </c>
      <c r="E3331" s="1"/>
    </row>
    <row r="3332" ht="14.25" customHeight="1">
      <c r="A3332" s="1">
        <v>100.0</v>
      </c>
      <c r="B3332" s="1" t="s">
        <v>1340</v>
      </c>
      <c r="C3332" s="1">
        <v>10.0</v>
      </c>
      <c r="D3332" s="1" t="s">
        <v>6</v>
      </c>
      <c r="E3332" s="1"/>
    </row>
    <row r="3333" ht="14.25" customHeight="1">
      <c r="A3333" s="1">
        <v>33.0</v>
      </c>
      <c r="B3333" s="1" t="s">
        <v>1340</v>
      </c>
      <c r="C3333" s="1">
        <v>0.0</v>
      </c>
      <c r="D3333" s="1" t="s">
        <v>6</v>
      </c>
      <c r="E3333" s="1"/>
    </row>
    <row r="3334" ht="14.25" customHeight="1">
      <c r="A3334" s="1">
        <v>100.0</v>
      </c>
      <c r="B3334" s="1" t="s">
        <v>1340</v>
      </c>
      <c r="C3334" s="1">
        <v>10.0</v>
      </c>
      <c r="D3334" s="1" t="s">
        <v>1475</v>
      </c>
      <c r="E3334" s="1" t="str">
        <f>IFERROR(__xludf.DUMMYFUNCTION("GOOGLETRANSLATE(D3334,""PT"",""EN"")"),"Yes, helpful bank")</f>
        <v>Yes, helpful bank</v>
      </c>
    </row>
    <row r="3335" ht="14.25" customHeight="1">
      <c r="A3335" s="1">
        <v>100.0</v>
      </c>
      <c r="B3335" s="1" t="s">
        <v>1340</v>
      </c>
      <c r="C3335" s="1">
        <v>10.0</v>
      </c>
      <c r="D3335" s="2" t="s">
        <v>1476</v>
      </c>
      <c r="E3335" s="1" t="str">
        <f>IFERROR(__xludf.DUMMYFUNCTION("GOOGLETRANSLATE(D3335,""PT"",""EN"")"),"For efficiency in service and agility in the services offered.")</f>
        <v>For efficiency in service and agility in the services offered.</v>
      </c>
    </row>
    <row r="3336" ht="14.25" customHeight="1">
      <c r="A3336" s="1">
        <v>100.0</v>
      </c>
      <c r="B3336" s="1" t="s">
        <v>1340</v>
      </c>
      <c r="C3336" s="1">
        <v>10.0</v>
      </c>
      <c r="D3336" s="2" t="s">
        <v>1477</v>
      </c>
      <c r="E3336" s="1" t="str">
        <f>IFERROR(__xludf.DUMMYFUNCTION("GOOGLETRANSLATE(D3336,""PT"",""EN"")"),"Ease is competence!")</f>
        <v>Ease is competence!</v>
      </c>
    </row>
    <row r="3337" ht="14.25" customHeight="1">
      <c r="A3337" s="1">
        <v>100.0</v>
      </c>
      <c r="B3337" s="1" t="s">
        <v>1340</v>
      </c>
      <c r="C3337" s="1">
        <v>10.0</v>
      </c>
      <c r="D3337" s="1" t="s">
        <v>6</v>
      </c>
      <c r="E3337" s="1"/>
    </row>
    <row r="3338" ht="14.25" customHeight="1">
      <c r="A3338" s="1">
        <v>100.0</v>
      </c>
      <c r="B3338" s="1" t="s">
        <v>1340</v>
      </c>
      <c r="C3338" s="1">
        <v>10.0</v>
      </c>
      <c r="D3338" s="2" t="s">
        <v>1478</v>
      </c>
      <c r="E3338" s="1" t="str">
        <f>IFERROR(__xludf.DUMMYFUNCTION("GOOGLETRANSLATE(D3338,""PT"",""EN"")"),"Practical is safe")</f>
        <v>Practical is safe</v>
      </c>
    </row>
    <row r="3339" ht="14.25" customHeight="1">
      <c r="A3339" s="1">
        <v>100.0</v>
      </c>
      <c r="B3339" s="1" t="s">
        <v>1340</v>
      </c>
      <c r="C3339" s="1">
        <v>10.0</v>
      </c>
      <c r="D3339" s="1" t="s">
        <v>6</v>
      </c>
      <c r="E3339" s="1"/>
    </row>
    <row r="3340" ht="14.25" customHeight="1">
      <c r="A3340" s="1">
        <v>33.0</v>
      </c>
      <c r="B3340" s="1" t="s">
        <v>1340</v>
      </c>
      <c r="C3340" s="1">
        <v>5.0</v>
      </c>
      <c r="D3340" s="2" t="s">
        <v>1479</v>
      </c>
      <c r="E3340" s="1" t="str">
        <f>IFERROR(__xludf.DUMMYFUNCTION("GOOGLETRANSLATE(D3340,""PT"",""EN"")"),"Little attention with the customer")</f>
        <v>Little attention with the customer</v>
      </c>
    </row>
    <row r="3341" ht="14.25" customHeight="1">
      <c r="A3341" s="1">
        <v>100.0</v>
      </c>
      <c r="B3341" s="1" t="s">
        <v>1340</v>
      </c>
      <c r="C3341" s="1">
        <v>9.0</v>
      </c>
      <c r="D3341" s="1" t="s">
        <v>6</v>
      </c>
      <c r="E3341" s="1"/>
    </row>
    <row r="3342" ht="14.25" customHeight="1">
      <c r="A3342" s="1">
        <v>33.0</v>
      </c>
      <c r="B3342" s="1" t="s">
        <v>1340</v>
      </c>
      <c r="C3342" s="1">
        <v>1.0</v>
      </c>
      <c r="D3342" s="2" t="s">
        <v>1480</v>
      </c>
      <c r="E3342" s="1" t="str">
        <f>IFERROR(__xludf.DUMMYFUNCTION("GOOGLETRANSLATE(D3342,""PT"",""EN"")"),"Pessimal service, is the Sicoob app is no good.")</f>
        <v>Pessimal service, is the Sicoob app is no good.</v>
      </c>
    </row>
    <row r="3343" ht="14.25" customHeight="1">
      <c r="A3343" s="1">
        <v>100.0</v>
      </c>
      <c r="B3343" s="1" t="s">
        <v>1340</v>
      </c>
      <c r="C3343" s="1">
        <v>10.0</v>
      </c>
      <c r="D3343" s="1" t="s">
        <v>6</v>
      </c>
      <c r="E3343" s="1"/>
    </row>
    <row r="3344" ht="14.25" customHeight="1">
      <c r="A3344" s="1">
        <v>100.0</v>
      </c>
      <c r="B3344" s="1" t="s">
        <v>1340</v>
      </c>
      <c r="C3344" s="1">
        <v>10.0</v>
      </c>
      <c r="D3344" s="1" t="s">
        <v>6</v>
      </c>
      <c r="E3344" s="1"/>
    </row>
    <row r="3345" ht="14.25" customHeight="1">
      <c r="A3345" s="1">
        <v>100.0</v>
      </c>
      <c r="B3345" s="1" t="s">
        <v>1340</v>
      </c>
      <c r="C3345" s="1">
        <v>10.0</v>
      </c>
      <c r="D3345" s="1" t="s">
        <v>6</v>
      </c>
      <c r="E3345" s="1"/>
    </row>
    <row r="3346" ht="14.25" customHeight="1">
      <c r="A3346" s="1">
        <v>33.0</v>
      </c>
      <c r="B3346" s="1" t="s">
        <v>1340</v>
      </c>
      <c r="C3346" s="1">
        <v>0.0</v>
      </c>
      <c r="D3346" s="1" t="s">
        <v>6</v>
      </c>
      <c r="E3346" s="1"/>
    </row>
    <row r="3347" ht="14.25" customHeight="1">
      <c r="A3347" s="1">
        <v>100.0</v>
      </c>
      <c r="B3347" s="1" t="s">
        <v>1340</v>
      </c>
      <c r="C3347" s="1">
        <v>9.0</v>
      </c>
      <c r="D3347" s="1" t="s">
        <v>6</v>
      </c>
      <c r="E3347" s="1"/>
    </row>
    <row r="3348" ht="14.25" customHeight="1">
      <c r="A3348" s="1">
        <v>66.0</v>
      </c>
      <c r="B3348" s="1" t="s">
        <v>1340</v>
      </c>
      <c r="C3348" s="1">
        <v>7.0</v>
      </c>
      <c r="D3348" s="1" t="s">
        <v>6</v>
      </c>
      <c r="E3348" s="1"/>
    </row>
    <row r="3349" ht="14.25" customHeight="1">
      <c r="A3349" s="1">
        <v>33.0</v>
      </c>
      <c r="B3349" s="1" t="s">
        <v>1340</v>
      </c>
      <c r="C3349" s="1">
        <v>0.0</v>
      </c>
      <c r="D3349" s="1" t="s">
        <v>6</v>
      </c>
      <c r="E3349" s="1"/>
    </row>
    <row r="3350" ht="14.25" customHeight="1">
      <c r="A3350" s="1">
        <v>100.0</v>
      </c>
      <c r="B3350" s="1" t="s">
        <v>1340</v>
      </c>
      <c r="C3350" s="1">
        <v>10.0</v>
      </c>
      <c r="D3350" s="1" t="s">
        <v>6</v>
      </c>
      <c r="E3350" s="1"/>
    </row>
    <row r="3351" ht="14.25" customHeight="1">
      <c r="A3351" s="1">
        <v>100.0</v>
      </c>
      <c r="B3351" s="1" t="s">
        <v>1340</v>
      </c>
      <c r="C3351" s="1">
        <v>9.0</v>
      </c>
      <c r="D3351" s="1" t="s">
        <v>6</v>
      </c>
      <c r="E3351" s="1"/>
    </row>
    <row r="3352" ht="14.25" customHeight="1">
      <c r="A3352" s="1">
        <v>33.0</v>
      </c>
      <c r="B3352" s="1" t="s">
        <v>1340</v>
      </c>
      <c r="C3352" s="1">
        <v>0.0</v>
      </c>
      <c r="D3352" s="2" t="s">
        <v>1481</v>
      </c>
      <c r="E3352" s="1" t="str">
        <f>IFERROR(__xludf.DUMMYFUNCTION("GOOGLETRANSLATE(D3352,""PT"",""EN"")"),"Offers nothing to your customer")</f>
        <v>Offers nothing to your customer</v>
      </c>
    </row>
    <row r="3353" ht="14.25" customHeight="1">
      <c r="A3353" s="1">
        <v>100.0</v>
      </c>
      <c r="B3353" s="1" t="s">
        <v>1340</v>
      </c>
      <c r="C3353" s="1">
        <v>10.0</v>
      </c>
      <c r="D3353" s="1" t="s">
        <v>1482</v>
      </c>
      <c r="E3353" s="1" t="str">
        <f>IFERROR(__xludf.DUMMYFUNCTION("GOOGLETRANSLATE(D3353,""PT"",""EN"")"),"Practically for the services provided.")</f>
        <v>Practically for the services provided.</v>
      </c>
    </row>
    <row r="3354" ht="14.25" customHeight="1">
      <c r="A3354" s="1">
        <v>100.0</v>
      </c>
      <c r="B3354" s="1" t="s">
        <v>1340</v>
      </c>
      <c r="C3354" s="1">
        <v>10.0</v>
      </c>
      <c r="D3354" s="1" t="s">
        <v>1483</v>
      </c>
      <c r="E3354" s="1" t="str">
        <f>IFERROR(__xludf.DUMMYFUNCTION("GOOGLETRANSLATE(D3354,""PT"",""EN"")"),"The great service")</f>
        <v>The great service</v>
      </c>
    </row>
    <row r="3355" ht="14.25" customHeight="1">
      <c r="A3355" s="1">
        <v>33.0</v>
      </c>
      <c r="B3355" s="1" t="s">
        <v>1340</v>
      </c>
      <c r="C3355" s="1">
        <v>2.0</v>
      </c>
      <c r="D3355" s="1" t="s">
        <v>6</v>
      </c>
      <c r="E3355" s="1"/>
    </row>
    <row r="3356" ht="14.25" customHeight="1">
      <c r="A3356" s="1">
        <v>100.0</v>
      </c>
      <c r="B3356" s="1" t="s">
        <v>1340</v>
      </c>
      <c r="C3356" s="1">
        <v>10.0</v>
      </c>
      <c r="D3356" s="1" t="s">
        <v>6</v>
      </c>
      <c r="E3356" s="1"/>
    </row>
    <row r="3357" ht="14.25" customHeight="1">
      <c r="A3357" s="1">
        <v>100.0</v>
      </c>
      <c r="B3357" s="1" t="s">
        <v>1340</v>
      </c>
      <c r="C3357" s="1">
        <v>10.0</v>
      </c>
      <c r="D3357" s="1" t="s">
        <v>1484</v>
      </c>
      <c r="E3357" s="1" t="str">
        <f>IFERROR(__xludf.DUMMYFUNCTION("GOOGLETRANSLATE(D3357,""PT"",""EN"")"),"The cooperative's commitment to the others.")</f>
        <v>The cooperative's commitment to the others.</v>
      </c>
    </row>
    <row r="3358" ht="14.25" customHeight="1">
      <c r="A3358" s="1">
        <v>33.0</v>
      </c>
      <c r="B3358" s="1" t="s">
        <v>1340</v>
      </c>
      <c r="C3358" s="1">
        <v>6.0</v>
      </c>
      <c r="D3358" s="1" t="s">
        <v>1485</v>
      </c>
      <c r="E3358" s="1" t="str">
        <f>IFERROR(__xludf.DUMMYFUNCTION("GOOGLETRANSLATE(D3358,""PT"",""EN"")"),"Yes")</f>
        <v>Yes</v>
      </c>
    </row>
    <row r="3359" ht="14.25" customHeight="1">
      <c r="A3359" s="1">
        <v>100.0</v>
      </c>
      <c r="B3359" s="1" t="s">
        <v>1340</v>
      </c>
      <c r="C3359" s="1">
        <v>10.0</v>
      </c>
      <c r="D3359" s="1" t="s">
        <v>6</v>
      </c>
      <c r="E3359" s="1"/>
    </row>
    <row r="3360" ht="14.25" customHeight="1">
      <c r="A3360" s="1">
        <v>100.0</v>
      </c>
      <c r="B3360" s="1" t="s">
        <v>1340</v>
      </c>
      <c r="C3360" s="1">
        <v>9.0</v>
      </c>
      <c r="D3360" s="2" t="s">
        <v>1486</v>
      </c>
      <c r="E3360" s="1" t="str">
        <f>IFERROR(__xludf.DUMMYFUNCTION("GOOGLETRANSLATE(D3360,""PT"",""EN"")"),"I was one of the founders of Unicred, today Sicoob. Today all financial movement we do with our credit cooperative.")</f>
        <v>I was one of the founders of Unicred, today Sicoob. Today all financial movement we do with our credit cooperative.</v>
      </c>
    </row>
    <row r="3361" ht="14.25" customHeight="1">
      <c r="A3361" s="1">
        <v>100.0</v>
      </c>
      <c r="B3361" s="1" t="s">
        <v>1340</v>
      </c>
      <c r="C3361" s="1">
        <v>9.0</v>
      </c>
      <c r="D3361" s="1" t="s">
        <v>6</v>
      </c>
      <c r="E3361" s="1"/>
    </row>
    <row r="3362" ht="14.25" customHeight="1">
      <c r="A3362" s="1">
        <v>33.0</v>
      </c>
      <c r="B3362" s="1" t="s">
        <v>1340</v>
      </c>
      <c r="C3362" s="1">
        <v>5.0</v>
      </c>
      <c r="D3362" s="2" t="s">
        <v>1487</v>
      </c>
      <c r="E3362" s="1" t="str">
        <f>IFERROR(__xludf.DUMMYFUNCTION("GOOGLETRANSLATE(D3362,""PT"",""EN"")"),"In my case the Sicred. It became a common bank, the member is simply an account holder")</f>
        <v>In my case the Sicred. It became a common bank, the member is simply an account holder</v>
      </c>
    </row>
    <row r="3363" ht="14.25" customHeight="1">
      <c r="A3363" s="1">
        <v>66.0</v>
      </c>
      <c r="B3363" s="1" t="s">
        <v>1340</v>
      </c>
      <c r="C3363" s="1">
        <v>8.0</v>
      </c>
      <c r="D3363" s="1" t="s">
        <v>1488</v>
      </c>
      <c r="E3363" s="1" t="str">
        <f>IFERROR(__xludf.DUMMYFUNCTION("GOOGLETRANSLATE(D3363,""PT"",""EN"")"),"Good relationship with my manager")</f>
        <v>Good relationship with my manager</v>
      </c>
    </row>
    <row r="3364" ht="14.25" customHeight="1">
      <c r="A3364" s="1">
        <v>100.0</v>
      </c>
      <c r="B3364" s="1" t="s">
        <v>1340</v>
      </c>
      <c r="C3364" s="1">
        <v>9.0</v>
      </c>
      <c r="D3364" s="1" t="s">
        <v>6</v>
      </c>
      <c r="E3364" s="1"/>
    </row>
    <row r="3365" ht="14.25" customHeight="1">
      <c r="A3365" s="1">
        <v>100.0</v>
      </c>
      <c r="B3365" s="1" t="s">
        <v>1340</v>
      </c>
      <c r="C3365" s="1">
        <v>10.0</v>
      </c>
      <c r="D3365" s="1" t="s">
        <v>6</v>
      </c>
      <c r="E3365" s="1"/>
    </row>
    <row r="3366" ht="14.25" customHeight="1">
      <c r="A3366" s="1">
        <v>100.0</v>
      </c>
      <c r="B3366" s="1" t="s">
        <v>1340</v>
      </c>
      <c r="C3366" s="1">
        <v>10.0</v>
      </c>
      <c r="D3366" s="2" t="s">
        <v>1489</v>
      </c>
      <c r="E3366" s="1" t="str">
        <f>IFERROR(__xludf.DUMMYFUNCTION("GOOGLETRANSLATE(D3366,""PT"",""EN"")"),"The service is very good a lot of attention is explanation is very fast")</f>
        <v>The service is very good a lot of attention is explanation is very fast</v>
      </c>
    </row>
    <row r="3367" ht="14.25" customHeight="1">
      <c r="A3367" s="1">
        <v>66.0</v>
      </c>
      <c r="B3367" s="1" t="s">
        <v>1340</v>
      </c>
      <c r="C3367" s="1">
        <v>8.0</v>
      </c>
      <c r="D3367" s="1" t="s">
        <v>1490</v>
      </c>
      <c r="E3367" s="1" t="str">
        <f>IFERROR(__xludf.DUMMYFUNCTION("GOOGLETRANSLATE(D3367,""PT"",""EN"")"),"Cooperation/Friendships")</f>
        <v>Cooperation/Friendships</v>
      </c>
    </row>
    <row r="3368" ht="14.25" customHeight="1">
      <c r="A3368" s="1">
        <v>100.0</v>
      </c>
      <c r="B3368" s="1" t="s">
        <v>1340</v>
      </c>
      <c r="C3368" s="1">
        <v>10.0</v>
      </c>
      <c r="D3368" s="1" t="s">
        <v>6</v>
      </c>
      <c r="E3368" s="1"/>
    </row>
    <row r="3369" ht="14.25" customHeight="1">
      <c r="A3369" s="1">
        <v>100.0</v>
      </c>
      <c r="B3369" s="1" t="s">
        <v>1340</v>
      </c>
      <c r="C3369" s="1">
        <v>10.0</v>
      </c>
      <c r="D3369" s="1" t="s">
        <v>1491</v>
      </c>
      <c r="E3369" s="1" t="str">
        <f>IFERROR(__xludf.DUMMYFUNCTION("GOOGLETRANSLATE(D3369,""PT"",""EN"")"),"Credibility confidence.")</f>
        <v>Credibility confidence.</v>
      </c>
    </row>
    <row r="3370" ht="14.25" customHeight="1">
      <c r="A3370" s="1">
        <v>100.0</v>
      </c>
      <c r="B3370" s="1" t="s">
        <v>1340</v>
      </c>
      <c r="C3370" s="1">
        <v>10.0</v>
      </c>
      <c r="D3370" s="1" t="s">
        <v>693</v>
      </c>
      <c r="E3370" s="1" t="str">
        <f>IFERROR(__xludf.DUMMYFUNCTION("GOOGLETRANSLATE(D3370,""PT"",""EN"")"),"Low interest")</f>
        <v>Low interest</v>
      </c>
    </row>
    <row r="3371" ht="14.25" customHeight="1">
      <c r="A3371" s="1">
        <v>100.0</v>
      </c>
      <c r="B3371" s="1" t="s">
        <v>1340</v>
      </c>
      <c r="C3371" s="1">
        <v>10.0</v>
      </c>
      <c r="D3371" s="1" t="s">
        <v>1492</v>
      </c>
      <c r="E3371" s="1" t="str">
        <f>IFERROR(__xludf.DUMMYFUNCTION("GOOGLETRANSLATE(D3371,""PT"",""EN"")"),"Satisfaction with the bank bond")</f>
        <v>Satisfaction with the bank bond</v>
      </c>
    </row>
    <row r="3372" ht="14.25" customHeight="1">
      <c r="A3372" s="1">
        <v>66.0</v>
      </c>
      <c r="B3372" s="1" t="s">
        <v>1340</v>
      </c>
      <c r="C3372" s="1">
        <v>7.0</v>
      </c>
      <c r="D3372" s="2" t="s">
        <v>1493</v>
      </c>
      <c r="E3372" s="1" t="str">
        <f>IFERROR(__xludf.DUMMYFUNCTION("GOOGLETRANSLATE(D3372,""PT"",""EN"")"),"The rates and interest are low which is very good, but access to financing is difficult")</f>
        <v>The rates and interest are low which is very good, but access to financing is difficult</v>
      </c>
    </row>
    <row r="3373" ht="14.25" customHeight="1">
      <c r="A3373" s="1">
        <v>66.0</v>
      </c>
      <c r="B3373" s="1" t="s">
        <v>1340</v>
      </c>
      <c r="C3373" s="1">
        <v>8.0</v>
      </c>
      <c r="D3373" s="1" t="s">
        <v>62</v>
      </c>
      <c r="E3373" s="1" t="str">
        <f>IFERROR(__xludf.DUMMYFUNCTION("GOOGLETRANSLATE(D3373,""PT"",""EN"")"),"Good service")</f>
        <v>Good service</v>
      </c>
    </row>
    <row r="3374" ht="14.25" customHeight="1">
      <c r="A3374" s="1">
        <v>100.0</v>
      </c>
      <c r="B3374" s="1" t="s">
        <v>1340</v>
      </c>
      <c r="C3374" s="1">
        <v>10.0</v>
      </c>
      <c r="D3374" s="1" t="s">
        <v>1494</v>
      </c>
      <c r="E3374" s="1" t="str">
        <f>IFERROR(__xludf.DUMMYFUNCTION("GOOGLETRANSLATE(D3374,""PT"",""EN"")"),"Easy access to digital platforms")</f>
        <v>Easy access to digital platforms</v>
      </c>
    </row>
    <row r="3375" ht="14.25" customHeight="1">
      <c r="A3375" s="1">
        <v>100.0</v>
      </c>
      <c r="B3375" s="1" t="s">
        <v>1340</v>
      </c>
      <c r="C3375" s="1">
        <v>10.0</v>
      </c>
      <c r="D3375" s="2" t="s">
        <v>1495</v>
      </c>
      <c r="E3375" s="1" t="str">
        <f>IFERROR(__xludf.DUMMYFUNCTION("GOOGLETRANSLATE(D3375,""PT"",""EN"")"),"Range of advantages and options")</f>
        <v>Range of advantages and options</v>
      </c>
    </row>
    <row r="3376" ht="14.25" customHeight="1">
      <c r="A3376" s="1">
        <v>66.0</v>
      </c>
      <c r="B3376" s="1" t="s">
        <v>1340</v>
      </c>
      <c r="C3376" s="1">
        <v>8.0</v>
      </c>
      <c r="D3376" s="1" t="s">
        <v>6</v>
      </c>
      <c r="E3376" s="1"/>
    </row>
    <row r="3377" ht="14.25" customHeight="1">
      <c r="A3377" s="1">
        <v>100.0</v>
      </c>
      <c r="B3377" s="1" t="s">
        <v>1340</v>
      </c>
      <c r="C3377" s="1">
        <v>10.0</v>
      </c>
      <c r="D3377" s="1" t="s">
        <v>6</v>
      </c>
      <c r="E3377" s="1"/>
    </row>
    <row r="3378" ht="14.25" customHeight="1">
      <c r="A3378" s="1">
        <v>33.0</v>
      </c>
      <c r="B3378" s="1" t="s">
        <v>1340</v>
      </c>
      <c r="C3378" s="1">
        <v>5.0</v>
      </c>
      <c r="D3378" s="1" t="s">
        <v>1496</v>
      </c>
      <c r="E3378" s="1" t="str">
        <f>IFERROR(__xludf.DUMMYFUNCTION("GOOGLETRANSLATE(D3378,""PT"",""EN"")"),"Everything I need I have to put my money there so I can borrow. Does it compensate")</f>
        <v>Everything I need I have to put my money there so I can borrow. Does it compensate</v>
      </c>
    </row>
    <row r="3379" ht="14.25" customHeight="1">
      <c r="A3379" s="1">
        <v>100.0</v>
      </c>
      <c r="B3379" s="1" t="s">
        <v>1340</v>
      </c>
      <c r="C3379" s="1">
        <v>10.0</v>
      </c>
      <c r="D3379" s="1" t="s">
        <v>6</v>
      </c>
      <c r="E3379" s="1"/>
    </row>
    <row r="3380" ht="14.25" customHeight="1">
      <c r="A3380" s="1">
        <v>100.0</v>
      </c>
      <c r="B3380" s="1" t="s">
        <v>1340</v>
      </c>
      <c r="C3380" s="1">
        <v>10.0</v>
      </c>
      <c r="D3380" s="2" t="s">
        <v>1497</v>
      </c>
      <c r="E3380" s="1" t="str">
        <f>IFERROR(__xludf.DUMMYFUNCTION("GOOGLETRANSLATE(D3380,""PT"",""EN"")"),"efficiency, team cordiality")</f>
        <v>efficiency, team cordiality</v>
      </c>
    </row>
    <row r="3381" ht="14.25" customHeight="1">
      <c r="A3381" s="1">
        <v>100.0</v>
      </c>
      <c r="B3381" s="1" t="s">
        <v>1340</v>
      </c>
      <c r="C3381" s="1">
        <v>10.0</v>
      </c>
      <c r="D3381" s="1" t="s">
        <v>1498</v>
      </c>
      <c r="E3381" s="1" t="str">
        <f>IFERROR(__xludf.DUMMYFUNCTION("GOOGLETRANSLATE(D3381,""PT"",""EN"")"),"ATTENSARY TEAM OF 3333")</f>
        <v>ATTENSARY TEAM OF 3333</v>
      </c>
    </row>
    <row r="3382" ht="14.25" customHeight="1">
      <c r="A3382" s="1">
        <v>100.0</v>
      </c>
      <c r="B3382" s="1" t="s">
        <v>1340</v>
      </c>
      <c r="C3382" s="1">
        <v>10.0</v>
      </c>
      <c r="D3382" s="1" t="s">
        <v>365</v>
      </c>
      <c r="E3382" s="1" t="str">
        <f>IFERROR(__xludf.DUMMYFUNCTION("GOOGLETRANSLATE(D3382,""PT"",""EN"")"),"satisfaction")</f>
        <v>satisfaction</v>
      </c>
    </row>
    <row r="3383" ht="14.25" customHeight="1">
      <c r="A3383" s="1">
        <v>100.0</v>
      </c>
      <c r="B3383" s="1" t="s">
        <v>1340</v>
      </c>
      <c r="C3383" s="1">
        <v>9.0</v>
      </c>
      <c r="D3383" s="2" t="s">
        <v>1499</v>
      </c>
      <c r="E3383" s="1" t="str">
        <f>IFERROR(__xludf.DUMMYFUNCTION("GOOGLETRANSLATE(D3383,""PT"",""EN"")"),"Mto good is easy to use is to be answered!")</f>
        <v>Mto good is easy to use is to be answered!</v>
      </c>
    </row>
    <row r="3384" ht="14.25" customHeight="1">
      <c r="A3384" s="1">
        <v>100.0</v>
      </c>
      <c r="B3384" s="1" t="s">
        <v>1340</v>
      </c>
      <c r="C3384" s="1">
        <v>10.0</v>
      </c>
      <c r="D3384" s="2" t="s">
        <v>1500</v>
      </c>
      <c r="E3384" s="1" t="str">
        <f>IFERROR(__xludf.DUMMYFUNCTION("GOOGLETRANSLATE(D3384,""PT"",""EN"")"),"Institution that is still close to the account holder.")</f>
        <v>Institution that is still close to the account holder.</v>
      </c>
    </row>
    <row r="3385" ht="14.25" customHeight="1">
      <c r="A3385" s="1">
        <v>33.0</v>
      </c>
      <c r="B3385" s="1" t="s">
        <v>1340</v>
      </c>
      <c r="C3385" s="1">
        <v>6.0</v>
      </c>
      <c r="D3385" s="1" t="s">
        <v>6</v>
      </c>
      <c r="E3385" s="1"/>
    </row>
    <row r="3386" ht="14.25" customHeight="1">
      <c r="A3386" s="1">
        <v>100.0</v>
      </c>
      <c r="B3386" s="1" t="s">
        <v>1340</v>
      </c>
      <c r="C3386" s="1">
        <v>10.0</v>
      </c>
      <c r="D3386" s="1" t="s">
        <v>6</v>
      </c>
      <c r="E3386" s="1"/>
    </row>
    <row r="3387" ht="14.25" customHeight="1">
      <c r="A3387" s="1">
        <v>100.0</v>
      </c>
      <c r="B3387" s="1" t="s">
        <v>1340</v>
      </c>
      <c r="C3387" s="1">
        <v>10.0</v>
      </c>
      <c r="D3387" s="1" t="s">
        <v>6</v>
      </c>
      <c r="E3387" s="1"/>
    </row>
    <row r="3388" ht="14.25" customHeight="1">
      <c r="A3388" s="1">
        <v>100.0</v>
      </c>
      <c r="B3388" s="1" t="s">
        <v>1340</v>
      </c>
      <c r="C3388" s="1">
        <v>10.0</v>
      </c>
      <c r="D3388" s="1" t="s">
        <v>6</v>
      </c>
      <c r="E3388" s="1"/>
    </row>
    <row r="3389" ht="14.25" customHeight="1">
      <c r="A3389" s="1">
        <v>100.0</v>
      </c>
      <c r="B3389" s="1" t="s">
        <v>1340</v>
      </c>
      <c r="C3389" s="1">
        <v>10.0</v>
      </c>
      <c r="D3389" s="1" t="s">
        <v>1501</v>
      </c>
      <c r="E3389" s="1" t="str">
        <f>IFERROR(__xludf.DUMMYFUNCTION("GOOGLETRANSLATE(D3389,""PT"",""EN"")"),"Relationship with Bank Team")</f>
        <v>Relationship with Bank Team</v>
      </c>
    </row>
    <row r="3390" ht="14.25" customHeight="1">
      <c r="A3390" s="1">
        <v>33.0</v>
      </c>
      <c r="B3390" s="1" t="s">
        <v>1340</v>
      </c>
      <c r="C3390" s="1">
        <v>4.0</v>
      </c>
      <c r="D3390" s="2" t="s">
        <v>1502</v>
      </c>
      <c r="E3390" s="1" t="str">
        <f>IFERROR(__xludf.DUMMYFUNCTION("GOOGLETRANSLATE(D3390,""PT"",""EN"")"),"Credit card service is very bad, the contests of fraudulent debts are difficult, complicated, solutions are very long. The registration sector is another bad factor, suspend online access, because they require, outside law, certificates for an indefinite "&amp;"period the power of attorney are paralleys, qq person has access. Why do I have to satisfy unilateral demands from Sicoob, totally out of law?")</f>
        <v>Credit card service is very bad, the contests of fraudulent debts are difficult, complicated, solutions are very long. The registration sector is another bad factor, suspend online access, because they require, outside law, certificates for an indefinite period the power of attorney are paralleys, qq person has access. Why do I have to satisfy unilateral demands from Sicoob, totally out of law?</v>
      </c>
    </row>
    <row r="3391" ht="14.25" customHeight="1">
      <c r="A3391" s="1">
        <v>100.0</v>
      </c>
      <c r="B3391" s="1" t="s">
        <v>1340</v>
      </c>
      <c r="C3391" s="1">
        <v>10.0</v>
      </c>
      <c r="D3391" s="1" t="s">
        <v>6</v>
      </c>
      <c r="E3391" s="1"/>
    </row>
    <row r="3392" ht="14.25" customHeight="1">
      <c r="A3392" s="1">
        <v>100.0</v>
      </c>
      <c r="B3392" s="1" t="s">
        <v>1340</v>
      </c>
      <c r="C3392" s="1">
        <v>9.0</v>
      </c>
      <c r="D3392" s="2" t="s">
        <v>1503</v>
      </c>
      <c r="E3392" s="1" t="str">
        <f>IFERROR(__xludf.DUMMYFUNCTION("GOOGLETRANSLATE(D3392,""PT"",""EN"")"),"Total service in my needs !!!! My manager is note 1000")</f>
        <v>Total service in my needs !!!! My manager is note 1000</v>
      </c>
    </row>
    <row r="3393" ht="14.25" customHeight="1">
      <c r="A3393" s="1">
        <v>33.0</v>
      </c>
      <c r="B3393" s="1" t="s">
        <v>1340</v>
      </c>
      <c r="C3393" s="1">
        <v>1.0</v>
      </c>
      <c r="D3393" s="2" t="s">
        <v>1504</v>
      </c>
      <c r="E3393" s="1" t="str">
        <f>IFERROR(__xludf.DUMMYFUNCTION("GOOGLETRANSLATE(D3393,""PT"",""EN"")"),"I ended my account in Sicoob is not returned the initial contribution. I just change this note after my money returns to me. My contact is 62 98189-7755 Leandro")</f>
        <v>I ended my account in Sicoob is not returned the initial contribution. I just change this note after my money returns to me. My contact is 62 98189-7755 Leandro</v>
      </c>
    </row>
    <row r="3394" ht="14.25" customHeight="1">
      <c r="A3394" s="1">
        <v>100.0</v>
      </c>
      <c r="B3394" s="1" t="s">
        <v>1340</v>
      </c>
      <c r="C3394" s="1">
        <v>9.0</v>
      </c>
      <c r="D3394" s="1" t="s">
        <v>6</v>
      </c>
      <c r="E3394" s="1"/>
    </row>
    <row r="3395" ht="14.25" customHeight="1">
      <c r="A3395" s="1">
        <v>33.0</v>
      </c>
      <c r="B3395" s="1" t="s">
        <v>1340</v>
      </c>
      <c r="C3395" s="1">
        <v>0.0</v>
      </c>
      <c r="D3395" s="1" t="s">
        <v>6</v>
      </c>
      <c r="E3395" s="1"/>
    </row>
    <row r="3396" ht="14.25" customHeight="1">
      <c r="A3396" s="1">
        <v>100.0</v>
      </c>
      <c r="B3396" s="1" t="s">
        <v>1340</v>
      </c>
      <c r="C3396" s="1">
        <v>10.0</v>
      </c>
      <c r="D3396" s="2" t="s">
        <v>1505</v>
      </c>
      <c r="E3396" s="1" t="str">
        <f>IFERROR(__xludf.DUMMYFUNCTION("GOOGLETRANSLATE(D3396,""PT"",""EN"")"),"Service managers is other employees.")</f>
        <v>Service managers is other employees.</v>
      </c>
    </row>
    <row r="3397" ht="14.25" customHeight="1">
      <c r="A3397" s="1">
        <v>100.0</v>
      </c>
      <c r="B3397" s="1" t="s">
        <v>1340</v>
      </c>
      <c r="C3397" s="1">
        <v>9.0</v>
      </c>
      <c r="D3397" s="1" t="s">
        <v>1506</v>
      </c>
      <c r="E3397" s="1" t="str">
        <f>IFERROR(__xludf.DUMMYFUNCTION("GOOGLETRANSLATE(D3397,""PT"",""EN"")"),"Very good, but the app could improve.")</f>
        <v>Very good, but the app could improve.</v>
      </c>
    </row>
    <row r="3398" ht="14.25" customHeight="1">
      <c r="A3398" s="1">
        <v>100.0</v>
      </c>
      <c r="B3398" s="1" t="s">
        <v>1340</v>
      </c>
      <c r="C3398" s="1">
        <v>10.0</v>
      </c>
      <c r="D3398" s="2" t="s">
        <v>1507</v>
      </c>
      <c r="E3398" s="1" t="str">
        <f>IFERROR(__xludf.DUMMYFUNCTION("GOOGLETRANSLATE(D3398,""PT"",""EN"")"),"The reason I chose this note is precisely because Sicoob carries out its members, besides this cooperativism is the way for a fairer financial life, turning dreams into reality, has numerous advantages among them: instead of being a client, Owner, having "&amp;"an active voice is decision -making power, participating in results, growth for all, much closer partnerships, contributing to local development.")</f>
        <v>The reason I chose this note is precisely because Sicoob carries out its members, besides this cooperativism is the way for a fairer financial life, turning dreams into reality, has numerous advantages among them: instead of being a client, Owner, having an active voice is decision -making power, participating in results, growth for all, much closer partnerships, contributing to local development.</v>
      </c>
    </row>
    <row r="3399" ht="14.25" customHeight="1">
      <c r="A3399" s="1">
        <v>66.0</v>
      </c>
      <c r="B3399" s="1" t="s">
        <v>1340</v>
      </c>
      <c r="C3399" s="1">
        <v>8.0</v>
      </c>
      <c r="D3399" s="1" t="s">
        <v>6</v>
      </c>
      <c r="E3399" s="1"/>
    </row>
    <row r="3400" ht="14.25" customHeight="1">
      <c r="A3400" s="1">
        <v>100.0</v>
      </c>
      <c r="B3400" s="1" t="s">
        <v>1340</v>
      </c>
      <c r="C3400" s="1">
        <v>10.0</v>
      </c>
      <c r="D3400" s="1" t="s">
        <v>6</v>
      </c>
      <c r="E3400" s="1"/>
    </row>
    <row r="3401" ht="14.25" customHeight="1">
      <c r="A3401" s="1">
        <v>100.0</v>
      </c>
      <c r="B3401" s="1" t="s">
        <v>1340</v>
      </c>
      <c r="C3401" s="1">
        <v>10.0</v>
      </c>
      <c r="D3401" s="1" t="s">
        <v>6</v>
      </c>
      <c r="E3401" s="1"/>
    </row>
    <row r="3402" ht="14.25" customHeight="1">
      <c r="A3402" s="1">
        <v>100.0</v>
      </c>
      <c r="B3402" s="1" t="s">
        <v>1340</v>
      </c>
      <c r="C3402" s="1">
        <v>10.0</v>
      </c>
      <c r="D3402" s="1" t="s">
        <v>1508</v>
      </c>
      <c r="E3402" s="1" t="str">
        <f>IFERROR(__xludf.DUMMYFUNCTION("GOOGLETRANSLATE(D3402,""PT"",""EN"")"),"Very pleased with all staff, manager etc.")</f>
        <v>Very pleased with all staff, manager etc.</v>
      </c>
    </row>
    <row r="3403" ht="14.25" customHeight="1">
      <c r="A3403" s="1">
        <v>100.0</v>
      </c>
      <c r="B3403" s="1" t="s">
        <v>1340</v>
      </c>
      <c r="C3403" s="1">
        <v>10.0</v>
      </c>
      <c r="D3403" s="1" t="s">
        <v>6</v>
      </c>
      <c r="E3403" s="1"/>
    </row>
    <row r="3404" ht="14.25" customHeight="1">
      <c r="A3404" s="1">
        <v>100.0</v>
      </c>
      <c r="B3404" s="1" t="s">
        <v>1340</v>
      </c>
      <c r="C3404" s="1">
        <v>10.0</v>
      </c>
      <c r="D3404" s="1" t="s">
        <v>6</v>
      </c>
      <c r="E3404" s="1"/>
    </row>
    <row r="3405" ht="14.25" customHeight="1">
      <c r="A3405" s="1">
        <v>100.0</v>
      </c>
      <c r="B3405" s="1" t="s">
        <v>1340</v>
      </c>
      <c r="C3405" s="1">
        <v>10.0</v>
      </c>
      <c r="D3405" s="1" t="s">
        <v>6</v>
      </c>
      <c r="E3405" s="1"/>
    </row>
    <row r="3406" ht="14.25" customHeight="1">
      <c r="A3406" s="1">
        <v>66.0</v>
      </c>
      <c r="B3406" s="1" t="s">
        <v>1340</v>
      </c>
      <c r="C3406" s="1">
        <v>8.0</v>
      </c>
      <c r="D3406" s="2" t="s">
        <v>1509</v>
      </c>
      <c r="E3406" s="1" t="str">
        <f>IFERROR(__xludf.DUMMYFUNCTION("GOOGLETRANSLATE(D3406,""PT"",""EN"")"),"Apart from the bad credit line, the rest is very good…")</f>
        <v>Apart from the bad credit line, the rest is very good…</v>
      </c>
    </row>
    <row r="3407" ht="14.25" customHeight="1">
      <c r="A3407" s="1">
        <v>66.0</v>
      </c>
      <c r="B3407" s="1" t="s">
        <v>1340</v>
      </c>
      <c r="C3407" s="1">
        <v>8.0</v>
      </c>
      <c r="D3407" s="1" t="s">
        <v>6</v>
      </c>
      <c r="E3407" s="1"/>
    </row>
    <row r="3408" ht="14.25" customHeight="1">
      <c r="A3408" s="1">
        <v>33.0</v>
      </c>
      <c r="B3408" s="1" t="s">
        <v>1340</v>
      </c>
      <c r="C3408" s="1">
        <v>6.0</v>
      </c>
      <c r="D3408" s="1" t="s">
        <v>6</v>
      </c>
      <c r="E3408" s="1"/>
    </row>
    <row r="3409" ht="14.25" customHeight="1">
      <c r="A3409" s="1">
        <v>100.0</v>
      </c>
      <c r="B3409" s="1" t="s">
        <v>1340</v>
      </c>
      <c r="C3409" s="1">
        <v>10.0</v>
      </c>
      <c r="D3409" s="1" t="s">
        <v>6</v>
      </c>
      <c r="E3409" s="1"/>
    </row>
    <row r="3410" ht="14.25" customHeight="1">
      <c r="A3410" s="1">
        <v>100.0</v>
      </c>
      <c r="B3410" s="1" t="s">
        <v>1340</v>
      </c>
      <c r="C3410" s="1">
        <v>9.0</v>
      </c>
      <c r="D3410" s="1" t="s">
        <v>1510</v>
      </c>
      <c r="E3410" s="1" t="str">
        <f>IFERROR(__xludf.DUMMYFUNCTION("GOOGLETRANSLATE(D3410,""PT"",""EN"")"),"For the good service,")</f>
        <v>For the good service,</v>
      </c>
    </row>
    <row r="3411" ht="14.25" customHeight="1">
      <c r="A3411" s="1">
        <v>33.0</v>
      </c>
      <c r="B3411" s="1" t="s">
        <v>1340</v>
      </c>
      <c r="C3411" s="1">
        <v>0.0</v>
      </c>
      <c r="D3411" s="1" t="s">
        <v>6</v>
      </c>
      <c r="E3411" s="1"/>
    </row>
    <row r="3412" ht="14.25" customHeight="1">
      <c r="A3412" s="1">
        <v>100.0</v>
      </c>
      <c r="B3412" s="1" t="s">
        <v>1340</v>
      </c>
      <c r="C3412" s="1">
        <v>9.0</v>
      </c>
      <c r="D3412" s="1" t="s">
        <v>1511</v>
      </c>
      <c r="E3412" s="1" t="str">
        <f>IFERROR(__xludf.DUMMYFUNCTION("GOOGLETRANSLATE(D3412,""PT"",""EN"")"),"Little performance of managers in the offer of product products.")</f>
        <v>Little performance of managers in the offer of product products.</v>
      </c>
    </row>
    <row r="3413" ht="14.25" customHeight="1">
      <c r="A3413" s="1">
        <v>33.0</v>
      </c>
      <c r="B3413" s="1" t="s">
        <v>1340</v>
      </c>
      <c r="C3413" s="1">
        <v>5.0</v>
      </c>
      <c r="D3413" s="1" t="s">
        <v>6</v>
      </c>
      <c r="E3413" s="1"/>
    </row>
    <row r="3414" ht="14.25" customHeight="1">
      <c r="A3414" s="1">
        <v>33.0</v>
      </c>
      <c r="B3414" s="1" t="s">
        <v>1340</v>
      </c>
      <c r="C3414" s="1">
        <v>0.0</v>
      </c>
      <c r="D3414" s="1" t="s">
        <v>6</v>
      </c>
      <c r="E3414" s="1"/>
    </row>
    <row r="3415" ht="14.25" customHeight="1">
      <c r="A3415" s="1">
        <v>100.0</v>
      </c>
      <c r="B3415" s="1" t="s">
        <v>1340</v>
      </c>
      <c r="C3415" s="1">
        <v>10.0</v>
      </c>
      <c r="D3415" s="1" t="s">
        <v>6</v>
      </c>
      <c r="E3415" s="1"/>
    </row>
    <row r="3416" ht="14.25" customHeight="1">
      <c r="A3416" s="1">
        <v>33.0</v>
      </c>
      <c r="B3416" s="1" t="s">
        <v>1340</v>
      </c>
      <c r="C3416" s="1">
        <v>1.0</v>
      </c>
      <c r="D3416" s="1" t="s">
        <v>1512</v>
      </c>
      <c r="E3416" s="1" t="str">
        <f>IFERROR(__xludf.DUMMYFUNCTION("GOOGLETRANSLATE(D3416,""PT"",""EN"")"),"No relationship with the customer")</f>
        <v>No relationship with the customer</v>
      </c>
    </row>
    <row r="3417" ht="14.25" customHeight="1">
      <c r="A3417" s="1">
        <v>33.0</v>
      </c>
      <c r="B3417" s="1" t="s">
        <v>1340</v>
      </c>
      <c r="C3417" s="1">
        <v>5.0</v>
      </c>
      <c r="D3417" s="2" t="s">
        <v>1513</v>
      </c>
      <c r="E3417" s="1" t="str">
        <f>IFERROR(__xludf.DUMMYFUNCTION("GOOGLETRANSLATE(D3417,""PT"",""EN"")"),"I have always been right with the cooperative. For still they do not trust us to generate a better credit.")</f>
        <v>I have always been right with the cooperative. For still they do not trust us to generate a better credit.</v>
      </c>
    </row>
    <row r="3418" ht="14.25" customHeight="1">
      <c r="A3418" s="1">
        <v>100.0</v>
      </c>
      <c r="B3418" s="1" t="s">
        <v>1340</v>
      </c>
      <c r="C3418" s="1">
        <v>10.0</v>
      </c>
      <c r="D3418" s="1" t="s">
        <v>6</v>
      </c>
      <c r="E3418" s="1"/>
    </row>
    <row r="3419" ht="14.25" customHeight="1">
      <c r="A3419" s="1">
        <v>100.0</v>
      </c>
      <c r="B3419" s="1" t="s">
        <v>1340</v>
      </c>
      <c r="C3419" s="1">
        <v>10.0</v>
      </c>
      <c r="D3419" s="1" t="s">
        <v>1514</v>
      </c>
      <c r="E3419" s="1" t="str">
        <f>IFERROR(__xludf.DUMMYFUNCTION("GOOGLETRANSLATE(D3419,""PT"",""EN"")"),"Satisfied")</f>
        <v>Satisfied</v>
      </c>
    </row>
    <row r="3420" ht="14.25" customHeight="1">
      <c r="A3420" s="1">
        <v>100.0</v>
      </c>
      <c r="B3420" s="1" t="s">
        <v>1340</v>
      </c>
      <c r="C3420" s="1">
        <v>10.0</v>
      </c>
      <c r="D3420" s="1" t="s">
        <v>6</v>
      </c>
      <c r="E3420" s="1"/>
    </row>
    <row r="3421" ht="14.25" customHeight="1">
      <c r="A3421" s="1">
        <v>100.0</v>
      </c>
      <c r="B3421" s="1" t="s">
        <v>1340</v>
      </c>
      <c r="C3421" s="1">
        <v>10.0</v>
      </c>
      <c r="D3421" s="1" t="s">
        <v>6</v>
      </c>
      <c r="E3421" s="1"/>
    </row>
    <row r="3422" ht="14.25" customHeight="1">
      <c r="A3422" s="1">
        <v>100.0</v>
      </c>
      <c r="B3422" s="1" t="s">
        <v>1340</v>
      </c>
      <c r="C3422" s="1">
        <v>10.0</v>
      </c>
      <c r="D3422" s="1" t="s">
        <v>6</v>
      </c>
      <c r="E3422" s="1"/>
    </row>
    <row r="3423" ht="14.25" customHeight="1">
      <c r="A3423" s="1">
        <v>100.0</v>
      </c>
      <c r="B3423" s="1" t="s">
        <v>1340</v>
      </c>
      <c r="C3423" s="1">
        <v>10.0</v>
      </c>
      <c r="D3423" s="1" t="s">
        <v>9</v>
      </c>
      <c r="E3423" s="1" t="str">
        <f>IFERROR(__xludf.DUMMYFUNCTION("GOOGLETRANSLATE(D3423,""PT"",""EN"")"),"10")</f>
        <v>10</v>
      </c>
    </row>
    <row r="3424" ht="14.25" customHeight="1">
      <c r="A3424" s="1">
        <v>100.0</v>
      </c>
      <c r="B3424" s="1" t="s">
        <v>1340</v>
      </c>
      <c r="C3424" s="1">
        <v>10.0</v>
      </c>
      <c r="D3424" s="2" t="s">
        <v>1515</v>
      </c>
      <c r="E3424" s="1" t="str">
        <f>IFERROR(__xludf.DUMMYFUNCTION("GOOGLETRANSLATE(D3424,""PT"",""EN"")"),"Service of boxes, managers, all very available and professional")</f>
        <v>Service of boxes, managers, all very available and professional</v>
      </c>
    </row>
    <row r="3425" ht="14.25" customHeight="1">
      <c r="A3425" s="1">
        <v>100.0</v>
      </c>
      <c r="B3425" s="1" t="s">
        <v>1340</v>
      </c>
      <c r="C3425" s="1">
        <v>10.0</v>
      </c>
      <c r="D3425" s="1" t="s">
        <v>593</v>
      </c>
      <c r="E3425" s="1" t="str">
        <f>IFERROR(__xludf.DUMMYFUNCTION("GOOGLETRANSLATE(D3425,""PT"",""EN"")"),"great service")</f>
        <v>great service</v>
      </c>
    </row>
    <row r="3426" ht="14.25" customHeight="1">
      <c r="A3426" s="1">
        <v>33.0</v>
      </c>
      <c r="B3426" s="1" t="s">
        <v>1340</v>
      </c>
      <c r="C3426" s="1">
        <v>2.0</v>
      </c>
      <c r="D3426" s="1" t="s">
        <v>6</v>
      </c>
      <c r="E3426" s="1"/>
    </row>
    <row r="3427" ht="14.25" customHeight="1">
      <c r="A3427" s="1">
        <v>100.0</v>
      </c>
      <c r="B3427" s="1" t="s">
        <v>1340</v>
      </c>
      <c r="C3427" s="1">
        <v>10.0</v>
      </c>
      <c r="D3427" s="1" t="s">
        <v>6</v>
      </c>
      <c r="E3427" s="1"/>
    </row>
    <row r="3428" ht="14.25" customHeight="1">
      <c r="A3428" s="1">
        <v>100.0</v>
      </c>
      <c r="B3428" s="1" t="s">
        <v>1340</v>
      </c>
      <c r="C3428" s="1">
        <v>10.0</v>
      </c>
      <c r="D3428" s="1" t="s">
        <v>1516</v>
      </c>
      <c r="E3428" s="1" t="str">
        <f>IFERROR(__xludf.DUMMYFUNCTION("GOOGLETRANSLATE(D3428,""PT"",""EN"")"),"For the services provided")</f>
        <v>For the services provided</v>
      </c>
    </row>
    <row r="3429" ht="14.25" customHeight="1">
      <c r="A3429" s="1">
        <v>100.0</v>
      </c>
      <c r="B3429" s="1" t="s">
        <v>1340</v>
      </c>
      <c r="C3429" s="1">
        <v>10.0</v>
      </c>
      <c r="D3429" s="1" t="s">
        <v>1517</v>
      </c>
      <c r="E3429" s="1" t="str">
        <f>IFERROR(__xludf.DUMMYFUNCTION("GOOGLETRANSLATE(D3429,""PT"",""EN"")"),"Bank with excellent quality")</f>
        <v>Bank with excellent quality</v>
      </c>
    </row>
    <row r="3430" ht="14.25" customHeight="1">
      <c r="A3430" s="1">
        <v>100.0</v>
      </c>
      <c r="B3430" s="1" t="s">
        <v>1340</v>
      </c>
      <c r="C3430" s="1">
        <v>10.0</v>
      </c>
      <c r="D3430" s="1" t="s">
        <v>1518</v>
      </c>
      <c r="E3430" s="1" t="str">
        <f>IFERROR(__xludf.DUMMYFUNCTION("GOOGLETRANSLATE(D3430,""PT"",""EN"")"),"Sicoob Bank Note 10")</f>
        <v>Sicoob Bank Note 10</v>
      </c>
    </row>
    <row r="3431" ht="14.25" customHeight="1">
      <c r="A3431" s="1">
        <v>33.0</v>
      </c>
      <c r="B3431" s="1" t="s">
        <v>1340</v>
      </c>
      <c r="C3431" s="1">
        <v>2.0</v>
      </c>
      <c r="D3431" s="1" t="s">
        <v>6</v>
      </c>
      <c r="E3431" s="1"/>
    </row>
    <row r="3432" ht="14.25" customHeight="1">
      <c r="A3432" s="1">
        <v>33.0</v>
      </c>
      <c r="B3432" s="1" t="s">
        <v>1340</v>
      </c>
      <c r="C3432" s="1">
        <v>1.0</v>
      </c>
      <c r="D3432" s="2" t="s">
        <v>1519</v>
      </c>
      <c r="E3432" s="1" t="str">
        <f>IFERROR(__xludf.DUMMYFUNCTION("GOOGLETRANSLATE(D3432,""PT"",""EN"")"),"I do not recommend. It was a bank without tariffs until recently, today, everything is charged. It is not worth having an account in cooperative")</f>
        <v>I do not recommend. It was a bank without tariffs until recently, today, everything is charged. It is not worth having an account in cooperative</v>
      </c>
    </row>
    <row r="3433" ht="14.25" customHeight="1">
      <c r="A3433" s="1">
        <v>33.0</v>
      </c>
      <c r="B3433" s="1" t="s">
        <v>1340</v>
      </c>
      <c r="C3433" s="1">
        <v>1.0</v>
      </c>
      <c r="D3433" s="2" t="s">
        <v>1520</v>
      </c>
      <c r="E3433" s="1" t="str">
        <f>IFERROR(__xludf.DUMMYFUNCTION("GOOGLETRANSLATE(D3433,""PT"",""EN"")"),"Disinterest of managers and attendants in finding solutions to customers")</f>
        <v>Disinterest of managers and attendants in finding solutions to customers</v>
      </c>
    </row>
    <row r="3434" ht="14.25" customHeight="1">
      <c r="A3434" s="1">
        <v>100.0</v>
      </c>
      <c r="B3434" s="1" t="s">
        <v>1340</v>
      </c>
      <c r="C3434" s="1">
        <v>10.0</v>
      </c>
      <c r="D3434" s="1" t="s">
        <v>6</v>
      </c>
      <c r="E3434" s="1"/>
    </row>
    <row r="3435" ht="14.25" customHeight="1">
      <c r="A3435" s="1">
        <v>100.0</v>
      </c>
      <c r="B3435" s="1" t="s">
        <v>1340</v>
      </c>
      <c r="C3435" s="1">
        <v>10.0</v>
      </c>
      <c r="D3435" s="2" t="s">
        <v>1521</v>
      </c>
      <c r="E3435" s="1" t="str">
        <f>IFERROR(__xludf.DUMMYFUNCTION("GOOGLETRANSLATE(D3435,""PT"",""EN"")"),"The ease of access is the service in the bank. The staff is extremely kind is quick to solve the problems presented.")</f>
        <v>The ease of access is the service in the bank. The staff is extremely kind is quick to solve the problems presented.</v>
      </c>
    </row>
    <row r="3436" ht="14.25" customHeight="1">
      <c r="A3436" s="1">
        <v>33.0</v>
      </c>
      <c r="B3436" s="1" t="s">
        <v>1340</v>
      </c>
      <c r="C3436" s="1">
        <v>0.0</v>
      </c>
      <c r="D3436" s="2" t="s">
        <v>1522</v>
      </c>
      <c r="E3436" s="1" t="str">
        <f>IFERROR(__xludf.DUMMYFUNCTION("GOOGLETRANSLATE(D3436,""PT"",""EN"")"),"The scam protection system is flawed. Employees are not selected by their competence. I don't have time to go to assemblies so the cooperative system do not apply to me. My cooperative almost broke by pessimal administration. The Call Center is too slow i"&amp;"n customer service. I have been deeply dissatisfied with Sicoob since joining agriculture. Everything got worse. Now has done another junction but the employee hiring system is the same is not a contest. In addition, the Fiscal Council is not selected by "&amp;"competence in the financial market. I want to get out of this system as soon as possible is just as I worked to found our teachers' cooperative is accredited hundreds of people today I do not recommend this system to anyone.")</f>
        <v>The scam protection system is flawed. Employees are not selected by their competence. I don't have time to go to assemblies so the cooperative system do not apply to me. My cooperative almost broke by pessimal administration. The Call Center is too slow in customer service. I have been deeply dissatisfied with Sicoob since joining agriculture. Everything got worse. Now has done another junction but the employee hiring system is the same is not a contest. In addition, the Fiscal Council is not selected by competence in the financial market. I want to get out of this system as soon as possible is just as I worked to found our teachers' cooperative is accredited hundreds of people today I do not recommend this system to anyone.</v>
      </c>
    </row>
    <row r="3437" ht="14.25" customHeight="1">
      <c r="A3437" s="1">
        <v>100.0</v>
      </c>
      <c r="B3437" s="1" t="s">
        <v>1340</v>
      </c>
      <c r="C3437" s="1">
        <v>10.0</v>
      </c>
      <c r="D3437" s="1" t="s">
        <v>1523</v>
      </c>
      <c r="E3437" s="1" t="str">
        <f>IFERROR(__xludf.DUMMYFUNCTION("GOOGLETRANSLATE(D3437,""PT"",""EN"")"),"Your service to the cooperative")</f>
        <v>Your service to the cooperative</v>
      </c>
    </row>
    <row r="3438" ht="14.25" customHeight="1">
      <c r="A3438" s="1">
        <v>33.0</v>
      </c>
      <c r="B3438" s="1" t="s">
        <v>1340</v>
      </c>
      <c r="C3438" s="1">
        <v>1.0</v>
      </c>
      <c r="D3438" s="2" t="s">
        <v>1524</v>
      </c>
      <c r="E3438" s="1" t="str">
        <f>IFERROR(__xludf.DUMMYFUNCTION("GOOGLETRANSLATE(D3438,""PT"",""EN"")"),"I couldn't talk to the card adm is a blocked account.")</f>
        <v>I couldn't talk to the card adm is a blocked account.</v>
      </c>
    </row>
    <row r="3439" ht="14.25" customHeight="1">
      <c r="A3439" s="1">
        <v>33.0</v>
      </c>
      <c r="B3439" s="1" t="s">
        <v>1340</v>
      </c>
      <c r="C3439" s="1">
        <v>6.0</v>
      </c>
      <c r="D3439" s="1" t="s">
        <v>6</v>
      </c>
      <c r="E3439" s="1"/>
    </row>
    <row r="3440" ht="14.25" customHeight="1">
      <c r="A3440" s="1">
        <v>66.0</v>
      </c>
      <c r="B3440" s="1" t="s">
        <v>1340</v>
      </c>
      <c r="C3440" s="1">
        <v>8.0</v>
      </c>
      <c r="D3440" s="1" t="s">
        <v>6</v>
      </c>
      <c r="E3440" s="1"/>
    </row>
    <row r="3441" ht="14.25" customHeight="1">
      <c r="A3441" s="1">
        <v>100.0</v>
      </c>
      <c r="B3441" s="1" t="s">
        <v>1340</v>
      </c>
      <c r="C3441" s="1">
        <v>10.0</v>
      </c>
      <c r="D3441" s="1" t="s">
        <v>1525</v>
      </c>
      <c r="E3441" s="1" t="str">
        <f>IFERROR(__xludf.DUMMYFUNCTION("GOOGLETRANSLATE(D3441,""PT"",""EN"")"),"Because I like to work with Sicoob")</f>
        <v>Because I like to work with Sicoob</v>
      </c>
    </row>
    <row r="3442" ht="14.25" customHeight="1">
      <c r="A3442" s="1">
        <v>100.0</v>
      </c>
      <c r="B3442" s="1" t="s">
        <v>1340</v>
      </c>
      <c r="C3442" s="1">
        <v>10.0</v>
      </c>
      <c r="D3442" s="2" t="s">
        <v>1526</v>
      </c>
      <c r="E3442" s="1" t="str">
        <f>IFERROR(__xludf.DUMMYFUNCTION("GOOGLETRANSLATE(D3442,""PT"",""EN"")"),"Agility is easy access")</f>
        <v>Agility is easy access</v>
      </c>
    </row>
    <row r="3443" ht="14.25" customHeight="1">
      <c r="A3443" s="1">
        <v>100.0</v>
      </c>
      <c r="B3443" s="1" t="s">
        <v>1340</v>
      </c>
      <c r="C3443" s="1">
        <v>10.0</v>
      </c>
      <c r="D3443" s="1" t="s">
        <v>1527</v>
      </c>
      <c r="E3443" s="1" t="str">
        <f>IFERROR(__xludf.DUMMYFUNCTION("GOOGLETRANSLATE(D3443,""PT"",""EN"")"),"Meets all the needs a company needs a bank")</f>
        <v>Meets all the needs a company needs a bank</v>
      </c>
    </row>
    <row r="3444" ht="14.25" customHeight="1">
      <c r="A3444" s="1">
        <v>66.0</v>
      </c>
      <c r="B3444" s="1" t="s">
        <v>1340</v>
      </c>
      <c r="C3444" s="1">
        <v>8.0</v>
      </c>
      <c r="D3444" s="1" t="s">
        <v>1528</v>
      </c>
      <c r="E3444" s="1" t="str">
        <f>IFERROR(__xludf.DUMMYFUNCTION("GOOGLETRANSLATE(D3444,""PT"",""EN"")"),"Excellence in service.")</f>
        <v>Excellence in service.</v>
      </c>
    </row>
    <row r="3445" ht="14.25" customHeight="1">
      <c r="A3445" s="1">
        <v>100.0</v>
      </c>
      <c r="B3445" s="1" t="s">
        <v>1340</v>
      </c>
      <c r="C3445" s="1">
        <v>10.0</v>
      </c>
      <c r="D3445" s="1" t="s">
        <v>6</v>
      </c>
      <c r="E3445" s="1"/>
    </row>
    <row r="3446" ht="14.25" customHeight="1">
      <c r="A3446" s="1">
        <v>100.0</v>
      </c>
      <c r="B3446" s="1" t="s">
        <v>1340</v>
      </c>
      <c r="C3446" s="1">
        <v>10.0</v>
      </c>
      <c r="D3446" s="1" t="s">
        <v>6</v>
      </c>
      <c r="E3446" s="1"/>
    </row>
    <row r="3447" ht="14.25" customHeight="1">
      <c r="A3447" s="1">
        <v>100.0</v>
      </c>
      <c r="B3447" s="1" t="s">
        <v>1340</v>
      </c>
      <c r="C3447" s="1">
        <v>10.0</v>
      </c>
      <c r="D3447" s="1" t="s">
        <v>62</v>
      </c>
      <c r="E3447" s="1" t="str">
        <f>IFERROR(__xludf.DUMMYFUNCTION("GOOGLETRANSLATE(D3447,""PT"",""EN"")"),"Good service")</f>
        <v>Good service</v>
      </c>
    </row>
    <row r="3448" ht="14.25" customHeight="1">
      <c r="A3448" s="1">
        <v>33.0</v>
      </c>
      <c r="B3448" s="1" t="s">
        <v>1340</v>
      </c>
      <c r="C3448" s="1">
        <v>0.0</v>
      </c>
      <c r="D3448" s="2" t="s">
        <v>1529</v>
      </c>
      <c r="E3448" s="1" t="str">
        <f>IFERROR(__xludf.DUMMYFUNCTION("GOOGLETRANSLATE(D3448,""PT"",""EN"")"),"Of the word opportunities for large members")</f>
        <v>Of the word opportunities for large members</v>
      </c>
    </row>
    <row r="3449" ht="14.25" customHeight="1">
      <c r="A3449" s="1">
        <v>100.0</v>
      </c>
      <c r="B3449" s="1" t="s">
        <v>1340</v>
      </c>
      <c r="C3449" s="1">
        <v>10.0</v>
      </c>
      <c r="D3449" s="2" t="s">
        <v>1530</v>
      </c>
      <c r="E3449" s="1" t="str">
        <f>IFERROR(__xludf.DUMMYFUNCTION("GOOGLETRANSLATE(D3449,""PT"",""EN"")"),"Manager who answers me is helpful and attentive, and low interest rates")</f>
        <v>Manager who answers me is helpful and attentive, and low interest rates</v>
      </c>
    </row>
    <row r="3450" ht="14.25" customHeight="1">
      <c r="A3450" s="1">
        <v>100.0</v>
      </c>
      <c r="B3450" s="1" t="s">
        <v>1340</v>
      </c>
      <c r="C3450" s="1">
        <v>10.0</v>
      </c>
      <c r="D3450" s="1" t="s">
        <v>6</v>
      </c>
      <c r="E3450" s="1"/>
    </row>
    <row r="3451" ht="14.25" customHeight="1">
      <c r="A3451" s="1">
        <v>100.0</v>
      </c>
      <c r="B3451" s="1" t="s">
        <v>1340</v>
      </c>
      <c r="C3451" s="1">
        <v>10.0</v>
      </c>
      <c r="D3451" s="2" t="s">
        <v>1531</v>
      </c>
      <c r="E3451" s="1" t="str">
        <f>IFERROR(__xludf.DUMMYFUNCTION("GOOGLETRANSLATE(D3451,""PT"",""EN"")"),"Collection of fees with very low values, participation of the results is the service")</f>
        <v>Collection of fees with very low values, participation of the results is the service</v>
      </c>
    </row>
    <row r="3452" ht="14.25" customHeight="1">
      <c r="A3452" s="1">
        <v>66.0</v>
      </c>
      <c r="B3452" s="1" t="s">
        <v>1340</v>
      </c>
      <c r="C3452" s="1">
        <v>7.0</v>
      </c>
      <c r="D3452" s="1" t="s">
        <v>1532</v>
      </c>
      <c r="E3452" s="1" t="str">
        <f>IFERROR(__xludf.DUMMYFUNCTION("GOOGLETRANSLATE(D3452,""PT"",""EN"")"),"efficient")</f>
        <v>efficient</v>
      </c>
    </row>
    <row r="3453" ht="14.25" customHeight="1">
      <c r="A3453" s="1">
        <v>33.0</v>
      </c>
      <c r="B3453" s="1" t="s">
        <v>1340</v>
      </c>
      <c r="C3453" s="1">
        <v>6.0</v>
      </c>
      <c r="D3453" s="1" t="s">
        <v>6</v>
      </c>
      <c r="E3453" s="1"/>
    </row>
    <row r="3454" ht="14.25" customHeight="1">
      <c r="A3454" s="1">
        <v>33.0</v>
      </c>
      <c r="B3454" s="1" t="s">
        <v>1340</v>
      </c>
      <c r="C3454" s="1">
        <v>5.0</v>
      </c>
      <c r="D3454" s="1" t="s">
        <v>6</v>
      </c>
      <c r="E3454" s="1"/>
    </row>
    <row r="3455" ht="14.25" customHeight="1">
      <c r="A3455" s="1">
        <v>100.0</v>
      </c>
      <c r="B3455" s="1" t="s">
        <v>1340</v>
      </c>
      <c r="C3455" s="1">
        <v>10.0</v>
      </c>
      <c r="D3455" s="1" t="s">
        <v>6</v>
      </c>
      <c r="E3455" s="1"/>
    </row>
    <row r="3456" ht="14.25" customHeight="1">
      <c r="A3456" s="1">
        <v>100.0</v>
      </c>
      <c r="B3456" s="1" t="s">
        <v>1340</v>
      </c>
      <c r="C3456" s="1">
        <v>10.0</v>
      </c>
      <c r="D3456" s="1" t="s">
        <v>85</v>
      </c>
      <c r="E3456" s="1" t="str">
        <f>IFERROR(__xludf.DUMMYFUNCTION("GOOGLETRANSLATE(D3456,""PT"",""EN"")"),"Service")</f>
        <v>Service</v>
      </c>
    </row>
    <row r="3457" ht="14.25" customHeight="1">
      <c r="A3457" s="1">
        <v>100.0</v>
      </c>
      <c r="B3457" s="1" t="s">
        <v>1340</v>
      </c>
      <c r="C3457" s="1">
        <v>9.0</v>
      </c>
      <c r="D3457" s="1" t="s">
        <v>6</v>
      </c>
      <c r="E3457" s="1"/>
    </row>
    <row r="3458" ht="14.25" customHeight="1">
      <c r="A3458" s="1">
        <v>100.0</v>
      </c>
      <c r="B3458" s="1" t="s">
        <v>1340</v>
      </c>
      <c r="C3458" s="1">
        <v>10.0</v>
      </c>
      <c r="D3458" s="2" t="s">
        <v>1533</v>
      </c>
      <c r="E3458" s="1" t="str">
        <f>IFERROR(__xludf.DUMMYFUNCTION("GOOGLETRANSLATE(D3458,""PT"",""EN"")"),"Credit Cooperative is a bank in which you have all services is still participating in the leftovers")</f>
        <v>Credit Cooperative is a bank in which you have all services is still participating in the leftovers</v>
      </c>
    </row>
    <row r="3459" ht="14.25" customHeight="1">
      <c r="A3459" s="1">
        <v>100.0</v>
      </c>
      <c r="B3459" s="1" t="s">
        <v>1340</v>
      </c>
      <c r="C3459" s="1">
        <v>10.0</v>
      </c>
      <c r="D3459" s="1" t="s">
        <v>6</v>
      </c>
      <c r="E3459" s="1"/>
    </row>
    <row r="3460" ht="14.25" customHeight="1">
      <c r="A3460" s="1">
        <v>100.0</v>
      </c>
      <c r="B3460" s="1" t="s">
        <v>1340</v>
      </c>
      <c r="C3460" s="1">
        <v>10.0</v>
      </c>
      <c r="D3460" s="1" t="s">
        <v>42</v>
      </c>
      <c r="E3460" s="1" t="str">
        <f>IFERROR(__xludf.DUMMYFUNCTION("GOOGLETRANSLATE(D3460,""PT"",""EN"")"),"good service")</f>
        <v>good service</v>
      </c>
    </row>
    <row r="3461" ht="14.25" customHeight="1">
      <c r="A3461" s="1">
        <v>33.0</v>
      </c>
      <c r="B3461" s="1" t="s">
        <v>1340</v>
      </c>
      <c r="C3461" s="1">
        <v>1.0</v>
      </c>
      <c r="D3461" s="1" t="s">
        <v>1534</v>
      </c>
      <c r="E3461" s="1" t="str">
        <f>IFERROR(__xludf.DUMMYFUNCTION("GOOGLETRANSLATE(D3461,""PT"",""EN"")"),"dissatisfied")</f>
        <v>dissatisfied</v>
      </c>
    </row>
    <row r="3462" ht="14.25" customHeight="1">
      <c r="A3462" s="1">
        <v>100.0</v>
      </c>
      <c r="B3462" s="1" t="s">
        <v>1340</v>
      </c>
      <c r="C3462" s="1">
        <v>10.0</v>
      </c>
      <c r="D3462" s="1" t="s">
        <v>9</v>
      </c>
      <c r="E3462" s="1" t="str">
        <f>IFERROR(__xludf.DUMMYFUNCTION("GOOGLETRANSLATE(D3462,""PT"",""EN"")"),"10")</f>
        <v>10</v>
      </c>
    </row>
    <row r="3463" ht="14.25" customHeight="1">
      <c r="A3463" s="1">
        <v>100.0</v>
      </c>
      <c r="B3463" s="1" t="s">
        <v>1340</v>
      </c>
      <c r="C3463" s="1">
        <v>9.0</v>
      </c>
      <c r="D3463" s="1" t="s">
        <v>1535</v>
      </c>
      <c r="E3463" s="1" t="str">
        <f>IFERROR(__xludf.DUMMYFUNCTION("GOOGLETRANSLATE(D3463,""PT"",""EN"")"),"Electronic Caxias to service outside business hours")</f>
        <v>Electronic Caxias to service outside business hours</v>
      </c>
    </row>
    <row r="3464" ht="14.25" customHeight="1">
      <c r="A3464" s="1">
        <v>66.0</v>
      </c>
      <c r="B3464" s="1" t="s">
        <v>1340</v>
      </c>
      <c r="C3464" s="1">
        <v>8.0</v>
      </c>
      <c r="D3464" s="2" t="s">
        <v>1536</v>
      </c>
      <c r="E3464" s="1" t="str">
        <f>IFERROR(__xludf.DUMMYFUNCTION("GOOGLETRANSLATE(D3464,""PT"",""EN"")"),"I haven't received my card yet")</f>
        <v>I haven't received my card yet</v>
      </c>
    </row>
    <row r="3465" ht="14.25" customHeight="1">
      <c r="A3465" s="1">
        <v>100.0</v>
      </c>
      <c r="B3465" s="1" t="s">
        <v>1340</v>
      </c>
      <c r="C3465" s="1">
        <v>10.0</v>
      </c>
      <c r="D3465" s="1" t="s">
        <v>97</v>
      </c>
      <c r="E3465" s="1" t="str">
        <f>IFERROR(__xludf.DUMMYFUNCTION("GOOGLETRANSLATE(D3465,""PT"",""EN"")"),"Excellent")</f>
        <v>Excellent</v>
      </c>
    </row>
    <row r="3466" ht="14.25" customHeight="1">
      <c r="A3466" s="1">
        <v>100.0</v>
      </c>
      <c r="B3466" s="1" t="s">
        <v>1340</v>
      </c>
      <c r="C3466" s="1">
        <v>9.0</v>
      </c>
      <c r="D3466" s="1" t="s">
        <v>6</v>
      </c>
      <c r="E3466" s="1"/>
    </row>
    <row r="3467" ht="14.25" customHeight="1">
      <c r="A3467" s="1">
        <v>100.0</v>
      </c>
      <c r="B3467" s="1" t="s">
        <v>1340</v>
      </c>
      <c r="C3467" s="1">
        <v>10.0</v>
      </c>
      <c r="D3467" s="1" t="s">
        <v>6</v>
      </c>
      <c r="E3467" s="1"/>
    </row>
    <row r="3468" ht="14.25" customHeight="1">
      <c r="A3468" s="1">
        <v>33.0</v>
      </c>
      <c r="B3468" s="1" t="s">
        <v>1340</v>
      </c>
      <c r="C3468" s="1">
        <v>1.0</v>
      </c>
      <c r="D3468" s="1" t="s">
        <v>6</v>
      </c>
      <c r="E3468" s="1"/>
    </row>
    <row r="3469" ht="14.25" customHeight="1">
      <c r="A3469" s="1">
        <v>100.0</v>
      </c>
      <c r="B3469" s="1" t="s">
        <v>1340</v>
      </c>
      <c r="C3469" s="1">
        <v>10.0</v>
      </c>
      <c r="D3469" s="1" t="s">
        <v>6</v>
      </c>
      <c r="E3469" s="1"/>
    </row>
    <row r="3470" ht="14.25" customHeight="1">
      <c r="A3470" s="1">
        <v>100.0</v>
      </c>
      <c r="B3470" s="1" t="s">
        <v>1340</v>
      </c>
      <c r="C3470" s="1">
        <v>9.0</v>
      </c>
      <c r="D3470" s="1" t="s">
        <v>1537</v>
      </c>
      <c r="E3470" s="1" t="str">
        <f>IFERROR(__xludf.DUMMYFUNCTION("GOOGLETRANSLATE(D3470,""PT"",""EN"")"),"availability")</f>
        <v>availability</v>
      </c>
    </row>
    <row r="3471" ht="14.25" customHeight="1">
      <c r="A3471" s="1">
        <v>100.0</v>
      </c>
      <c r="B3471" s="1" t="s">
        <v>1340</v>
      </c>
      <c r="C3471" s="1">
        <v>10.0</v>
      </c>
      <c r="D3471" s="2" t="s">
        <v>1538</v>
      </c>
      <c r="E3471" s="1" t="str">
        <f>IFERROR(__xludf.DUMMYFUNCTION("GOOGLETRANSLATE(D3471,""PT"",""EN"")"),"Never bank had given me the opportunity to have credit as soon as I opened the account. I want to know the cooperative better is how I can also participate in cooperativism")</f>
        <v>Never bank had given me the opportunity to have credit as soon as I opened the account. I want to know the cooperative better is how I can also participate in cooperativism</v>
      </c>
    </row>
    <row r="3472" ht="14.25" customHeight="1">
      <c r="A3472" s="1">
        <v>66.0</v>
      </c>
      <c r="B3472" s="1" t="s">
        <v>1340</v>
      </c>
      <c r="C3472" s="1">
        <v>8.0</v>
      </c>
      <c r="D3472" s="1" t="s">
        <v>1539</v>
      </c>
      <c r="E3472" s="1" t="str">
        <f>IFERROR(__xludf.DUMMYFUNCTION("GOOGLETRANSLATE(D3472,""PT"",""EN"")"),"Good interest rate")</f>
        <v>Good interest rate</v>
      </c>
    </row>
    <row r="3473" ht="14.25" customHeight="1">
      <c r="A3473" s="1">
        <v>100.0</v>
      </c>
      <c r="B3473" s="1" t="s">
        <v>1340</v>
      </c>
      <c r="C3473" s="1">
        <v>10.0</v>
      </c>
      <c r="D3473" s="1" t="s">
        <v>6</v>
      </c>
      <c r="E3473" s="1"/>
    </row>
    <row r="3474" ht="14.25" customHeight="1">
      <c r="A3474" s="1">
        <v>100.0</v>
      </c>
      <c r="B3474" s="1" t="s">
        <v>1340</v>
      </c>
      <c r="C3474" s="1">
        <v>10.0</v>
      </c>
      <c r="D3474" s="1" t="s">
        <v>6</v>
      </c>
      <c r="E3474" s="1"/>
    </row>
    <row r="3475" ht="14.25" customHeight="1">
      <c r="A3475" s="1">
        <v>100.0</v>
      </c>
      <c r="B3475" s="1" t="s">
        <v>1340</v>
      </c>
      <c r="C3475" s="1">
        <v>10.0</v>
      </c>
      <c r="D3475" s="1" t="s">
        <v>1540</v>
      </c>
      <c r="E3475" s="1" t="str">
        <f>IFERROR(__xludf.DUMMYFUNCTION("GOOGLETRANSLATE(D3475,""PT"",""EN"")"),"Only compliments, nothing to complain about")</f>
        <v>Only compliments, nothing to complain about</v>
      </c>
    </row>
    <row r="3476" ht="14.25" customHeight="1">
      <c r="A3476" s="1">
        <v>100.0</v>
      </c>
      <c r="B3476" s="1" t="s">
        <v>1340</v>
      </c>
      <c r="C3476" s="1">
        <v>10.0</v>
      </c>
      <c r="D3476" s="1" t="s">
        <v>6</v>
      </c>
      <c r="E3476" s="1"/>
    </row>
    <row r="3477" ht="14.25" customHeight="1">
      <c r="A3477" s="1">
        <v>33.0</v>
      </c>
      <c r="B3477" s="1" t="s">
        <v>1340</v>
      </c>
      <c r="C3477" s="1">
        <v>2.0</v>
      </c>
      <c r="D3477" s="2" t="s">
        <v>1541</v>
      </c>
      <c r="E3477" s="1" t="str">
        <f>IFERROR(__xludf.DUMMYFUNCTION("GOOGLETRANSLATE(D3477,""PT"",""EN"")"),"I have been with a venture for 6 months that has evolved 50% in revenues is still I can not loan to expand my business. If my bank is not a partner for growth, it is difficult. When the account is more stuffed, they will surely come offering products, but"&amp;" then I won't need it anymore ...")</f>
        <v>I have been with a venture for 6 months that has evolved 50% in revenues is still I can not loan to expand my business. If my bank is not a partner for growth, it is difficult. When the account is more stuffed, they will surely come offering products, but then I won't need it anymore ...</v>
      </c>
    </row>
    <row r="3478" ht="14.25" customHeight="1">
      <c r="A3478" s="1">
        <v>100.0</v>
      </c>
      <c r="B3478" s="1" t="s">
        <v>1340</v>
      </c>
      <c r="C3478" s="1">
        <v>10.0</v>
      </c>
      <c r="D3478" s="1" t="s">
        <v>6</v>
      </c>
      <c r="E3478" s="1"/>
    </row>
    <row r="3479" ht="14.25" customHeight="1">
      <c r="A3479" s="1">
        <v>100.0</v>
      </c>
      <c r="B3479" s="1" t="s">
        <v>1340</v>
      </c>
      <c r="C3479" s="1">
        <v>10.0</v>
      </c>
      <c r="D3479" s="2" t="s">
        <v>1542</v>
      </c>
      <c r="E3479" s="1" t="str">
        <f>IFERROR(__xludf.DUMMYFUNCTION("GOOGLETRANSLATE(D3479,""PT"",""EN"")"),"Agility and professionalism in service.")</f>
        <v>Agility and professionalism in service.</v>
      </c>
    </row>
    <row r="3480" ht="14.25" customHeight="1">
      <c r="A3480" s="1">
        <v>100.0</v>
      </c>
      <c r="B3480" s="1" t="s">
        <v>1340</v>
      </c>
      <c r="C3480" s="1">
        <v>10.0</v>
      </c>
      <c r="D3480" s="1" t="s">
        <v>6</v>
      </c>
      <c r="E3480" s="1"/>
    </row>
    <row r="3481" ht="14.25" customHeight="1">
      <c r="A3481" s="1">
        <v>100.0</v>
      </c>
      <c r="B3481" s="1" t="s">
        <v>1340</v>
      </c>
      <c r="C3481" s="1">
        <v>10.0</v>
      </c>
      <c r="D3481" s="1" t="s">
        <v>1543</v>
      </c>
      <c r="E3481" s="1" t="str">
        <f>IFERROR(__xludf.DUMMYFUNCTION("GOOGLETRANSLATE(D3481,""PT"",""EN"")"),"The good service of the entire bank team")</f>
        <v>The good service of the entire bank team</v>
      </c>
    </row>
    <row r="3482" ht="14.25" customHeight="1">
      <c r="A3482" s="1">
        <v>100.0</v>
      </c>
      <c r="B3482" s="1" t="s">
        <v>1340</v>
      </c>
      <c r="C3482" s="1">
        <v>10.0</v>
      </c>
      <c r="D3482" s="1" t="s">
        <v>6</v>
      </c>
      <c r="E3482" s="1"/>
    </row>
    <row r="3483" ht="14.25" customHeight="1">
      <c r="A3483" s="1">
        <v>33.0</v>
      </c>
      <c r="B3483" s="1" t="s">
        <v>1340</v>
      </c>
      <c r="C3483" s="1">
        <v>4.0</v>
      </c>
      <c r="D3483" s="2" t="s">
        <v>1544</v>
      </c>
      <c r="E3483" s="1" t="str">
        <f>IFERROR(__xludf.DUMMYFUNCTION("GOOGLETRANSLATE(D3483,""PT"",""EN"")"),"Bad request for requests")</f>
        <v>Bad request for requests</v>
      </c>
    </row>
    <row r="3484" ht="14.25" customHeight="1">
      <c r="A3484" s="1">
        <v>100.0</v>
      </c>
      <c r="B3484" s="1" t="s">
        <v>1340</v>
      </c>
      <c r="C3484" s="1">
        <v>10.0</v>
      </c>
      <c r="D3484" s="1" t="s">
        <v>1545</v>
      </c>
      <c r="E3484" s="1" t="str">
        <f>IFERROR(__xludf.DUMMYFUNCTION("GOOGLETRANSLATE(D3484,""PT"",""EN"")"),"Relationship")</f>
        <v>Relationship</v>
      </c>
    </row>
    <row r="3485" ht="14.25" customHeight="1">
      <c r="A3485" s="1">
        <v>100.0</v>
      </c>
      <c r="B3485" s="1" t="s">
        <v>1340</v>
      </c>
      <c r="C3485" s="1">
        <v>10.0</v>
      </c>
      <c r="D3485" s="1" t="s">
        <v>6</v>
      </c>
      <c r="E3485" s="1"/>
    </row>
    <row r="3486" ht="14.25" customHeight="1">
      <c r="A3486" s="1">
        <v>33.0</v>
      </c>
      <c r="B3486" s="1" t="s">
        <v>1340</v>
      </c>
      <c r="C3486" s="1">
        <v>4.0</v>
      </c>
      <c r="D3486" s="1" t="s">
        <v>1546</v>
      </c>
      <c r="E3486" s="1" t="str">
        <f>IFERROR(__xludf.DUMMYFUNCTION("GOOGLETRANSLATE(D3486,""PT"",""EN"")"),"locked on some subjects")</f>
        <v>locked on some subjects</v>
      </c>
    </row>
    <row r="3487" ht="14.25" customHeight="1">
      <c r="A3487" s="1">
        <v>66.0</v>
      </c>
      <c r="B3487" s="1" t="s">
        <v>1340</v>
      </c>
      <c r="C3487" s="1">
        <v>8.0</v>
      </c>
      <c r="D3487" s="1" t="s">
        <v>1547</v>
      </c>
      <c r="E3487" s="1" t="str">
        <f>IFERROR(__xludf.DUMMYFUNCTION("GOOGLETRANSLATE(D3487,""PT"",""EN"")"),"The bureaucracy")</f>
        <v>The bureaucracy</v>
      </c>
    </row>
    <row r="3488" ht="14.25" customHeight="1">
      <c r="A3488" s="1">
        <v>100.0</v>
      </c>
      <c r="B3488" s="1" t="s">
        <v>1340</v>
      </c>
      <c r="C3488" s="1">
        <v>9.0</v>
      </c>
      <c r="D3488" s="1" t="s">
        <v>505</v>
      </c>
      <c r="E3488" s="1" t="str">
        <f>IFERROR(__xludf.DUMMYFUNCTION("GOOGLETRANSLATE(D3488,""PT"",""EN"")"),"9")</f>
        <v>9</v>
      </c>
    </row>
    <row r="3489" ht="14.25" customHeight="1">
      <c r="A3489" s="1">
        <v>100.0</v>
      </c>
      <c r="B3489" s="1" t="s">
        <v>1340</v>
      </c>
      <c r="C3489" s="1">
        <v>10.0</v>
      </c>
      <c r="D3489" s="2" t="s">
        <v>1548</v>
      </c>
      <c r="E3489" s="1" t="str">
        <f>IFERROR(__xludf.DUMMYFUNCTION("GOOGLETRANSLATE(D3489,""PT"",""EN"")"),"The use of the bank is very simple is efficient, especially for payment programming.")</f>
        <v>The use of the bank is very simple is efficient, especially for payment programming.</v>
      </c>
    </row>
    <row r="3490" ht="14.25" customHeight="1">
      <c r="A3490" s="1">
        <v>33.0</v>
      </c>
      <c r="B3490" s="1" t="s">
        <v>1340</v>
      </c>
      <c r="C3490" s="1">
        <v>2.0</v>
      </c>
      <c r="D3490" s="2" t="s">
        <v>1549</v>
      </c>
      <c r="E3490" s="1" t="str">
        <f>IFERROR(__xludf.DUMMYFUNCTION("GOOGLETRANSLATE(D3490,""PT"",""EN"")"),"Application to access the checking account is always crashing is with problems. Every time the app has problems the customer has to go in person in the cooperative to solve. They have no possibility of solution by other means. To register a notebook for a"&amp;"ccess to the checking account you have to go to the agency in person, even having the password, the access key is the machine release code. Do not allow you to release machine access through the app. Single bank that requires this from the customer for ac"&amp;"cess to the internet banking.")</f>
        <v>Application to access the checking account is always crashing is with problems. Every time the app has problems the customer has to go in person in the cooperative to solve. They have no possibility of solution by other means. To register a notebook for access to the checking account you have to go to the agency in person, even having the password, the access key is the machine release code. Do not allow you to release machine access through the app. Single bank that requires this from the customer for access to the internet banking.</v>
      </c>
    </row>
    <row r="3491" ht="14.25" customHeight="1">
      <c r="A3491" s="1">
        <v>100.0</v>
      </c>
      <c r="B3491" s="1" t="s">
        <v>1340</v>
      </c>
      <c r="C3491" s="1">
        <v>10.0</v>
      </c>
      <c r="D3491" s="1" t="s">
        <v>1550</v>
      </c>
      <c r="E3491" s="1" t="str">
        <f>IFERROR(__xludf.DUMMYFUNCTION("GOOGLETRANSLATE(D3491,""PT"",""EN"")"),"Best cooperative!")</f>
        <v>Best cooperative!</v>
      </c>
    </row>
    <row r="3492" ht="14.25" customHeight="1">
      <c r="A3492" s="1">
        <v>100.0</v>
      </c>
      <c r="B3492" s="1" t="s">
        <v>1340</v>
      </c>
      <c r="C3492" s="1">
        <v>10.0</v>
      </c>
      <c r="D3492" s="1" t="s">
        <v>87</v>
      </c>
      <c r="E3492" s="1" t="str">
        <f>IFERROR(__xludf.DUMMYFUNCTION("GOOGLETRANSLATE(D3492,""PT"",""EN"")"),"Personalized service")</f>
        <v>Personalized service</v>
      </c>
    </row>
    <row r="3493" ht="14.25" customHeight="1">
      <c r="A3493" s="1">
        <v>100.0</v>
      </c>
      <c r="B3493" s="1" t="s">
        <v>1340</v>
      </c>
      <c r="C3493" s="1">
        <v>10.0</v>
      </c>
      <c r="D3493" s="1" t="s">
        <v>6</v>
      </c>
      <c r="E3493" s="1"/>
    </row>
    <row r="3494" ht="14.25" customHeight="1">
      <c r="A3494" s="1">
        <v>100.0</v>
      </c>
      <c r="B3494" s="1" t="s">
        <v>1340</v>
      </c>
      <c r="C3494" s="1">
        <v>10.0</v>
      </c>
      <c r="D3494" s="2" t="s">
        <v>1551</v>
      </c>
      <c r="E3494" s="1" t="str">
        <f>IFERROR(__xludf.DUMMYFUNCTION("GOOGLETRANSLATE(D3494,""PT"",""EN"")"),"I am always well attended is always solve what I need.")</f>
        <v>I am always well attended is always solve what I need.</v>
      </c>
    </row>
    <row r="3495" ht="14.25" customHeight="1">
      <c r="A3495" s="1">
        <v>100.0</v>
      </c>
      <c r="B3495" s="1" t="s">
        <v>1340</v>
      </c>
      <c r="C3495" s="1">
        <v>9.0</v>
      </c>
      <c r="D3495" s="1" t="s">
        <v>1552</v>
      </c>
      <c r="E3495" s="1" t="str">
        <f>IFERROR(__xludf.DUMMYFUNCTION("GOOGLETRANSLATE(D3495,""PT"",""EN"")"),"I am attended by great services")</f>
        <v>I am attended by great services</v>
      </c>
    </row>
    <row r="3496" ht="14.25" customHeight="1">
      <c r="A3496" s="1">
        <v>100.0</v>
      </c>
      <c r="B3496" s="1" t="s">
        <v>1340</v>
      </c>
      <c r="C3496" s="1">
        <v>10.0</v>
      </c>
      <c r="D3496" s="2" t="s">
        <v>1553</v>
      </c>
      <c r="E3496" s="1" t="str">
        <f>IFERROR(__xludf.DUMMYFUNCTION("GOOGLETRANSLATE(D3496,""PT"",""EN"")"),"The Bank has human service, is not technological")</f>
        <v>The Bank has human service, is not technological</v>
      </c>
    </row>
    <row r="3497" ht="14.25" customHeight="1">
      <c r="A3497" s="1">
        <v>100.0</v>
      </c>
      <c r="B3497" s="1" t="s">
        <v>1340</v>
      </c>
      <c r="C3497" s="1">
        <v>10.0</v>
      </c>
      <c r="D3497" s="1" t="s">
        <v>1554</v>
      </c>
      <c r="E3497" s="1" t="str">
        <f>IFERROR(__xludf.DUMMYFUNCTION("GOOGLETRANSLATE(D3497,""PT"",""EN"")"),"ten")</f>
        <v>ten</v>
      </c>
    </row>
    <row r="3498" ht="14.25" customHeight="1">
      <c r="A3498" s="1">
        <v>66.0</v>
      </c>
      <c r="B3498" s="1" t="s">
        <v>1340</v>
      </c>
      <c r="C3498" s="1">
        <v>8.0</v>
      </c>
      <c r="D3498" s="1" t="s">
        <v>6</v>
      </c>
      <c r="E3498" s="1"/>
    </row>
    <row r="3499" ht="14.25" customHeight="1">
      <c r="A3499" s="1">
        <v>100.0</v>
      </c>
      <c r="B3499" s="1" t="s">
        <v>1340</v>
      </c>
      <c r="C3499" s="1">
        <v>10.0</v>
      </c>
      <c r="D3499" s="1" t="s">
        <v>6</v>
      </c>
      <c r="E3499" s="1"/>
    </row>
    <row r="3500" ht="14.25" customHeight="1">
      <c r="A3500" s="1">
        <v>100.0</v>
      </c>
      <c r="B3500" s="1" t="s">
        <v>1340</v>
      </c>
      <c r="C3500" s="1">
        <v>10.0</v>
      </c>
      <c r="D3500" s="1" t="s">
        <v>456</v>
      </c>
      <c r="E3500" s="1" t="str">
        <f>IFERROR(__xludf.DUMMYFUNCTION("GOOGLETRANSLATE(D3500,""PT"",""EN"")"),"service")</f>
        <v>service</v>
      </c>
    </row>
    <row r="3501" ht="14.25" customHeight="1">
      <c r="A3501" s="1">
        <v>100.0</v>
      </c>
      <c r="B3501" s="1" t="s">
        <v>1340</v>
      </c>
      <c r="C3501" s="1">
        <v>10.0</v>
      </c>
      <c r="D3501" s="1" t="s">
        <v>6</v>
      </c>
      <c r="E3501" s="1"/>
    </row>
    <row r="3502" ht="14.25" customHeight="1">
      <c r="A3502" s="1">
        <v>100.0</v>
      </c>
      <c r="B3502" s="1" t="s">
        <v>1340</v>
      </c>
      <c r="C3502" s="1">
        <v>10.0</v>
      </c>
      <c r="D3502" s="1" t="s">
        <v>1555</v>
      </c>
      <c r="E3502" s="1" t="str">
        <f>IFERROR(__xludf.DUMMYFUNCTION("GOOGLETRANSLATE(D3502,""PT"",""EN"")"),"Service cost low ease of business")</f>
        <v>Service cost low ease of business</v>
      </c>
    </row>
    <row r="3503" ht="14.25" customHeight="1">
      <c r="A3503" s="1">
        <v>100.0</v>
      </c>
      <c r="B3503" s="1" t="s">
        <v>1340</v>
      </c>
      <c r="C3503" s="1">
        <v>10.0</v>
      </c>
      <c r="D3503" s="2" t="s">
        <v>1556</v>
      </c>
      <c r="E3503" s="1" t="str">
        <f>IFERROR(__xludf.DUMMYFUNCTION("GOOGLETRANSLATE(D3503,""PT"",""EN"")"),"Low interest rates is the service is excellent.")</f>
        <v>Low interest rates is the service is excellent.</v>
      </c>
    </row>
    <row r="3504" ht="14.25" customHeight="1">
      <c r="A3504" s="1">
        <v>33.0</v>
      </c>
      <c r="B3504" s="1" t="s">
        <v>1340</v>
      </c>
      <c r="C3504" s="1">
        <v>0.0</v>
      </c>
      <c r="D3504" s="1" t="s">
        <v>6</v>
      </c>
      <c r="E3504" s="1"/>
    </row>
    <row r="3505" ht="14.25" customHeight="1">
      <c r="A3505" s="1">
        <v>66.0</v>
      </c>
      <c r="B3505" s="1" t="s">
        <v>1340</v>
      </c>
      <c r="C3505" s="1">
        <v>7.0</v>
      </c>
      <c r="D3505" s="1" t="s">
        <v>6</v>
      </c>
      <c r="E3505" s="1"/>
    </row>
    <row r="3506" ht="14.25" customHeight="1">
      <c r="A3506" s="1">
        <v>33.0</v>
      </c>
      <c r="B3506" s="1" t="s">
        <v>1340</v>
      </c>
      <c r="C3506" s="1">
        <v>0.0</v>
      </c>
      <c r="D3506" s="1" t="s">
        <v>6</v>
      </c>
      <c r="E3506" s="1"/>
    </row>
    <row r="3507" ht="14.25" customHeight="1">
      <c r="A3507" s="1">
        <v>66.0</v>
      </c>
      <c r="B3507" s="1" t="s">
        <v>1340</v>
      </c>
      <c r="C3507" s="1">
        <v>8.0</v>
      </c>
      <c r="D3507" s="1" t="s">
        <v>6</v>
      </c>
      <c r="E3507" s="1"/>
    </row>
    <row r="3508" ht="14.25" customHeight="1">
      <c r="A3508" s="1">
        <v>100.0</v>
      </c>
      <c r="B3508" s="1" t="s">
        <v>1340</v>
      </c>
      <c r="C3508" s="1">
        <v>10.0</v>
      </c>
      <c r="D3508" s="1" t="s">
        <v>1557</v>
      </c>
      <c r="E3508" s="1" t="str">
        <f>IFERROR(__xludf.DUMMYFUNCTION("GOOGLETRANSLATE(D3508,""PT"",""EN"")"),"I am always well attended by all")</f>
        <v>I am always well attended by all</v>
      </c>
    </row>
    <row r="3509" ht="14.25" customHeight="1">
      <c r="A3509" s="1">
        <v>33.0</v>
      </c>
      <c r="B3509" s="1" t="s">
        <v>1340</v>
      </c>
      <c r="C3509" s="1">
        <v>0.0</v>
      </c>
      <c r="D3509" s="2" t="s">
        <v>1558</v>
      </c>
      <c r="E3509" s="1" t="str">
        <f>IFERROR(__xludf.DUMMYFUNCTION("GOOGLETRANSLATE(D3509,""PT"",""EN"")"),"horrible manager")</f>
        <v>horrible manager</v>
      </c>
    </row>
    <row r="3510" ht="14.25" customHeight="1">
      <c r="A3510" s="1">
        <v>33.0</v>
      </c>
      <c r="B3510" s="1" t="s">
        <v>1340</v>
      </c>
      <c r="C3510" s="1">
        <v>5.0</v>
      </c>
      <c r="D3510" s="2" t="s">
        <v>1559</v>
      </c>
      <c r="E3510" s="1" t="str">
        <f>IFERROR(__xludf.DUMMYFUNCTION("GOOGLETRANSLATE(D3510,""PT"",""EN"")"),"Capital account ... I am a liquidator, my condominium has no special check limit, no credit card ... Still we are required to get 3700 reais stopped ... We decided to cancel the account ... We pay account maintenance, Boleto rate.")</f>
        <v>Capital account ... I am a liquidator, my condominium has no special check limit, no credit card ... Still we are required to get 3700 reais stopped ... We decided to cancel the account ... We pay account maintenance, Boleto rate.</v>
      </c>
    </row>
    <row r="3511" ht="14.25" customHeight="1">
      <c r="A3511" s="1">
        <v>66.0</v>
      </c>
      <c r="B3511" s="1" t="s">
        <v>1340</v>
      </c>
      <c r="C3511" s="1">
        <v>7.0</v>
      </c>
      <c r="D3511" s="2" t="s">
        <v>1560</v>
      </c>
      <c r="E3511" s="1" t="str">
        <f>IFERROR(__xludf.DUMMYFUNCTION("GOOGLETRANSLATE(D3511,""PT"",""EN"")"),"I don't like the account management very much. We can never talk when we need the manager of our account. We have to speak at the Call Center. This is very bad.")</f>
        <v>I don't like the account management very much. We can never talk when we need the manager of our account. We have to speak at the Call Center. This is very bad.</v>
      </c>
    </row>
    <row r="3512" ht="14.25" customHeight="1">
      <c r="A3512" s="1">
        <v>100.0</v>
      </c>
      <c r="B3512" s="1" t="s">
        <v>1340</v>
      </c>
      <c r="C3512" s="1">
        <v>9.0</v>
      </c>
      <c r="D3512" s="1" t="s">
        <v>85</v>
      </c>
      <c r="E3512" s="1" t="str">
        <f>IFERROR(__xludf.DUMMYFUNCTION("GOOGLETRANSLATE(D3512,""PT"",""EN"")"),"Service")</f>
        <v>Service</v>
      </c>
    </row>
    <row r="3513" ht="14.25" customHeight="1">
      <c r="A3513" s="1">
        <v>33.0</v>
      </c>
      <c r="B3513" s="1" t="s">
        <v>1340</v>
      </c>
      <c r="C3513" s="1">
        <v>0.0</v>
      </c>
      <c r="D3513" s="1" t="s">
        <v>1561</v>
      </c>
      <c r="E3513" s="1" t="str">
        <f>IFERROR(__xludf.DUMMYFUNCTION("GOOGLETRANSLATE(D3513,""PT"",""EN"")"),"Change in the form of service")</f>
        <v>Change in the form of service</v>
      </c>
    </row>
    <row r="3514" ht="14.25" customHeight="1">
      <c r="A3514" s="1">
        <v>100.0</v>
      </c>
      <c r="B3514" s="1" t="s">
        <v>1340</v>
      </c>
      <c r="C3514" s="1">
        <v>9.0</v>
      </c>
      <c r="D3514" s="2" t="s">
        <v>1562</v>
      </c>
      <c r="E3514" s="1" t="str">
        <f>IFERROR(__xludf.DUMMYFUNCTION("GOOGLETRANSLATE(D3514,""PT"",""EN"")"),"You have to greatly improve interpersonal care")</f>
        <v>You have to greatly improve interpersonal care</v>
      </c>
    </row>
    <row r="3515" ht="14.25" customHeight="1">
      <c r="A3515" s="1">
        <v>100.0</v>
      </c>
      <c r="B3515" s="1" t="s">
        <v>1340</v>
      </c>
      <c r="C3515" s="1">
        <v>10.0</v>
      </c>
      <c r="D3515" s="1" t="s">
        <v>6</v>
      </c>
      <c r="E3515" s="1"/>
    </row>
    <row r="3516" ht="14.25" customHeight="1">
      <c r="A3516" s="1">
        <v>33.0</v>
      </c>
      <c r="B3516" s="1" t="s">
        <v>1340</v>
      </c>
      <c r="C3516" s="1">
        <v>6.0</v>
      </c>
      <c r="D3516" s="1" t="s">
        <v>1301</v>
      </c>
      <c r="E3516" s="1" t="str">
        <f>IFERROR(__xludf.DUMMYFUNCTION("GOOGLETRANSLATE(D3516,""PT"",""EN"")"),"A")</f>
        <v>A</v>
      </c>
    </row>
    <row r="3517" ht="14.25" customHeight="1">
      <c r="A3517" s="1">
        <v>66.0</v>
      </c>
      <c r="B3517" s="1" t="s">
        <v>1340</v>
      </c>
      <c r="C3517" s="1">
        <v>7.0</v>
      </c>
      <c r="D3517" s="1" t="s">
        <v>6</v>
      </c>
      <c r="E3517" s="1"/>
    </row>
    <row r="3518" ht="14.25" customHeight="1">
      <c r="A3518" s="1">
        <v>33.0</v>
      </c>
      <c r="B3518" s="1" t="s">
        <v>1340</v>
      </c>
      <c r="C3518" s="1">
        <v>6.0</v>
      </c>
      <c r="D3518" s="1" t="s">
        <v>6</v>
      </c>
      <c r="E3518" s="1"/>
    </row>
    <row r="3519" ht="14.25" customHeight="1">
      <c r="A3519" s="1">
        <v>100.0</v>
      </c>
      <c r="B3519" s="1" t="s">
        <v>1340</v>
      </c>
      <c r="C3519" s="1">
        <v>9.0</v>
      </c>
      <c r="D3519" s="1" t="s">
        <v>6</v>
      </c>
      <c r="E3519" s="1"/>
    </row>
    <row r="3520" ht="14.25" customHeight="1">
      <c r="A3520" s="1">
        <v>100.0</v>
      </c>
      <c r="B3520" s="1" t="s">
        <v>1340</v>
      </c>
      <c r="C3520" s="1">
        <v>10.0</v>
      </c>
      <c r="D3520" s="1" t="s">
        <v>803</v>
      </c>
      <c r="E3520" s="1" t="str">
        <f>IFERROR(__xludf.DUMMYFUNCTION("GOOGLETRANSLATE(D3520,""PT"",""EN"")"),"Good")</f>
        <v>Good</v>
      </c>
    </row>
    <row r="3521" ht="14.25" customHeight="1">
      <c r="A3521" s="1">
        <v>100.0</v>
      </c>
      <c r="B3521" s="1" t="s">
        <v>1340</v>
      </c>
      <c r="C3521" s="1">
        <v>10.0</v>
      </c>
      <c r="D3521" s="1" t="s">
        <v>6</v>
      </c>
      <c r="E3521" s="1"/>
    </row>
    <row r="3522" ht="14.25" customHeight="1">
      <c r="A3522" s="1">
        <v>33.0</v>
      </c>
      <c r="B3522" s="1" t="s">
        <v>1340</v>
      </c>
      <c r="C3522" s="1">
        <v>6.0</v>
      </c>
      <c r="D3522" s="1" t="s">
        <v>6</v>
      </c>
      <c r="E3522" s="1"/>
    </row>
    <row r="3523" ht="14.25" customHeight="1">
      <c r="A3523" s="1">
        <v>100.0</v>
      </c>
      <c r="B3523" s="1" t="s">
        <v>1340</v>
      </c>
      <c r="C3523" s="1">
        <v>10.0</v>
      </c>
      <c r="D3523" s="2" t="s">
        <v>1563</v>
      </c>
      <c r="E3523" s="1" t="str">
        <f>IFERROR(__xludf.DUMMYFUNCTION("GOOGLETRANSLATE(D3523,""PT"",""EN"")"),"Service and help!")</f>
        <v>Service and help!</v>
      </c>
    </row>
    <row r="3524" ht="14.25" customHeight="1">
      <c r="A3524" s="1">
        <v>33.0</v>
      </c>
      <c r="B3524" s="1" t="s">
        <v>1340</v>
      </c>
      <c r="C3524" s="1">
        <v>4.0</v>
      </c>
      <c r="D3524" s="1" t="s">
        <v>6</v>
      </c>
      <c r="E3524" s="1"/>
    </row>
    <row r="3525" ht="14.25" customHeight="1">
      <c r="A3525" s="1">
        <v>33.0</v>
      </c>
      <c r="B3525" s="1" t="s">
        <v>1340</v>
      </c>
      <c r="C3525" s="1">
        <v>0.0</v>
      </c>
      <c r="D3525" s="2" t="s">
        <v>1564</v>
      </c>
      <c r="E3525" s="1" t="str">
        <f>IFERROR(__xludf.DUMMYFUNCTION("GOOGLETRANSLATE(D3525,""PT"",""EN"")"),"Only those who have money that has value there")</f>
        <v>Only those who have money that has value there</v>
      </c>
    </row>
    <row r="3526" ht="14.25" customHeight="1">
      <c r="A3526" s="1">
        <v>100.0</v>
      </c>
      <c r="B3526" s="1" t="s">
        <v>1340</v>
      </c>
      <c r="C3526" s="1">
        <v>10.0</v>
      </c>
      <c r="D3526" s="1" t="s">
        <v>1565</v>
      </c>
      <c r="E3526" s="1" t="str">
        <f>IFERROR(__xludf.DUMMYFUNCTION("GOOGLETRANSLATE(D3526,""PT"",""EN"")"),"If cooperated, therefore")</f>
        <v>If cooperated, therefore</v>
      </c>
    </row>
    <row r="3527" ht="14.25" customHeight="1">
      <c r="A3527" s="1">
        <v>100.0</v>
      </c>
      <c r="B3527" s="1" t="s">
        <v>1340</v>
      </c>
      <c r="C3527" s="1">
        <v>10.0</v>
      </c>
      <c r="D3527" s="1" t="s">
        <v>712</v>
      </c>
      <c r="E3527" s="1" t="str">
        <f>IFERROR(__xludf.DUMMYFUNCTION("GOOGLETRANSLATE(D3527,""PT"",""EN"")"),"Ten")</f>
        <v>Ten</v>
      </c>
    </row>
    <row r="3528" ht="14.25" customHeight="1">
      <c r="A3528" s="1">
        <v>33.0</v>
      </c>
      <c r="B3528" s="1" t="s">
        <v>1340</v>
      </c>
      <c r="C3528" s="1">
        <v>0.0</v>
      </c>
      <c r="D3528" s="1" t="s">
        <v>6</v>
      </c>
      <c r="E3528" s="1"/>
    </row>
    <row r="3529" ht="14.25" customHeight="1">
      <c r="A3529" s="1">
        <v>66.0</v>
      </c>
      <c r="B3529" s="1" t="s">
        <v>1340</v>
      </c>
      <c r="C3529" s="1">
        <v>8.0</v>
      </c>
      <c r="D3529" s="1" t="s">
        <v>62</v>
      </c>
      <c r="E3529" s="1" t="str">
        <f>IFERROR(__xludf.DUMMYFUNCTION("GOOGLETRANSLATE(D3529,""PT"",""EN"")"),"Good service")</f>
        <v>Good service</v>
      </c>
    </row>
    <row r="3530" ht="14.25" customHeight="1">
      <c r="A3530" s="1">
        <v>100.0</v>
      </c>
      <c r="B3530" s="1" t="s">
        <v>1340</v>
      </c>
      <c r="C3530" s="1">
        <v>10.0</v>
      </c>
      <c r="D3530" s="1" t="s">
        <v>6</v>
      </c>
      <c r="E3530" s="1"/>
    </row>
    <row r="3531" ht="14.25" customHeight="1">
      <c r="A3531" s="1">
        <v>100.0</v>
      </c>
      <c r="B3531" s="1" t="s">
        <v>1340</v>
      </c>
      <c r="C3531" s="1">
        <v>10.0</v>
      </c>
      <c r="D3531" s="1" t="s">
        <v>6</v>
      </c>
      <c r="E3531" s="1"/>
    </row>
    <row r="3532" ht="14.25" customHeight="1">
      <c r="A3532" s="1">
        <v>66.0</v>
      </c>
      <c r="B3532" s="1" t="s">
        <v>1340</v>
      </c>
      <c r="C3532" s="1">
        <v>8.0</v>
      </c>
      <c r="D3532" s="2" t="s">
        <v>1566</v>
      </c>
      <c r="E3532" s="1" t="str">
        <f>IFERROR(__xludf.DUMMYFUNCTION("GOOGLETRANSLATE(D3532,""PT"",""EN"")"),"Application facilities could also be in the computer version")</f>
        <v>Application facilities could also be in the computer version</v>
      </c>
    </row>
    <row r="3533" ht="14.25" customHeight="1">
      <c r="A3533" s="1">
        <v>100.0</v>
      </c>
      <c r="B3533" s="1" t="s">
        <v>1340</v>
      </c>
      <c r="C3533" s="1">
        <v>10.0</v>
      </c>
      <c r="D3533" s="1" t="s">
        <v>6</v>
      </c>
      <c r="E3533" s="1"/>
    </row>
    <row r="3534" ht="14.25" customHeight="1">
      <c r="A3534" s="1">
        <v>100.0</v>
      </c>
      <c r="B3534" s="1" t="s">
        <v>1340</v>
      </c>
      <c r="C3534" s="1">
        <v>10.0</v>
      </c>
      <c r="D3534" s="1" t="s">
        <v>1567</v>
      </c>
      <c r="E3534" s="1" t="str">
        <f>IFERROR(__xludf.DUMMYFUNCTION("GOOGLETRANSLATE(D3534,""PT"",""EN"")"),"Personal serves very well")</f>
        <v>Personal serves very well</v>
      </c>
    </row>
    <row r="3535" ht="14.25" customHeight="1">
      <c r="A3535" s="1">
        <v>33.0</v>
      </c>
      <c r="B3535" s="1" t="s">
        <v>1340</v>
      </c>
      <c r="C3535" s="1">
        <v>2.0</v>
      </c>
      <c r="D3535" s="2" t="s">
        <v>1568</v>
      </c>
      <c r="E3535" s="1" t="str">
        <f>IFERROR(__xludf.DUMMYFUNCTION("GOOGLETRANSLATE(D3535,""PT"",""EN"")"),"Very bad credit! You open Open Finance is not even 10 % of other banks, you are still required to buy quotas that when you close the bill you have to pay the shit loss that managers have done!")</f>
        <v>Very bad credit! You open Open Finance is not even 10 % of other banks, you are still required to buy quotas that when you close the bill you have to pay the shit loss that managers have done!</v>
      </c>
    </row>
    <row r="3536" ht="14.25" customHeight="1">
      <c r="A3536" s="1">
        <v>66.0</v>
      </c>
      <c r="B3536" s="1" t="s">
        <v>1340</v>
      </c>
      <c r="C3536" s="1">
        <v>8.0</v>
      </c>
      <c r="D3536" s="2" t="s">
        <v>1569</v>
      </c>
      <c r="E3536" s="1" t="str">
        <f>IFERROR(__xludf.DUMMYFUNCTION("GOOGLETRANSLATE(D3536,""PT"",""EN"")"),"They are usually not well attended.")</f>
        <v>They are usually not well attended.</v>
      </c>
    </row>
    <row r="3537" ht="14.25" customHeight="1">
      <c r="A3537" s="1">
        <v>100.0</v>
      </c>
      <c r="B3537" s="1" t="s">
        <v>1340</v>
      </c>
      <c r="C3537" s="1">
        <v>10.0</v>
      </c>
      <c r="D3537" s="1" t="s">
        <v>6</v>
      </c>
      <c r="E3537" s="1"/>
    </row>
    <row r="3538" ht="14.25" customHeight="1">
      <c r="A3538" s="1">
        <v>100.0</v>
      </c>
      <c r="B3538" s="1" t="s">
        <v>1340</v>
      </c>
      <c r="C3538" s="1">
        <v>10.0</v>
      </c>
      <c r="D3538" s="1" t="s">
        <v>6</v>
      </c>
      <c r="E3538" s="1"/>
    </row>
    <row r="3539" ht="14.25" customHeight="1">
      <c r="A3539" s="1">
        <v>33.0</v>
      </c>
      <c r="B3539" s="1" t="s">
        <v>1340</v>
      </c>
      <c r="C3539" s="1">
        <v>0.0</v>
      </c>
      <c r="D3539" s="2" t="s">
        <v>1570</v>
      </c>
      <c r="E3539" s="1" t="str">
        <f>IFERROR(__xludf.DUMMYFUNCTION("GOOGLETRANSLATE(D3539,""PT"",""EN"")"),"The disregard of my agency manager, gives me no satisfaction of anything, leave document proof of yielding tax to see if the credit card limit increases is to this day not satisfaction has given !!!")</f>
        <v>The disregard of my agency manager, gives me no satisfaction of anything, leave document proof of yielding tax to see if the credit card limit increases is to this day not satisfaction has given !!!</v>
      </c>
    </row>
    <row r="3540" ht="14.25" customHeight="1">
      <c r="A3540" s="1">
        <v>100.0</v>
      </c>
      <c r="B3540" s="1" t="s">
        <v>1340</v>
      </c>
      <c r="C3540" s="1">
        <v>9.0</v>
      </c>
      <c r="D3540" s="1" t="s">
        <v>6</v>
      </c>
      <c r="E3540" s="1"/>
    </row>
    <row r="3541" ht="14.25" customHeight="1">
      <c r="A3541" s="1">
        <v>33.0</v>
      </c>
      <c r="B3541" s="1" t="s">
        <v>1340</v>
      </c>
      <c r="C3541" s="1">
        <v>4.0</v>
      </c>
      <c r="D3541" s="1" t="s">
        <v>6</v>
      </c>
      <c r="E3541" s="1"/>
    </row>
    <row r="3542" ht="14.25" customHeight="1">
      <c r="A3542" s="1">
        <v>100.0</v>
      </c>
      <c r="B3542" s="1" t="s">
        <v>1340</v>
      </c>
      <c r="C3542" s="1">
        <v>9.0</v>
      </c>
      <c r="D3542" s="1" t="s">
        <v>6</v>
      </c>
      <c r="E3542" s="1"/>
    </row>
    <row r="3543" ht="14.25" customHeight="1">
      <c r="A3543" s="1">
        <v>100.0</v>
      </c>
      <c r="B3543" s="1" t="s">
        <v>1340</v>
      </c>
      <c r="C3543" s="1">
        <v>10.0</v>
      </c>
      <c r="D3543" s="2" t="s">
        <v>1571</v>
      </c>
      <c r="E3543" s="1" t="str">
        <f>IFERROR(__xludf.DUMMYFUNCTION("GOOGLETRANSLATE(D3543,""PT"",""EN"")"),"Work is already 4 years old with Sicoob, is excellent ..")</f>
        <v>Work is already 4 years old with Sicoob, is excellent ..</v>
      </c>
    </row>
    <row r="3544" ht="14.25" customHeight="1">
      <c r="A3544" s="1">
        <v>33.0</v>
      </c>
      <c r="B3544" s="1" t="s">
        <v>1340</v>
      </c>
      <c r="C3544" s="1">
        <v>0.0</v>
      </c>
      <c r="D3544" s="1" t="s">
        <v>1572</v>
      </c>
      <c r="E3544" s="1" t="str">
        <f>IFERROR(__xludf.DUMMYFUNCTION("GOOGLETRANSLATE(D3544,""PT"",""EN"")"),"Nothing solves digital")</f>
        <v>Nothing solves digital</v>
      </c>
    </row>
    <row r="3545" ht="14.25" customHeight="1">
      <c r="A3545" s="1">
        <v>100.0</v>
      </c>
      <c r="B3545" s="1" t="s">
        <v>1340</v>
      </c>
      <c r="C3545" s="1">
        <v>10.0</v>
      </c>
      <c r="D3545" s="1" t="s">
        <v>6</v>
      </c>
      <c r="E3545" s="1"/>
    </row>
    <row r="3546" ht="14.25" customHeight="1">
      <c r="A3546" s="1">
        <v>100.0</v>
      </c>
      <c r="B3546" s="1" t="s">
        <v>1340</v>
      </c>
      <c r="C3546" s="1">
        <v>10.0</v>
      </c>
      <c r="D3546" s="1" t="s">
        <v>1174</v>
      </c>
      <c r="E3546" s="1" t="str">
        <f>IFERROR(__xludf.DUMMYFUNCTION("GOOGLETRANSLATE(D3546,""PT"",""EN"")"),"very good service")</f>
        <v>very good service</v>
      </c>
    </row>
    <row r="3547" ht="14.25" customHeight="1">
      <c r="A3547" s="1">
        <v>100.0</v>
      </c>
      <c r="B3547" s="1" t="s">
        <v>1340</v>
      </c>
      <c r="C3547" s="1">
        <v>10.0</v>
      </c>
      <c r="D3547" s="1" t="s">
        <v>6</v>
      </c>
      <c r="E3547" s="1"/>
    </row>
    <row r="3548" ht="14.25" customHeight="1">
      <c r="A3548" s="1">
        <v>100.0</v>
      </c>
      <c r="B3548" s="1" t="s">
        <v>1340</v>
      </c>
      <c r="C3548" s="1">
        <v>10.0</v>
      </c>
      <c r="D3548" s="2" t="s">
        <v>1573</v>
      </c>
      <c r="E3548" s="1" t="str">
        <f>IFERROR(__xludf.DUMMYFUNCTION("GOOGLETRANSLATE(D3548,""PT"",""EN"")"),"SGPA-Goiânia Agência Team Service")</f>
        <v>SGPA-Goiânia Agência Team Service</v>
      </c>
    </row>
    <row r="3549" ht="14.25" customHeight="1">
      <c r="A3549" s="1">
        <v>100.0</v>
      </c>
      <c r="B3549" s="1" t="s">
        <v>1340</v>
      </c>
      <c r="C3549" s="1">
        <v>10.0</v>
      </c>
      <c r="D3549" s="1" t="s">
        <v>6</v>
      </c>
      <c r="E3549" s="1"/>
    </row>
    <row r="3550" ht="14.25" customHeight="1">
      <c r="A3550" s="1">
        <v>100.0</v>
      </c>
      <c r="B3550" s="1" t="s">
        <v>1340</v>
      </c>
      <c r="C3550" s="1">
        <v>10.0</v>
      </c>
      <c r="D3550" s="1" t="s">
        <v>1574</v>
      </c>
      <c r="E3550" s="1" t="str">
        <f>IFERROR(__xludf.DUMMYFUNCTION("GOOGLETRANSLATE(D3550,""PT"",""EN"")"),"Service, commitment, respect for customers")</f>
        <v>Service, commitment, respect for customers</v>
      </c>
    </row>
    <row r="3551" ht="14.25" customHeight="1">
      <c r="A3551" s="1">
        <v>100.0</v>
      </c>
      <c r="B3551" s="1" t="s">
        <v>1340</v>
      </c>
      <c r="C3551" s="1">
        <v>10.0</v>
      </c>
      <c r="D3551" s="1" t="s">
        <v>570</v>
      </c>
      <c r="E3551" s="1" t="str">
        <f>IFERROR(__xludf.DUMMYFUNCTION("GOOGLETRANSLATE(D3551,""PT"",""EN"")"),"Excelent reception")</f>
        <v>Excelent reception</v>
      </c>
    </row>
    <row r="3552" ht="14.25" customHeight="1">
      <c r="A3552" s="1">
        <v>100.0</v>
      </c>
      <c r="B3552" s="1" t="s">
        <v>1340</v>
      </c>
      <c r="C3552" s="1">
        <v>9.0</v>
      </c>
      <c r="D3552" s="2" t="s">
        <v>1575</v>
      </c>
      <c r="E3552" s="1" t="str">
        <f>IFERROR(__xludf.DUMMYFUNCTION("GOOGLETRANSLATE(D3552,""PT"",""EN"")"),"Promptness and kindness in service, parking.")</f>
        <v>Promptness and kindness in service, parking.</v>
      </c>
    </row>
    <row r="3553" ht="14.25" customHeight="1">
      <c r="A3553" s="1">
        <v>100.0</v>
      </c>
      <c r="B3553" s="1" t="s">
        <v>1340</v>
      </c>
      <c r="C3553" s="1">
        <v>10.0</v>
      </c>
      <c r="D3553" s="2" t="s">
        <v>1576</v>
      </c>
      <c r="E3553" s="1" t="str">
        <f>IFERROR(__xludf.DUMMYFUNCTION("GOOGLETRANSLATE(D3553,""PT"",""EN"")"),"It's an excellent cooperative ...")</f>
        <v>It's an excellent cooperative ...</v>
      </c>
    </row>
    <row r="3554" ht="14.25" customHeight="1">
      <c r="A3554" s="1">
        <v>100.0</v>
      </c>
      <c r="B3554" s="1" t="s">
        <v>1340</v>
      </c>
      <c r="C3554" s="1">
        <v>10.0</v>
      </c>
      <c r="D3554" s="1" t="s">
        <v>6</v>
      </c>
      <c r="E3554" s="1"/>
    </row>
    <row r="3555" ht="14.25" customHeight="1">
      <c r="A3555" s="1">
        <v>33.0</v>
      </c>
      <c r="B3555" s="1" t="s">
        <v>1340</v>
      </c>
      <c r="C3555" s="1">
        <v>0.0</v>
      </c>
      <c r="D3555" s="1" t="s">
        <v>6</v>
      </c>
      <c r="E3555" s="1"/>
    </row>
    <row r="3556" ht="14.25" customHeight="1">
      <c r="A3556" s="1">
        <v>33.0</v>
      </c>
      <c r="B3556" s="1" t="s">
        <v>1340</v>
      </c>
      <c r="C3556" s="1">
        <v>0.0</v>
      </c>
      <c r="D3556" s="2" t="s">
        <v>1577</v>
      </c>
      <c r="E3556" s="1" t="str">
        <f>IFERROR(__xludf.DUMMYFUNCTION("GOOGLETRANSLATE(D3556,""PT"",""EN"")"),"no customer relationship. Pessimal service.")</f>
        <v>no customer relationship. Pessimal service.</v>
      </c>
    </row>
    <row r="3557" ht="14.25" customHeight="1">
      <c r="A3557" s="1">
        <v>100.0</v>
      </c>
      <c r="B3557" s="1" t="s">
        <v>1340</v>
      </c>
      <c r="C3557" s="1">
        <v>10.0</v>
      </c>
      <c r="D3557" s="1" t="s">
        <v>6</v>
      </c>
      <c r="E3557" s="1"/>
    </row>
    <row r="3558" ht="14.25" customHeight="1">
      <c r="A3558" s="1">
        <v>66.0</v>
      </c>
      <c r="B3558" s="1" t="s">
        <v>1340</v>
      </c>
      <c r="C3558" s="1">
        <v>8.0</v>
      </c>
      <c r="D3558" s="1" t="s">
        <v>6</v>
      </c>
      <c r="E3558" s="1"/>
    </row>
    <row r="3559" ht="14.25" customHeight="1">
      <c r="A3559" s="1">
        <v>66.0</v>
      </c>
      <c r="B3559" s="1" t="s">
        <v>1340</v>
      </c>
      <c r="C3559" s="1">
        <v>8.0</v>
      </c>
      <c r="D3559" s="2" t="s">
        <v>1578</v>
      </c>
      <c r="E3559" s="1" t="str">
        <f>IFERROR(__xludf.DUMMYFUNCTION("GOOGLETRANSLATE(D3559,""PT"",""EN"")"),"Communication is not very easy")</f>
        <v>Communication is not very easy</v>
      </c>
    </row>
    <row r="3560" ht="14.25" customHeight="1">
      <c r="A3560" s="1">
        <v>33.0</v>
      </c>
      <c r="B3560" s="1" t="s">
        <v>1340</v>
      </c>
      <c r="C3560" s="1">
        <v>5.0</v>
      </c>
      <c r="D3560" s="1" t="s">
        <v>1579</v>
      </c>
      <c r="E3560" s="1"/>
    </row>
    <row r="3561" ht="14.25" customHeight="1">
      <c r="A3561" s="1">
        <v>100.0</v>
      </c>
      <c r="B3561" s="1" t="s">
        <v>1340</v>
      </c>
      <c r="C3561" s="1">
        <v>10.0</v>
      </c>
      <c r="D3561" s="2" t="s">
        <v>1580</v>
      </c>
      <c r="E3561" s="1" t="str">
        <f>IFERROR(__xludf.DUMMYFUNCTION("GOOGLETRANSLATE(D3561,""PT"",""EN"")"),"I like Sicoob's employee is from us that a love of person.")</f>
        <v>I like Sicoob's employee is from us that a love of person.</v>
      </c>
    </row>
    <row r="3562" ht="14.25" customHeight="1">
      <c r="A3562" s="1">
        <v>100.0</v>
      </c>
      <c r="B3562" s="1" t="s">
        <v>1340</v>
      </c>
      <c r="C3562" s="1">
        <v>10.0</v>
      </c>
      <c r="D3562" s="1" t="s">
        <v>6</v>
      </c>
      <c r="E3562" s="1"/>
    </row>
    <row r="3563" ht="14.25" customHeight="1">
      <c r="A3563" s="1">
        <v>100.0</v>
      </c>
      <c r="B3563" s="1" t="s">
        <v>1340</v>
      </c>
      <c r="C3563" s="1">
        <v>9.0</v>
      </c>
      <c r="D3563" s="1" t="s">
        <v>192</v>
      </c>
      <c r="E3563" s="1" t="str">
        <f>IFERROR(__xludf.DUMMYFUNCTION("GOOGLETRANSLATE(D3563,""PT"",""EN"")"),"Great")</f>
        <v>Great</v>
      </c>
    </row>
    <row r="3564" ht="14.25" customHeight="1">
      <c r="A3564" s="1">
        <v>33.0</v>
      </c>
      <c r="B3564" s="1" t="s">
        <v>1340</v>
      </c>
      <c r="C3564" s="1">
        <v>0.0</v>
      </c>
      <c r="D3564" s="2" t="s">
        <v>1581</v>
      </c>
      <c r="E3564" s="1" t="str">
        <f>IFERROR(__xludf.DUMMYFUNCTION("GOOGLETRANSLATE(D3564,""PT"",""EN"")"),"No way, I already received 5 emails from this research.")</f>
        <v>No way, I already received 5 emails from this research.</v>
      </c>
    </row>
    <row r="3565" ht="14.25" customHeight="1">
      <c r="A3565" s="1">
        <v>100.0</v>
      </c>
      <c r="B3565" s="1" t="s">
        <v>1340</v>
      </c>
      <c r="C3565" s="1">
        <v>10.0</v>
      </c>
      <c r="D3565" s="2" t="s">
        <v>1582</v>
      </c>
      <c r="E3565" s="1" t="str">
        <f>IFERROR(__xludf.DUMMYFUNCTION("GOOGLETRANSLATE(D3565,""PT"",""EN"")"),"I am very pleased with all the service that Sicoob gives me")</f>
        <v>I am very pleased with all the service that Sicoob gives me</v>
      </c>
    </row>
    <row r="3566" ht="14.25" customHeight="1">
      <c r="A3566" s="1">
        <v>100.0</v>
      </c>
      <c r="B3566" s="1" t="s">
        <v>1340</v>
      </c>
      <c r="C3566" s="1">
        <v>10.0</v>
      </c>
      <c r="D3566" s="2" t="s">
        <v>1583</v>
      </c>
      <c r="E3566" s="1" t="str">
        <f>IFERROR(__xludf.DUMMYFUNCTION("GOOGLETRANSLATE(D3566,""PT"",""EN"")"),"The service, the promptness is the attention of my agency employees.")</f>
        <v>The service, the promptness is the attention of my agency employees.</v>
      </c>
    </row>
    <row r="3567" ht="14.25" customHeight="1">
      <c r="A3567" s="1">
        <v>100.0</v>
      </c>
      <c r="B3567" s="1" t="s">
        <v>1340</v>
      </c>
      <c r="C3567" s="1">
        <v>10.0</v>
      </c>
      <c r="D3567" s="1" t="s">
        <v>6</v>
      </c>
      <c r="E3567" s="1"/>
    </row>
    <row r="3568" ht="14.25" customHeight="1">
      <c r="A3568" s="1">
        <v>100.0</v>
      </c>
      <c r="B3568" s="1" t="s">
        <v>1340</v>
      </c>
      <c r="C3568" s="1">
        <v>10.0</v>
      </c>
      <c r="D3568" s="1" t="s">
        <v>62</v>
      </c>
      <c r="E3568" s="1" t="str">
        <f>IFERROR(__xludf.DUMMYFUNCTION("GOOGLETRANSLATE(D3568,""PT"",""EN"")"),"Good service")</f>
        <v>Good service</v>
      </c>
    </row>
    <row r="3569" ht="14.25" customHeight="1">
      <c r="A3569" s="1">
        <v>100.0</v>
      </c>
      <c r="B3569" s="1" t="s">
        <v>1340</v>
      </c>
      <c r="C3569" s="1">
        <v>9.0</v>
      </c>
      <c r="D3569" s="1" t="s">
        <v>6</v>
      </c>
      <c r="E3569" s="1"/>
    </row>
    <row r="3570" ht="14.25" customHeight="1">
      <c r="A3570" s="1">
        <v>100.0</v>
      </c>
      <c r="B3570" s="1" t="s">
        <v>1340</v>
      </c>
      <c r="C3570" s="1">
        <v>10.0</v>
      </c>
      <c r="D3570" s="1" t="s">
        <v>6</v>
      </c>
      <c r="E3570" s="1"/>
    </row>
    <row r="3571" ht="14.25" customHeight="1">
      <c r="A3571" s="1">
        <v>33.0</v>
      </c>
      <c r="B3571" s="1" t="s">
        <v>1340</v>
      </c>
      <c r="C3571" s="1">
        <v>0.0</v>
      </c>
      <c r="D3571" s="2" t="s">
        <v>1584</v>
      </c>
      <c r="E3571" s="1" t="str">
        <f>IFERROR(__xludf.DUMMYFUNCTION("GOOGLETRANSLATE(D3571,""PT"",""EN"")"),"Delay in response is requests. Manager change is non -information to customers.")</f>
        <v>Delay in response is requests. Manager change is non -information to customers.</v>
      </c>
    </row>
    <row r="3572" ht="14.25" customHeight="1">
      <c r="A3572" s="1">
        <v>100.0</v>
      </c>
      <c r="B3572" s="1" t="s">
        <v>1340</v>
      </c>
      <c r="C3572" s="1">
        <v>9.0</v>
      </c>
      <c r="D3572" s="1" t="s">
        <v>1585</v>
      </c>
      <c r="E3572" s="1" t="str">
        <f>IFERROR(__xludf.DUMMYFUNCTION("GOOGLETRANSLATE(D3572,""PT"",""EN"")"),"MT MANAGE GOOD")</f>
        <v>MT MANAGE GOOD</v>
      </c>
    </row>
    <row r="3573" ht="14.25" customHeight="1">
      <c r="A3573" s="1">
        <v>100.0</v>
      </c>
      <c r="B3573" s="1" t="s">
        <v>1340</v>
      </c>
      <c r="C3573" s="1">
        <v>10.0</v>
      </c>
      <c r="D3573" s="1" t="s">
        <v>6</v>
      </c>
      <c r="E3573" s="1"/>
    </row>
    <row r="3574" ht="14.25" customHeight="1">
      <c r="A3574" s="1">
        <v>100.0</v>
      </c>
      <c r="B3574" s="1" t="s">
        <v>1340</v>
      </c>
      <c r="C3574" s="1">
        <v>10.0</v>
      </c>
      <c r="D3574" s="1" t="s">
        <v>6</v>
      </c>
      <c r="E3574" s="1"/>
    </row>
    <row r="3575" ht="14.25" customHeight="1">
      <c r="A3575" s="1">
        <v>33.0</v>
      </c>
      <c r="B3575" s="1" t="s">
        <v>1340</v>
      </c>
      <c r="C3575" s="1">
        <v>3.0</v>
      </c>
      <c r="D3575" s="1" t="s">
        <v>6</v>
      </c>
      <c r="E3575" s="1"/>
    </row>
    <row r="3576" ht="14.25" customHeight="1">
      <c r="A3576" s="1">
        <v>33.0</v>
      </c>
      <c r="B3576" s="1" t="s">
        <v>1340</v>
      </c>
      <c r="C3576" s="1">
        <v>4.0</v>
      </c>
      <c r="D3576" s="1" t="s">
        <v>1586</v>
      </c>
      <c r="E3576" s="1" t="str">
        <f>IFERROR(__xludf.DUMMYFUNCTION("GOOGLETRANSLATE(D3576,""PT"",""EN"")"),"Lack of support when I needed")</f>
        <v>Lack of support when I needed</v>
      </c>
    </row>
    <row r="3577" ht="14.25" customHeight="1">
      <c r="A3577" s="1">
        <v>100.0</v>
      </c>
      <c r="B3577" s="1" t="s">
        <v>1340</v>
      </c>
      <c r="C3577" s="1">
        <v>10.0</v>
      </c>
      <c r="D3577" s="1" t="s">
        <v>6</v>
      </c>
      <c r="E3577" s="1"/>
    </row>
    <row r="3578" ht="14.25" customHeight="1">
      <c r="A3578" s="1">
        <v>33.0</v>
      </c>
      <c r="B3578" s="1" t="s">
        <v>1340</v>
      </c>
      <c r="C3578" s="1">
        <v>5.0</v>
      </c>
      <c r="D3578" s="2" t="s">
        <v>1587</v>
      </c>
      <c r="E3578" s="1" t="str">
        <f>IFERROR(__xludf.DUMMYFUNCTION("GOOGLETRANSLATE(D3578,""PT"",""EN"")"),"Dissatisfaction with credit card, canceled purchase return does not solve, we stayed for several months is not resolved in other banks is solved quickly, needed to call the ombudsman is not resolved yet")</f>
        <v>Dissatisfaction with credit card, canceled purchase return does not solve, we stayed for several months is not resolved in other banks is solved quickly, needed to call the ombudsman is not resolved yet</v>
      </c>
    </row>
    <row r="3579" ht="14.25" customHeight="1">
      <c r="A3579" s="1">
        <v>33.0</v>
      </c>
      <c r="B3579" s="1" t="s">
        <v>1340</v>
      </c>
      <c r="C3579" s="1">
        <v>6.0</v>
      </c>
      <c r="D3579" s="2" t="s">
        <v>1588</v>
      </c>
      <c r="E3579" s="1" t="str">
        <f>IFERROR(__xludf.DUMMYFUNCTION("GOOGLETRANSLATE(D3579,""PT"",""EN"")"),"Poor care, difficulty in release of credit, lack of technology among others.")</f>
        <v>Poor care, difficulty in release of credit, lack of technology among others.</v>
      </c>
    </row>
    <row r="3580" ht="14.25" customHeight="1">
      <c r="A3580" s="1">
        <v>100.0</v>
      </c>
      <c r="B3580" s="1" t="s">
        <v>1340</v>
      </c>
      <c r="C3580" s="1">
        <v>10.0</v>
      </c>
      <c r="D3580" s="2" t="s">
        <v>1589</v>
      </c>
      <c r="E3580" s="1" t="str">
        <f>IFERROR(__xludf.DUMMYFUNCTION("GOOGLETRANSLATE(D3580,""PT"",""EN"")"),"Great service and speed")</f>
        <v>Great service and speed</v>
      </c>
    </row>
    <row r="3581" ht="14.25" customHeight="1">
      <c r="A3581" s="1">
        <v>100.0</v>
      </c>
      <c r="B3581" s="1" t="s">
        <v>1340</v>
      </c>
      <c r="C3581" s="1">
        <v>10.0</v>
      </c>
      <c r="D3581" s="2" t="s">
        <v>1590</v>
      </c>
      <c r="E3581" s="1" t="str">
        <f>IFERROR(__xludf.DUMMYFUNCTION("GOOGLETRANSLATE(D3581,""PT"",""EN"")"),"Excellent bank, great fees")</f>
        <v>Excellent bank, great fees</v>
      </c>
    </row>
    <row r="3582" ht="14.25" customHeight="1">
      <c r="A3582" s="1">
        <v>100.0</v>
      </c>
      <c r="B3582" s="1" t="s">
        <v>1340</v>
      </c>
      <c r="C3582" s="1">
        <v>10.0</v>
      </c>
      <c r="D3582" s="2" t="s">
        <v>1591</v>
      </c>
      <c r="E3582" s="1" t="str">
        <f>IFERROR(__xludf.DUMMYFUNCTION("GOOGLETRANSLATE(D3582,""PT"",""EN"")"),"Great service is helpful.")</f>
        <v>Great service is helpful.</v>
      </c>
    </row>
    <row r="3583" ht="14.25" customHeight="1">
      <c r="A3583" s="1">
        <v>100.0</v>
      </c>
      <c r="B3583" s="1" t="s">
        <v>1340</v>
      </c>
      <c r="C3583" s="1">
        <v>10.0</v>
      </c>
      <c r="D3583" s="2" t="s">
        <v>1592</v>
      </c>
      <c r="E3583" s="1" t="str">
        <f>IFERROR(__xludf.DUMMYFUNCTION("GOOGLETRANSLATE(D3583,""PT"",""EN"")"),"Ease of the system, the agility and promptness of the managers is the simplicity to work on the cooperative")</f>
        <v>Ease of the system, the agility and promptness of the managers is the simplicity to work on the cooperative</v>
      </c>
    </row>
    <row r="3584" ht="14.25" customHeight="1">
      <c r="A3584" s="1">
        <v>100.0</v>
      </c>
      <c r="B3584" s="1" t="s">
        <v>1340</v>
      </c>
      <c r="C3584" s="1">
        <v>9.0</v>
      </c>
      <c r="D3584" s="1" t="s">
        <v>6</v>
      </c>
      <c r="E3584" s="1"/>
    </row>
    <row r="3585" ht="14.25" customHeight="1">
      <c r="A3585" s="1">
        <v>100.0</v>
      </c>
      <c r="B3585" s="1" t="s">
        <v>1340</v>
      </c>
      <c r="C3585" s="1">
        <v>10.0</v>
      </c>
      <c r="D3585" s="1" t="s">
        <v>6</v>
      </c>
      <c r="E3585" s="1"/>
    </row>
    <row r="3586" ht="14.25" customHeight="1">
      <c r="A3586" s="1">
        <v>100.0</v>
      </c>
      <c r="B3586" s="1" t="s">
        <v>1340</v>
      </c>
      <c r="C3586" s="1">
        <v>9.0</v>
      </c>
      <c r="D3586" s="2" t="s">
        <v>1593</v>
      </c>
      <c r="E3586" s="1" t="str">
        <f>IFERROR(__xludf.DUMMYFUNCTION("GOOGLETRANSLATE(D3586,""PT"",""EN"")"),"Excellent service, I count when I needed a borrowing with mortgage guarantee, I was not attended to the satisfaction. Greetings Valdeir")</f>
        <v>Excellent service, I count when I needed a borrowing with mortgage guarantee, I was not attended to the satisfaction. Greetings Valdeir</v>
      </c>
    </row>
    <row r="3587" ht="14.25" customHeight="1">
      <c r="A3587" s="1">
        <v>33.0</v>
      </c>
      <c r="B3587" s="1" t="s">
        <v>1340</v>
      </c>
      <c r="C3587" s="1">
        <v>2.0</v>
      </c>
      <c r="D3587" s="2" t="s">
        <v>1594</v>
      </c>
      <c r="E3587" s="1" t="str">
        <f>IFERROR(__xludf.DUMMYFUNCTION("GOOGLETRANSLATE(D3587,""PT"",""EN"")"),"Because the bank does not limit without application")</f>
        <v>Because the bank does not limit without application</v>
      </c>
    </row>
    <row r="3588" ht="14.25" customHeight="1">
      <c r="A3588" s="1">
        <v>66.0</v>
      </c>
      <c r="B3588" s="1" t="s">
        <v>1340</v>
      </c>
      <c r="C3588" s="1">
        <v>8.0</v>
      </c>
      <c r="D3588" s="1" t="s">
        <v>6</v>
      </c>
      <c r="E3588" s="1"/>
    </row>
    <row r="3589" ht="14.25" customHeight="1">
      <c r="A3589" s="1">
        <v>33.0</v>
      </c>
      <c r="B3589" s="1" t="s">
        <v>1340</v>
      </c>
      <c r="C3589" s="1">
        <v>0.0</v>
      </c>
      <c r="D3589" s="2" t="s">
        <v>1595</v>
      </c>
      <c r="E3589" s="1" t="str">
        <f>IFERROR(__xludf.DUMMYFUNCTION("GOOGLETRANSLATE(D3589,""PT"",""EN"")"),"I tried to open an account with Sicoob is I was ignored")</f>
        <v>I tried to open an account with Sicoob is I was ignored</v>
      </c>
    </row>
    <row r="3590" ht="14.25" customHeight="1">
      <c r="A3590" s="1">
        <v>100.0</v>
      </c>
      <c r="B3590" s="1" t="s">
        <v>1340</v>
      </c>
      <c r="C3590" s="1">
        <v>10.0</v>
      </c>
      <c r="D3590" s="1" t="s">
        <v>6</v>
      </c>
      <c r="E3590" s="1"/>
    </row>
    <row r="3591" ht="14.25" customHeight="1">
      <c r="A3591" s="1">
        <v>100.0</v>
      </c>
      <c r="B3591" s="1" t="s">
        <v>1340</v>
      </c>
      <c r="C3591" s="1">
        <v>10.0</v>
      </c>
      <c r="D3591" s="1" t="s">
        <v>1596</v>
      </c>
      <c r="E3591" s="1" t="str">
        <f>IFERROR(__xludf.DUMMYFUNCTION("GOOGLETRANSLATE(D3591,""PT"",""EN"")"),"Agility!")</f>
        <v>Agility!</v>
      </c>
    </row>
    <row r="3592" ht="14.25" customHeight="1">
      <c r="A3592" s="1">
        <v>33.0</v>
      </c>
      <c r="B3592" s="1" t="s">
        <v>1340</v>
      </c>
      <c r="C3592" s="1">
        <v>0.0</v>
      </c>
      <c r="D3592" s="1" t="s">
        <v>6</v>
      </c>
      <c r="E3592" s="1"/>
    </row>
    <row r="3593" ht="14.25" customHeight="1">
      <c r="A3593" s="1">
        <v>33.0</v>
      </c>
      <c r="B3593" s="1" t="s">
        <v>1340</v>
      </c>
      <c r="C3593" s="1">
        <v>6.0</v>
      </c>
      <c r="D3593" s="2" t="s">
        <v>1597</v>
      </c>
      <c r="E3593" s="1" t="str">
        <f>IFERROR(__xludf.DUMMYFUNCTION("GOOGLETRANSLATE(D3593,""PT"",""EN"")"),"I was one of the founders of Sicoob Educação, I am unhappy with my agency's new administration, manager without attention with the members.")</f>
        <v>I was one of the founders of Sicoob Educação, I am unhappy with my agency's new administration, manager without attention with the members.</v>
      </c>
    </row>
    <row r="3594" ht="14.25" customHeight="1">
      <c r="A3594" s="1">
        <v>100.0</v>
      </c>
      <c r="B3594" s="1" t="s">
        <v>1340</v>
      </c>
      <c r="C3594" s="1">
        <v>10.0</v>
      </c>
      <c r="D3594" s="2" t="s">
        <v>1598</v>
      </c>
      <c r="E3594" s="1" t="str">
        <f>IFERROR(__xludf.DUMMYFUNCTION("GOOGLETRANSLATE(D3594,""PT"",""EN"")"),"Yes my whole family uses and recommends we are all of the Sicoob team")</f>
        <v>Yes my whole family uses and recommends we are all of the Sicoob team</v>
      </c>
    </row>
    <row r="3595" ht="14.25" customHeight="1">
      <c r="A3595" s="1">
        <v>100.0</v>
      </c>
      <c r="B3595" s="1" t="s">
        <v>1340</v>
      </c>
      <c r="C3595" s="1">
        <v>10.0</v>
      </c>
      <c r="D3595" s="1" t="s">
        <v>9</v>
      </c>
      <c r="E3595" s="1" t="str">
        <f>IFERROR(__xludf.DUMMYFUNCTION("GOOGLETRANSLATE(D3595,""PT"",""EN"")"),"10")</f>
        <v>10</v>
      </c>
    </row>
    <row r="3596" ht="14.25" customHeight="1">
      <c r="A3596" s="1">
        <v>100.0</v>
      </c>
      <c r="B3596" s="1" t="s">
        <v>1340</v>
      </c>
      <c r="C3596" s="1">
        <v>10.0</v>
      </c>
      <c r="D3596" s="1" t="s">
        <v>6</v>
      </c>
      <c r="E3596" s="1"/>
    </row>
    <row r="3597" ht="14.25" customHeight="1">
      <c r="A3597" s="1">
        <v>100.0</v>
      </c>
      <c r="B3597" s="1" t="s">
        <v>1340</v>
      </c>
      <c r="C3597" s="1">
        <v>10.0</v>
      </c>
      <c r="D3597" s="1" t="s">
        <v>1599</v>
      </c>
      <c r="E3597" s="1" t="str">
        <f>IFERROR(__xludf.DUMMYFUNCTION("GOOGLETRANSLATE(D3597,""PT"",""EN"")"),"Sicoob is reliable, a different institution from ordinary banks.")</f>
        <v>Sicoob is reliable, a different institution from ordinary banks.</v>
      </c>
    </row>
    <row r="3598" ht="14.25" customHeight="1">
      <c r="A3598" s="1">
        <v>100.0</v>
      </c>
      <c r="B3598" s="1" t="s">
        <v>1340</v>
      </c>
      <c r="C3598" s="1">
        <v>10.0</v>
      </c>
      <c r="D3598" s="2" t="s">
        <v>1600</v>
      </c>
      <c r="E3598" s="1" t="str">
        <f>IFERROR(__xludf.DUMMYFUNCTION("GOOGLETRANSLATE(D3598,""PT"",""EN"")"),"Excellent service and quality products!")</f>
        <v>Excellent service and quality products!</v>
      </c>
    </row>
    <row r="3599" ht="14.25" customHeight="1">
      <c r="A3599" s="1">
        <v>33.0</v>
      </c>
      <c r="B3599" s="1" t="s">
        <v>1340</v>
      </c>
      <c r="C3599" s="1">
        <v>4.0</v>
      </c>
      <c r="D3599" s="1" t="s">
        <v>6</v>
      </c>
      <c r="E3599" s="1"/>
    </row>
    <row r="3600" ht="14.25" customHeight="1">
      <c r="A3600" s="1">
        <v>100.0</v>
      </c>
      <c r="B3600" s="1" t="s">
        <v>1340</v>
      </c>
      <c r="C3600" s="1">
        <v>10.0</v>
      </c>
      <c r="D3600" s="1" t="s">
        <v>1601</v>
      </c>
      <c r="E3600" s="1" t="str">
        <f>IFERROR(__xludf.DUMMYFUNCTION("GOOGLETRANSLATE(D3600,""PT"",""EN"")"),"Attentive Bank with the Customer")</f>
        <v>Attentive Bank with the Customer</v>
      </c>
    </row>
    <row r="3601" ht="14.25" customHeight="1">
      <c r="A3601" s="1">
        <v>100.0</v>
      </c>
      <c r="B3601" s="1" t="s">
        <v>1340</v>
      </c>
      <c r="C3601" s="1">
        <v>10.0</v>
      </c>
      <c r="D3601" s="1" t="s">
        <v>6</v>
      </c>
      <c r="E3601" s="1"/>
    </row>
    <row r="3602" ht="14.25" customHeight="1">
      <c r="A3602" s="1">
        <v>100.0</v>
      </c>
      <c r="B3602" s="1" t="s">
        <v>1340</v>
      </c>
      <c r="C3602" s="1">
        <v>10.0</v>
      </c>
      <c r="D3602" s="1" t="s">
        <v>1602</v>
      </c>
      <c r="E3602" s="1" t="str">
        <f>IFERROR(__xludf.DUMMYFUNCTION("GOOGLETRANSLATE(D3602,""PT"",""EN"")"),"Customer integration service")</f>
        <v>Customer integration service</v>
      </c>
    </row>
    <row r="3603" ht="14.25" customHeight="1">
      <c r="A3603" s="1">
        <v>100.0</v>
      </c>
      <c r="B3603" s="1" t="s">
        <v>1340</v>
      </c>
      <c r="C3603" s="1">
        <v>10.0</v>
      </c>
      <c r="D3603" s="1" t="s">
        <v>6</v>
      </c>
      <c r="E3603" s="1"/>
    </row>
    <row r="3604" ht="14.25" customHeight="1">
      <c r="A3604" s="1">
        <v>100.0</v>
      </c>
      <c r="B3604" s="1" t="s">
        <v>1340</v>
      </c>
      <c r="C3604" s="1">
        <v>10.0</v>
      </c>
      <c r="D3604" s="1" t="s">
        <v>192</v>
      </c>
      <c r="E3604" s="1" t="str">
        <f>IFERROR(__xludf.DUMMYFUNCTION("GOOGLETRANSLATE(D3604,""PT"",""EN"")"),"Great")</f>
        <v>Great</v>
      </c>
    </row>
    <row r="3605" ht="14.25" customHeight="1">
      <c r="A3605" s="1">
        <v>100.0</v>
      </c>
      <c r="B3605" s="1" t="s">
        <v>1340</v>
      </c>
      <c r="C3605" s="1">
        <v>10.0</v>
      </c>
      <c r="D3605" s="1" t="s">
        <v>6</v>
      </c>
      <c r="E3605" s="1"/>
    </row>
    <row r="3606" ht="14.25" customHeight="1">
      <c r="A3606" s="1">
        <v>100.0</v>
      </c>
      <c r="B3606" s="1" t="s">
        <v>1340</v>
      </c>
      <c r="C3606" s="1">
        <v>10.0</v>
      </c>
      <c r="D3606" s="1" t="s">
        <v>6</v>
      </c>
      <c r="E3606" s="1"/>
    </row>
    <row r="3607" ht="14.25" customHeight="1">
      <c r="A3607" s="1">
        <v>100.0</v>
      </c>
      <c r="B3607" s="1" t="s">
        <v>1340</v>
      </c>
      <c r="C3607" s="1">
        <v>10.0</v>
      </c>
      <c r="D3607" s="2" t="s">
        <v>1603</v>
      </c>
      <c r="E3607" s="1" t="str">
        <f>IFERROR(__xludf.DUMMYFUNCTION("GOOGLETRANSLATE(D3607,""PT"",""EN"")"),"Reliable, comfort and speed.")</f>
        <v>Reliable, comfort and speed.</v>
      </c>
    </row>
    <row r="3608" ht="14.25" customHeight="1">
      <c r="A3608" s="1">
        <v>100.0</v>
      </c>
      <c r="B3608" s="1" t="s">
        <v>1340</v>
      </c>
      <c r="C3608" s="1">
        <v>10.0</v>
      </c>
      <c r="D3608" s="2" t="s">
        <v>1604</v>
      </c>
      <c r="E3608" s="1" t="str">
        <f>IFERROR(__xludf.DUMMYFUNCTION("GOOGLETRANSLATE(D3608,""PT"",""EN"")"),"It is the best cooperativism system that exist, I have been a collaborator is to understand what I am talking about, there is no comparison.")</f>
        <v>It is the best cooperativism system that exist, I have been a collaborator is to understand what I am talking about, there is no comparison.</v>
      </c>
    </row>
    <row r="3609" ht="14.25" customHeight="1">
      <c r="A3609" s="1">
        <v>100.0</v>
      </c>
      <c r="B3609" s="1" t="s">
        <v>1340</v>
      </c>
      <c r="C3609" s="1">
        <v>10.0</v>
      </c>
      <c r="D3609" s="1" t="s">
        <v>6</v>
      </c>
      <c r="E3609" s="1"/>
    </row>
    <row r="3610" ht="14.25" customHeight="1">
      <c r="A3610" s="1">
        <v>66.0</v>
      </c>
      <c r="B3610" s="1" t="s">
        <v>1340</v>
      </c>
      <c r="C3610" s="1">
        <v>7.0</v>
      </c>
      <c r="D3610" s="1" t="s">
        <v>1605</v>
      </c>
      <c r="E3610" s="1" t="str">
        <f>IFERROR(__xludf.DUMMYFUNCTION("GOOGLETRANSLATE(D3610,""PT"",""EN"")"),"Most investment options are missing.")</f>
        <v>Most investment options are missing.</v>
      </c>
    </row>
    <row r="3611" ht="14.25" customHeight="1">
      <c r="A3611" s="1">
        <v>100.0</v>
      </c>
      <c r="B3611" s="1" t="s">
        <v>1340</v>
      </c>
      <c r="C3611" s="1">
        <v>10.0</v>
      </c>
      <c r="D3611" s="1" t="s">
        <v>1601</v>
      </c>
      <c r="E3611" s="1" t="str">
        <f>IFERROR(__xludf.DUMMYFUNCTION("GOOGLETRANSLATE(D3611,""PT"",""EN"")"),"Attentive Bank with the Customer")</f>
        <v>Attentive Bank with the Customer</v>
      </c>
    </row>
    <row r="3612" ht="14.25" customHeight="1">
      <c r="A3612" s="1">
        <v>100.0</v>
      </c>
      <c r="B3612" s="1" t="s">
        <v>1340</v>
      </c>
      <c r="C3612" s="1">
        <v>10.0</v>
      </c>
      <c r="D3612" s="1" t="s">
        <v>6</v>
      </c>
      <c r="E3612" s="1"/>
    </row>
    <row r="3613" ht="14.25" customHeight="1">
      <c r="A3613" s="1">
        <v>100.0</v>
      </c>
      <c r="B3613" s="1" t="s">
        <v>1340</v>
      </c>
      <c r="C3613" s="1">
        <v>10.0</v>
      </c>
      <c r="D3613" s="1" t="s">
        <v>62</v>
      </c>
      <c r="E3613" s="1" t="str">
        <f>IFERROR(__xludf.DUMMYFUNCTION("GOOGLETRANSLATE(D3613,""PT"",""EN"")"),"Good service")</f>
        <v>Good service</v>
      </c>
    </row>
    <row r="3614" ht="14.25" customHeight="1">
      <c r="A3614" s="1">
        <v>66.0</v>
      </c>
      <c r="B3614" s="1" t="s">
        <v>1340</v>
      </c>
      <c r="C3614" s="1">
        <v>8.0</v>
      </c>
      <c r="D3614" s="2" t="s">
        <v>1606</v>
      </c>
      <c r="E3614" s="1" t="str">
        <f>IFERROR(__xludf.DUMMYFUNCTION("GOOGLETRANSLATE(D3614,""PT"",""EN"")"),"Access to credit could be easier, obg!")</f>
        <v>Access to credit could be easier, obg!</v>
      </c>
    </row>
    <row r="3615" ht="14.25" customHeight="1">
      <c r="A3615" s="1">
        <v>100.0</v>
      </c>
      <c r="B3615" s="1" t="s">
        <v>1607</v>
      </c>
      <c r="C3615" s="1">
        <v>10.0</v>
      </c>
      <c r="D3615" s="1" t="s">
        <v>1608</v>
      </c>
      <c r="E3615" s="1" t="str">
        <f>IFERROR(__xludf.DUMMYFUNCTION("GOOGLETRANSLATE(D3615,""PT"",""EN"")"),"Care, care, education, amooo")</f>
        <v>Care, care, education, amooo</v>
      </c>
    </row>
    <row r="3616" ht="14.25" customHeight="1">
      <c r="A3616" s="1">
        <v>33.0</v>
      </c>
      <c r="B3616" s="1" t="s">
        <v>1607</v>
      </c>
      <c r="C3616" s="1">
        <v>2.0</v>
      </c>
      <c r="D3616" s="1" t="s">
        <v>6</v>
      </c>
      <c r="E3616" s="1"/>
    </row>
    <row r="3617" ht="14.25" customHeight="1">
      <c r="A3617" s="1">
        <v>33.0</v>
      </c>
      <c r="B3617" s="1" t="s">
        <v>1607</v>
      </c>
      <c r="C3617" s="1">
        <v>3.0</v>
      </c>
      <c r="D3617" s="1" t="s">
        <v>541</v>
      </c>
      <c r="E3617" s="1" t="str">
        <f>IFERROR(__xludf.DUMMYFUNCTION("GOOGLETRANSLATE(D3617,""PT"",""EN"")"),"Benefits")</f>
        <v>Benefits</v>
      </c>
    </row>
    <row r="3618" ht="14.25" customHeight="1">
      <c r="A3618" s="1">
        <v>66.0</v>
      </c>
      <c r="B3618" s="1" t="s">
        <v>1607</v>
      </c>
      <c r="C3618" s="1">
        <v>8.0</v>
      </c>
      <c r="D3618" s="2" t="s">
        <v>1609</v>
      </c>
      <c r="E3618" s="1" t="str">
        <f>IFERROR(__xludf.DUMMYFUNCTION("GOOGLETRANSLATE(D3618,""PT"",""EN"")"),"Innovation and improvement in the quality of service")</f>
        <v>Innovation and improvement in the quality of service</v>
      </c>
    </row>
    <row r="3619" ht="14.25" customHeight="1">
      <c r="A3619" s="1">
        <v>100.0</v>
      </c>
      <c r="B3619" s="1" t="s">
        <v>1607</v>
      </c>
      <c r="C3619" s="1">
        <v>10.0</v>
      </c>
      <c r="D3619" s="1" t="s">
        <v>6</v>
      </c>
      <c r="E3619" s="1"/>
    </row>
    <row r="3620" ht="14.25" customHeight="1">
      <c r="A3620" s="1">
        <v>100.0</v>
      </c>
      <c r="B3620" s="1" t="s">
        <v>1607</v>
      </c>
      <c r="C3620" s="1">
        <v>10.0</v>
      </c>
      <c r="D3620" s="1" t="s">
        <v>6</v>
      </c>
      <c r="E3620" s="1"/>
    </row>
    <row r="3621" ht="14.25" customHeight="1">
      <c r="A3621" s="1">
        <v>100.0</v>
      </c>
      <c r="B3621" s="1" t="s">
        <v>1607</v>
      </c>
      <c r="C3621" s="1">
        <v>10.0</v>
      </c>
      <c r="D3621" s="1" t="s">
        <v>6</v>
      </c>
      <c r="E3621" s="1"/>
    </row>
    <row r="3622" ht="14.25" customHeight="1">
      <c r="A3622" s="1">
        <v>33.0</v>
      </c>
      <c r="B3622" s="1" t="s">
        <v>1607</v>
      </c>
      <c r="C3622" s="1">
        <v>4.0</v>
      </c>
      <c r="D3622" s="1" t="s">
        <v>6</v>
      </c>
      <c r="E3622" s="1"/>
    </row>
    <row r="3623" ht="14.25" customHeight="1">
      <c r="A3623" s="1">
        <v>100.0</v>
      </c>
      <c r="B3623" s="1" t="s">
        <v>1607</v>
      </c>
      <c r="C3623" s="1">
        <v>10.0</v>
      </c>
      <c r="D3623" s="1" t="s">
        <v>6</v>
      </c>
      <c r="E3623" s="1"/>
    </row>
    <row r="3624" ht="14.25" customHeight="1">
      <c r="A3624" s="1">
        <v>100.0</v>
      </c>
      <c r="B3624" s="1" t="s">
        <v>1607</v>
      </c>
      <c r="C3624" s="1">
        <v>10.0</v>
      </c>
      <c r="D3624" s="1" t="s">
        <v>6</v>
      </c>
      <c r="E3624" s="1"/>
    </row>
    <row r="3625" ht="14.25" customHeight="1">
      <c r="A3625" s="1">
        <v>66.0</v>
      </c>
      <c r="B3625" s="1" t="s">
        <v>1607</v>
      </c>
      <c r="C3625" s="1">
        <v>8.0</v>
      </c>
      <c r="D3625" s="1" t="s">
        <v>1610</v>
      </c>
      <c r="E3625" s="1" t="str">
        <f>IFERROR(__xludf.DUMMYFUNCTION("GOOGLETRANSLATE(D3625,""PT"",""EN"")"),"Competitive fee for applications in LCA, own or third party issuance. Today I applied R $ 32 thousand to 97% of the CDI, issuance of third parties.")</f>
        <v>Competitive fee for applications in LCA, own or third party issuance. Today I applied R $ 32 thousand to 97% of the CDI, issuance of third parties.</v>
      </c>
    </row>
    <row r="3626" ht="14.25" customHeight="1">
      <c r="A3626" s="1">
        <v>100.0</v>
      </c>
      <c r="B3626" s="1" t="s">
        <v>1607</v>
      </c>
      <c r="C3626" s="1">
        <v>10.0</v>
      </c>
      <c r="D3626" s="1" t="s">
        <v>6</v>
      </c>
      <c r="E3626" s="1"/>
    </row>
    <row r="3627" ht="14.25" customHeight="1">
      <c r="A3627" s="1">
        <v>33.0</v>
      </c>
      <c r="B3627" s="1" t="s">
        <v>1607</v>
      </c>
      <c r="C3627" s="1">
        <v>6.0</v>
      </c>
      <c r="D3627" s="1" t="s">
        <v>6</v>
      </c>
      <c r="E3627" s="1"/>
    </row>
    <row r="3628" ht="14.25" customHeight="1">
      <c r="A3628" s="1">
        <v>33.0</v>
      </c>
      <c r="B3628" s="1" t="s">
        <v>1607</v>
      </c>
      <c r="C3628" s="1">
        <v>1.0</v>
      </c>
      <c r="D3628" s="2" t="s">
        <v>1611</v>
      </c>
      <c r="E3628" s="1" t="str">
        <f>IFERROR(__xludf.DUMMYFUNCTION("GOOGLETRANSLATE(D3628,""PT"",""EN"")"),"Manager's service is")</f>
        <v>Manager's service is</v>
      </c>
    </row>
    <row r="3629" ht="14.25" customHeight="1">
      <c r="A3629" s="1">
        <v>100.0</v>
      </c>
      <c r="B3629" s="1" t="s">
        <v>1607</v>
      </c>
      <c r="C3629" s="1">
        <v>10.0</v>
      </c>
      <c r="D3629" s="1" t="s">
        <v>6</v>
      </c>
      <c r="E3629" s="1"/>
    </row>
    <row r="3630" ht="14.25" customHeight="1">
      <c r="A3630" s="1">
        <v>100.0</v>
      </c>
      <c r="B3630" s="1" t="s">
        <v>1607</v>
      </c>
      <c r="C3630" s="1">
        <v>10.0</v>
      </c>
      <c r="D3630" s="2" t="s">
        <v>1612</v>
      </c>
      <c r="E3630" s="1" t="str">
        <f>IFERROR(__xludf.DUMMYFUNCTION("GOOGLETRANSLATE(D3630,""PT"",""EN"")"),"Because it's good it's true")</f>
        <v>Because it's good it's true</v>
      </c>
    </row>
    <row r="3631" ht="14.25" customHeight="1">
      <c r="A3631" s="1">
        <v>100.0</v>
      </c>
      <c r="B3631" s="1" t="s">
        <v>1607</v>
      </c>
      <c r="C3631" s="1">
        <v>10.0</v>
      </c>
      <c r="D3631" s="1" t="s">
        <v>9</v>
      </c>
      <c r="E3631" s="1" t="str">
        <f>IFERROR(__xludf.DUMMYFUNCTION("GOOGLETRANSLATE(D3631,""PT"",""EN"")"),"10")</f>
        <v>10</v>
      </c>
    </row>
    <row r="3632" ht="14.25" customHeight="1">
      <c r="A3632" s="1">
        <v>100.0</v>
      </c>
      <c r="B3632" s="1" t="s">
        <v>1607</v>
      </c>
      <c r="C3632" s="1">
        <v>10.0</v>
      </c>
      <c r="D3632" s="1" t="s">
        <v>1613</v>
      </c>
      <c r="E3632" s="1" t="str">
        <f>IFERROR(__xludf.DUMMYFUNCTION("GOOGLETRANSLATE(D3632,""PT"",""EN"")"),"be part of the bank.")</f>
        <v>be part of the bank.</v>
      </c>
    </row>
    <row r="3633" ht="14.25" customHeight="1">
      <c r="A3633" s="1">
        <v>100.0</v>
      </c>
      <c r="B3633" s="1" t="s">
        <v>1607</v>
      </c>
      <c r="C3633" s="1">
        <v>10.0</v>
      </c>
      <c r="D3633" s="1" t="s">
        <v>1614</v>
      </c>
      <c r="E3633" s="1" t="str">
        <f>IFERROR(__xludf.DUMMYFUNCTION("GOOGLETRANSLATE(D3633,""PT"",""EN"")"),"Feeling of property")</f>
        <v>Feeling of property</v>
      </c>
    </row>
    <row r="3634" ht="14.25" customHeight="1">
      <c r="A3634" s="1">
        <v>100.0</v>
      </c>
      <c r="B3634" s="1" t="s">
        <v>1607</v>
      </c>
      <c r="C3634" s="1">
        <v>10.0</v>
      </c>
      <c r="D3634" s="1" t="s">
        <v>1615</v>
      </c>
      <c r="E3634" s="1" t="str">
        <f>IFERROR(__xludf.DUMMYFUNCTION("GOOGLETRANSLATE(D3634,""PT"",""EN"")"),"Be cooperated from the bank.")</f>
        <v>Be cooperated from the bank.</v>
      </c>
    </row>
    <row r="3635" ht="14.25" customHeight="1">
      <c r="A3635" s="1">
        <v>100.0</v>
      </c>
      <c r="B3635" s="1" t="s">
        <v>1607</v>
      </c>
      <c r="C3635" s="1">
        <v>9.0</v>
      </c>
      <c r="D3635" s="1" t="s">
        <v>6</v>
      </c>
      <c r="E3635" s="1"/>
    </row>
    <row r="3636" ht="14.25" customHeight="1">
      <c r="A3636" s="1">
        <v>33.0</v>
      </c>
      <c r="B3636" s="1" t="s">
        <v>1607</v>
      </c>
      <c r="C3636" s="1">
        <v>0.0</v>
      </c>
      <c r="D3636" s="1" t="s">
        <v>6</v>
      </c>
      <c r="E3636" s="1"/>
    </row>
    <row r="3637" ht="14.25" customHeight="1">
      <c r="A3637" s="1">
        <v>100.0</v>
      </c>
      <c r="B3637" s="1" t="s">
        <v>1607</v>
      </c>
      <c r="C3637" s="1">
        <v>9.0</v>
      </c>
      <c r="D3637" s="2" t="s">
        <v>1616</v>
      </c>
      <c r="E3637" s="1" t="str">
        <f>IFERROR(__xludf.DUMMYFUNCTION("GOOGLETRANSLATE(D3637,""PT"",""EN"")"),"Very attentive staff. Know how to answer is to answer your questions with")</f>
        <v>Very attentive staff. Know how to answer is to answer your questions with</v>
      </c>
    </row>
    <row r="3638" ht="14.25" customHeight="1">
      <c r="A3638" s="1">
        <v>100.0</v>
      </c>
      <c r="B3638" s="1" t="s">
        <v>1607</v>
      </c>
      <c r="C3638" s="1">
        <v>10.0</v>
      </c>
      <c r="D3638" s="1" t="s">
        <v>6</v>
      </c>
      <c r="E3638" s="1"/>
    </row>
    <row r="3639" ht="14.25" customHeight="1">
      <c r="A3639" s="1">
        <v>100.0</v>
      </c>
      <c r="B3639" s="1" t="s">
        <v>1607</v>
      </c>
      <c r="C3639" s="1">
        <v>10.0</v>
      </c>
      <c r="D3639" s="1" t="s">
        <v>6</v>
      </c>
      <c r="E3639" s="1"/>
    </row>
    <row r="3640" ht="14.25" customHeight="1">
      <c r="A3640" s="1">
        <v>100.0</v>
      </c>
      <c r="B3640" s="1" t="s">
        <v>1607</v>
      </c>
      <c r="C3640" s="1">
        <v>10.0</v>
      </c>
      <c r="D3640" s="1" t="s">
        <v>6</v>
      </c>
      <c r="E3640" s="1"/>
    </row>
    <row r="3641" ht="14.25" customHeight="1">
      <c r="A3641" s="1">
        <v>100.0</v>
      </c>
      <c r="B3641" s="1" t="s">
        <v>1607</v>
      </c>
      <c r="C3641" s="1">
        <v>10.0</v>
      </c>
      <c r="D3641" s="1" t="s">
        <v>1617</v>
      </c>
      <c r="E3641" s="1" t="str">
        <f>IFERROR(__xludf.DUMMYFUNCTION("GOOGLETRANSLATE(D3641,""PT"",""EN"")"),"Fair bank")</f>
        <v>Fair bank</v>
      </c>
    </row>
    <row r="3642" ht="14.25" customHeight="1">
      <c r="A3642" s="1">
        <v>100.0</v>
      </c>
      <c r="B3642" s="1" t="s">
        <v>1607</v>
      </c>
      <c r="C3642" s="1">
        <v>10.0</v>
      </c>
      <c r="D3642" s="1" t="s">
        <v>6</v>
      </c>
      <c r="E3642" s="1"/>
    </row>
    <row r="3643" ht="14.25" customHeight="1">
      <c r="A3643" s="1">
        <v>66.0</v>
      </c>
      <c r="B3643" s="1" t="s">
        <v>1607</v>
      </c>
      <c r="C3643" s="1">
        <v>7.0</v>
      </c>
      <c r="D3643" s="2" t="s">
        <v>1618</v>
      </c>
      <c r="E3643" s="1" t="str">
        <f>IFERROR(__xludf.DUMMYFUNCTION("GOOGLETRANSLATE(D3643,""PT"",""EN"")"),"It was perfect but after it lowered the limit of the card of the members who paid the whole is before the expiration, the quality was a lot of reciprocity with the bank")</f>
        <v>It was perfect but after it lowered the limit of the card of the members who paid the whole is before the expiration, the quality was a lot of reciprocity with the bank</v>
      </c>
    </row>
    <row r="3644" ht="14.25" customHeight="1">
      <c r="A3644" s="1">
        <v>100.0</v>
      </c>
      <c r="B3644" s="1" t="s">
        <v>1607</v>
      </c>
      <c r="C3644" s="1">
        <v>10.0</v>
      </c>
      <c r="D3644" s="1" t="s">
        <v>6</v>
      </c>
      <c r="E3644" s="1"/>
    </row>
    <row r="3645" ht="14.25" customHeight="1">
      <c r="A3645" s="1">
        <v>100.0</v>
      </c>
      <c r="B3645" s="1" t="s">
        <v>1607</v>
      </c>
      <c r="C3645" s="1">
        <v>10.0</v>
      </c>
      <c r="D3645" s="1" t="s">
        <v>62</v>
      </c>
      <c r="E3645" s="1" t="str">
        <f>IFERROR(__xludf.DUMMYFUNCTION("GOOGLETRANSLATE(D3645,""PT"",""EN"")"),"Good service")</f>
        <v>Good service</v>
      </c>
    </row>
    <row r="3646" ht="14.25" customHeight="1">
      <c r="A3646" s="1">
        <v>100.0</v>
      </c>
      <c r="B3646" s="1" t="s">
        <v>1607</v>
      </c>
      <c r="C3646" s="1">
        <v>10.0</v>
      </c>
      <c r="D3646" s="1" t="s">
        <v>6</v>
      </c>
      <c r="E3646" s="1"/>
    </row>
    <row r="3647" ht="14.25" customHeight="1">
      <c r="A3647" s="1">
        <v>100.0</v>
      </c>
      <c r="B3647" s="1" t="s">
        <v>1607</v>
      </c>
      <c r="C3647" s="1">
        <v>10.0</v>
      </c>
      <c r="D3647" s="1" t="s">
        <v>1619</v>
      </c>
      <c r="E3647" s="1" t="str">
        <f>IFERROR(__xludf.DUMMYFUNCTION("GOOGLETRANSLATE(D3647,""PT"",""EN"")"),"Ease in communicating with management")</f>
        <v>Ease in communicating with management</v>
      </c>
    </row>
    <row r="3648" ht="14.25" customHeight="1">
      <c r="A3648" s="1">
        <v>66.0</v>
      </c>
      <c r="B3648" s="1" t="s">
        <v>1607</v>
      </c>
      <c r="C3648" s="1">
        <v>8.0</v>
      </c>
      <c r="D3648" s="1" t="s">
        <v>6</v>
      </c>
      <c r="E3648" s="1"/>
    </row>
    <row r="3649" ht="14.25" customHeight="1">
      <c r="A3649" s="1">
        <v>100.0</v>
      </c>
      <c r="B3649" s="1" t="s">
        <v>1607</v>
      </c>
      <c r="C3649" s="1">
        <v>9.0</v>
      </c>
      <c r="D3649" s="1" t="s">
        <v>62</v>
      </c>
      <c r="E3649" s="1" t="str">
        <f>IFERROR(__xludf.DUMMYFUNCTION("GOOGLETRANSLATE(D3649,""PT"",""EN"")"),"Good service")</f>
        <v>Good service</v>
      </c>
    </row>
    <row r="3650" ht="14.25" customHeight="1">
      <c r="A3650" s="1">
        <v>100.0</v>
      </c>
      <c r="B3650" s="1" t="s">
        <v>1607</v>
      </c>
      <c r="C3650" s="1">
        <v>10.0</v>
      </c>
      <c r="D3650" s="2" t="s">
        <v>1620</v>
      </c>
      <c r="E3650" s="1" t="str">
        <f>IFERROR(__xludf.DUMMYFUNCTION("GOOGLETRANSLATE(D3650,""PT"",""EN"")"),"Promptness and quality of service.")</f>
        <v>Promptness and quality of service.</v>
      </c>
    </row>
    <row r="3651" ht="14.25" customHeight="1">
      <c r="A3651" s="1">
        <v>66.0</v>
      </c>
      <c r="B3651" s="1" t="s">
        <v>1607</v>
      </c>
      <c r="C3651" s="1">
        <v>8.0</v>
      </c>
      <c r="D3651" s="1" t="s">
        <v>1621</v>
      </c>
      <c r="E3651" s="1" t="str">
        <f>IFERROR(__xludf.DUMMYFUNCTION("GOOGLETRANSLATE(D3651,""PT"",""EN"")"),"Answers with quality")</f>
        <v>Answers with quality</v>
      </c>
    </row>
    <row r="3652" ht="14.25" customHeight="1">
      <c r="A3652" s="1">
        <v>100.0</v>
      </c>
      <c r="B3652" s="1" t="s">
        <v>1607</v>
      </c>
      <c r="C3652" s="1">
        <v>9.0</v>
      </c>
      <c r="D3652" s="2" t="s">
        <v>593</v>
      </c>
      <c r="E3652" s="1" t="str">
        <f>IFERROR(__xludf.DUMMYFUNCTION("GOOGLETRANSLATE(D3652,""PT"",""EN"")"),"great service")</f>
        <v>great service</v>
      </c>
    </row>
    <row r="3653" ht="14.25" customHeight="1">
      <c r="A3653" s="1">
        <v>100.0</v>
      </c>
      <c r="B3653" s="1" t="s">
        <v>1607</v>
      </c>
      <c r="C3653" s="1">
        <v>10.0</v>
      </c>
      <c r="D3653" s="1" t="s">
        <v>1010</v>
      </c>
      <c r="E3653" s="1" t="str">
        <f>IFERROR(__xludf.DUMMYFUNCTION("GOOGLETRANSLATE(D3653,""PT"",""EN"")"),"Excellent bank")</f>
        <v>Excellent bank</v>
      </c>
    </row>
    <row r="3654" ht="14.25" customHeight="1">
      <c r="A3654" s="1">
        <v>100.0</v>
      </c>
      <c r="B3654" s="1" t="s">
        <v>1607</v>
      </c>
      <c r="C3654" s="1">
        <v>10.0</v>
      </c>
      <c r="D3654" s="1" t="s">
        <v>6</v>
      </c>
      <c r="E3654" s="1"/>
    </row>
    <row r="3655" ht="14.25" customHeight="1">
      <c r="A3655" s="1">
        <v>100.0</v>
      </c>
      <c r="B3655" s="1" t="s">
        <v>1607</v>
      </c>
      <c r="C3655" s="1">
        <v>10.0</v>
      </c>
      <c r="D3655" s="2" t="s">
        <v>1622</v>
      </c>
      <c r="E3655" s="1" t="str">
        <f>IFERROR(__xludf.DUMMYFUNCTION("GOOGLETRANSLATE(D3655,""PT"",""EN"")"),"I have been cooperated Sicoobjuriscred since the beginning of the cooperative is the proximity that the cooperative has is something that is not found in any other")</f>
        <v>I have been cooperated Sicoobjuriscred since the beginning of the cooperative is the proximity that the cooperative has is something that is not found in any other</v>
      </c>
    </row>
    <row r="3656" ht="14.25" customHeight="1">
      <c r="A3656" s="1">
        <v>100.0</v>
      </c>
      <c r="B3656" s="1" t="s">
        <v>1607</v>
      </c>
      <c r="C3656" s="1">
        <v>10.0</v>
      </c>
      <c r="D3656" s="1" t="s">
        <v>6</v>
      </c>
      <c r="E3656" s="1"/>
    </row>
    <row r="3657" ht="14.25" customHeight="1">
      <c r="A3657" s="1">
        <v>100.0</v>
      </c>
      <c r="B3657" s="1" t="s">
        <v>1607</v>
      </c>
      <c r="C3657" s="1">
        <v>10.0</v>
      </c>
      <c r="D3657" s="2" t="s">
        <v>1623</v>
      </c>
      <c r="E3657" s="1" t="str">
        <f>IFERROR(__xludf.DUMMYFUNCTION("GOOGLETRANSLATE(D3657,""PT"",""EN"")"),"Partnership is a client!")</f>
        <v>Partnership is a client!</v>
      </c>
    </row>
    <row r="3658" ht="14.25" customHeight="1">
      <c r="A3658" s="1">
        <v>100.0</v>
      </c>
      <c r="B3658" s="1" t="s">
        <v>1607</v>
      </c>
      <c r="C3658" s="1">
        <v>10.0</v>
      </c>
      <c r="D3658" s="1" t="s">
        <v>1624</v>
      </c>
      <c r="E3658" s="1" t="str">
        <f>IFERROR(__xludf.DUMMYFUNCTION("GOOGLETRANSLATE(D3658,""PT"",""EN"")"),"Cooperation.")</f>
        <v>Cooperation.</v>
      </c>
    </row>
    <row r="3659" ht="14.25" customHeight="1">
      <c r="A3659" s="1">
        <v>100.0</v>
      </c>
      <c r="B3659" s="1" t="s">
        <v>1607</v>
      </c>
      <c r="C3659" s="1">
        <v>9.0</v>
      </c>
      <c r="D3659" s="1" t="s">
        <v>1174</v>
      </c>
      <c r="E3659" s="1" t="str">
        <f>IFERROR(__xludf.DUMMYFUNCTION("GOOGLETRANSLATE(D3659,""PT"",""EN"")"),"very good service")</f>
        <v>very good service</v>
      </c>
    </row>
    <row r="3660" ht="14.25" customHeight="1">
      <c r="A3660" s="1">
        <v>100.0</v>
      </c>
      <c r="B3660" s="1" t="s">
        <v>1607</v>
      </c>
      <c r="C3660" s="1">
        <v>10.0</v>
      </c>
      <c r="D3660" s="1" t="s">
        <v>1625</v>
      </c>
      <c r="E3660" s="1" t="str">
        <f>IFERROR(__xludf.DUMMYFUNCTION("GOOGLETRANSLATE(D3660,""PT"",""EN"")"),"I am satisfied with service via phone when I need!")</f>
        <v>I am satisfied with service via phone when I need!</v>
      </c>
    </row>
    <row r="3661" ht="14.25" customHeight="1">
      <c r="A3661" s="1">
        <v>33.0</v>
      </c>
      <c r="B3661" s="1" t="s">
        <v>1607</v>
      </c>
      <c r="C3661" s="1">
        <v>5.0</v>
      </c>
      <c r="D3661" s="2" t="s">
        <v>1626</v>
      </c>
      <c r="E3661" s="1" t="str">
        <f>IFERROR(__xludf.DUMMYFUNCTION("GOOGLETRANSLATE(D3661,""PT"",""EN"")"),"I am not able to enter the app is or connect by other channels")</f>
        <v>I am not able to enter the app is or connect by other channels</v>
      </c>
    </row>
    <row r="3662" ht="14.25" customHeight="1">
      <c r="A3662" s="1">
        <v>100.0</v>
      </c>
      <c r="B3662" s="1" t="s">
        <v>1607</v>
      </c>
      <c r="C3662" s="1">
        <v>10.0</v>
      </c>
      <c r="D3662" s="1" t="s">
        <v>6</v>
      </c>
      <c r="E3662" s="1"/>
    </row>
    <row r="3663" ht="14.25" customHeight="1">
      <c r="A3663" s="1">
        <v>33.0</v>
      </c>
      <c r="B3663" s="1" t="s">
        <v>1607</v>
      </c>
      <c r="C3663" s="1">
        <v>4.0</v>
      </c>
      <c r="D3663" s="1" t="s">
        <v>6</v>
      </c>
      <c r="E3663" s="1"/>
    </row>
    <row r="3664" ht="14.25" customHeight="1">
      <c r="A3664" s="1">
        <v>100.0</v>
      </c>
      <c r="B3664" s="1" t="s">
        <v>1607</v>
      </c>
      <c r="C3664" s="1">
        <v>9.0</v>
      </c>
      <c r="D3664" s="1" t="s">
        <v>165</v>
      </c>
      <c r="E3664" s="1" t="str">
        <f>IFERROR(__xludf.DUMMYFUNCTION("GOOGLETRANSLATE(D3664,""PT"",""EN"")"),"excellent service")</f>
        <v>excellent service</v>
      </c>
    </row>
    <row r="3665" ht="14.25" customHeight="1">
      <c r="A3665" s="1">
        <v>33.0</v>
      </c>
      <c r="B3665" s="1" t="s">
        <v>1607</v>
      </c>
      <c r="C3665" s="1">
        <v>1.0</v>
      </c>
      <c r="D3665" s="2" t="s">
        <v>1627</v>
      </c>
      <c r="E3665" s="1" t="str">
        <f>IFERROR(__xludf.DUMMYFUNCTION("GOOGLETRANSLATE(D3665,""PT"",""EN"")"),"Lack of manager interaction with you. Who is the manager of your account? A call for 5 customers would cost?")</f>
        <v>Lack of manager interaction with you. Who is the manager of your account? A call for 5 customers would cost?</v>
      </c>
    </row>
    <row r="3666" ht="14.25" customHeight="1">
      <c r="A3666" s="1">
        <v>66.0</v>
      </c>
      <c r="B3666" s="1" t="s">
        <v>1607</v>
      </c>
      <c r="C3666" s="1">
        <v>8.0</v>
      </c>
      <c r="D3666" s="1" t="s">
        <v>6</v>
      </c>
      <c r="E3666" s="1"/>
    </row>
    <row r="3667" ht="14.25" customHeight="1">
      <c r="A3667" s="1">
        <v>100.0</v>
      </c>
      <c r="B3667" s="1" t="s">
        <v>1607</v>
      </c>
      <c r="C3667" s="1">
        <v>10.0</v>
      </c>
      <c r="D3667" s="1" t="s">
        <v>6</v>
      </c>
      <c r="E3667" s="1"/>
    </row>
    <row r="3668" ht="14.25" customHeight="1">
      <c r="A3668" s="1">
        <v>66.0</v>
      </c>
      <c r="B3668" s="1" t="s">
        <v>1607</v>
      </c>
      <c r="C3668" s="1">
        <v>8.0</v>
      </c>
      <c r="D3668" s="1" t="s">
        <v>6</v>
      </c>
      <c r="E3668" s="1"/>
    </row>
    <row r="3669" ht="14.25" customHeight="1">
      <c r="A3669" s="1">
        <v>100.0</v>
      </c>
      <c r="B3669" s="1" t="s">
        <v>1607</v>
      </c>
      <c r="C3669" s="1">
        <v>9.0</v>
      </c>
      <c r="D3669" s="1" t="s">
        <v>6</v>
      </c>
      <c r="E3669" s="1"/>
    </row>
    <row r="3670" ht="14.25" customHeight="1">
      <c r="A3670" s="1">
        <v>100.0</v>
      </c>
      <c r="B3670" s="1" t="s">
        <v>1607</v>
      </c>
      <c r="C3670" s="1">
        <v>10.0</v>
      </c>
      <c r="D3670" s="2" t="s">
        <v>1628</v>
      </c>
      <c r="E3670" s="1" t="str">
        <f>IFERROR(__xludf.DUMMYFUNCTION("GOOGLETRANSLATE(D3670,""PT"",""EN"")"),"Personal service is the technical advances is digital!")</f>
        <v>Personal service is the technical advances is digital!</v>
      </c>
    </row>
    <row r="3671" ht="14.25" customHeight="1">
      <c r="A3671" s="1">
        <v>100.0</v>
      </c>
      <c r="B3671" s="1" t="s">
        <v>1607</v>
      </c>
      <c r="C3671" s="1">
        <v>10.0</v>
      </c>
      <c r="D3671" s="1" t="s">
        <v>166</v>
      </c>
      <c r="E3671" s="1" t="str">
        <f>IFERROR(__xludf.DUMMYFUNCTION("GOOGLETRANSLATE(D3671,""PT"",""EN"")"),"Excellent service.")</f>
        <v>Excellent service.</v>
      </c>
    </row>
    <row r="3672" ht="14.25" customHeight="1">
      <c r="A3672" s="1">
        <v>100.0</v>
      </c>
      <c r="B3672" s="1" t="s">
        <v>1607</v>
      </c>
      <c r="C3672" s="1">
        <v>10.0</v>
      </c>
      <c r="D3672" s="1" t="s">
        <v>6</v>
      </c>
      <c r="E3672" s="1"/>
    </row>
    <row r="3673" ht="14.25" customHeight="1">
      <c r="A3673" s="1">
        <v>100.0</v>
      </c>
      <c r="B3673" s="1" t="s">
        <v>1607</v>
      </c>
      <c r="C3673" s="1">
        <v>10.0</v>
      </c>
      <c r="D3673" s="1" t="s">
        <v>9</v>
      </c>
      <c r="E3673" s="1" t="str">
        <f>IFERROR(__xludf.DUMMYFUNCTION("GOOGLETRANSLATE(D3673,""PT"",""EN"")"),"10")</f>
        <v>10</v>
      </c>
    </row>
    <row r="3674" ht="14.25" customHeight="1">
      <c r="A3674" s="1">
        <v>100.0</v>
      </c>
      <c r="B3674" s="1" t="s">
        <v>1607</v>
      </c>
      <c r="C3674" s="1">
        <v>10.0</v>
      </c>
      <c r="D3674" s="1" t="s">
        <v>1629</v>
      </c>
      <c r="E3674" s="1" t="str">
        <f>IFERROR(__xludf.DUMMYFUNCTION("GOOGLETRANSLATE(D3674,""PT"",""EN"")"),"Excellence in service.")</f>
        <v>Excellence in service.</v>
      </c>
    </row>
    <row r="3675" ht="14.25" customHeight="1">
      <c r="A3675" s="1">
        <v>100.0</v>
      </c>
      <c r="B3675" s="1" t="s">
        <v>1607</v>
      </c>
      <c r="C3675" s="1">
        <v>10.0</v>
      </c>
      <c r="D3675" s="1" t="s">
        <v>1630</v>
      </c>
      <c r="E3675" s="1"/>
    </row>
    <row r="3676" ht="14.25" customHeight="1">
      <c r="A3676" s="1">
        <v>100.0</v>
      </c>
      <c r="B3676" s="1" t="s">
        <v>1607</v>
      </c>
      <c r="C3676" s="1">
        <v>10.0</v>
      </c>
      <c r="D3676" s="1" t="s">
        <v>6</v>
      </c>
      <c r="E3676" s="1"/>
    </row>
    <row r="3677" ht="14.25" customHeight="1">
      <c r="A3677" s="1">
        <v>100.0</v>
      </c>
      <c r="B3677" s="1" t="s">
        <v>1607</v>
      </c>
      <c r="C3677" s="1">
        <v>10.0</v>
      </c>
      <c r="D3677" s="1" t="s">
        <v>6</v>
      </c>
      <c r="E3677" s="1"/>
    </row>
    <row r="3678" ht="14.25" customHeight="1">
      <c r="A3678" s="1">
        <v>66.0</v>
      </c>
      <c r="B3678" s="1" t="s">
        <v>1607</v>
      </c>
      <c r="C3678" s="1">
        <v>8.0</v>
      </c>
      <c r="D3678" s="1" t="s">
        <v>6</v>
      </c>
      <c r="E3678" s="1"/>
    </row>
    <row r="3679" ht="14.25" customHeight="1">
      <c r="A3679" s="1">
        <v>100.0</v>
      </c>
      <c r="B3679" s="1" t="s">
        <v>1607</v>
      </c>
      <c r="C3679" s="1">
        <v>9.0</v>
      </c>
      <c r="D3679" s="1" t="s">
        <v>6</v>
      </c>
      <c r="E3679" s="1"/>
    </row>
    <row r="3680" ht="14.25" customHeight="1">
      <c r="A3680" s="1">
        <v>100.0</v>
      </c>
      <c r="B3680" s="1" t="s">
        <v>1607</v>
      </c>
      <c r="C3680" s="1">
        <v>10.0</v>
      </c>
      <c r="D3680" s="1" t="s">
        <v>1631</v>
      </c>
      <c r="E3680" s="1" t="str">
        <f>IFERROR(__xludf.DUMMYFUNCTION("GOOGLETRANSLATE(D3680,""PT"",""EN"")"),"Service rates greatly influence my choice for banks.")</f>
        <v>Service rates greatly influence my choice for banks.</v>
      </c>
    </row>
    <row r="3681" ht="14.25" customHeight="1">
      <c r="A3681" s="1">
        <v>100.0</v>
      </c>
      <c r="B3681" s="1" t="s">
        <v>1607</v>
      </c>
      <c r="C3681" s="1">
        <v>10.0</v>
      </c>
      <c r="D3681" s="1" t="s">
        <v>6</v>
      </c>
      <c r="E3681" s="1"/>
    </row>
    <row r="3682" ht="14.25" customHeight="1">
      <c r="A3682" s="1">
        <v>33.0</v>
      </c>
      <c r="B3682" s="1" t="s">
        <v>1607</v>
      </c>
      <c r="C3682" s="1">
        <v>0.0</v>
      </c>
      <c r="D3682" s="1" t="s">
        <v>6</v>
      </c>
      <c r="E3682" s="1"/>
    </row>
    <row r="3683" ht="14.25" customHeight="1">
      <c r="A3683" s="1">
        <v>100.0</v>
      </c>
      <c r="B3683" s="1" t="s">
        <v>1607</v>
      </c>
      <c r="C3683" s="1">
        <v>10.0</v>
      </c>
      <c r="D3683" s="2" t="s">
        <v>1632</v>
      </c>
      <c r="E3683" s="1" t="str">
        <f>IFERROR(__xludf.DUMMYFUNCTION("GOOGLETRANSLATE(D3683,""PT"",""EN"")"),"Excellent service and good products.")</f>
        <v>Excellent service and good products.</v>
      </c>
    </row>
    <row r="3684" ht="14.25" customHeight="1">
      <c r="A3684" s="1">
        <v>100.0</v>
      </c>
      <c r="B3684" s="1" t="s">
        <v>1607</v>
      </c>
      <c r="C3684" s="1">
        <v>10.0</v>
      </c>
      <c r="D3684" s="1" t="s">
        <v>6</v>
      </c>
      <c r="E3684" s="1"/>
    </row>
    <row r="3685" ht="14.25" customHeight="1">
      <c r="A3685" s="1">
        <v>100.0</v>
      </c>
      <c r="B3685" s="1" t="s">
        <v>1607</v>
      </c>
      <c r="C3685" s="1">
        <v>10.0</v>
      </c>
      <c r="D3685" s="2" t="s">
        <v>1633</v>
      </c>
      <c r="E3685" s="1" t="str">
        <f>IFERROR(__xludf.DUMMYFUNCTION("GOOGLETRANSLATE(D3685,""PT"",""EN"")"),"Reliability is excellent service.")</f>
        <v>Reliability is excellent service.</v>
      </c>
    </row>
    <row r="3686" ht="14.25" customHeight="1">
      <c r="A3686" s="1">
        <v>33.0</v>
      </c>
      <c r="B3686" s="1" t="s">
        <v>1607</v>
      </c>
      <c r="C3686" s="1">
        <v>5.0</v>
      </c>
      <c r="D3686" s="2" t="s">
        <v>1634</v>
      </c>
      <c r="E3686" s="1" t="str">
        <f>IFERROR(__xludf.DUMMYFUNCTION("GOOGLETRANSLATE(D3686,""PT"",""EN"")"),"I was one of the founders of Sicoobcelg at the time in 2009 had never given a problem, suddenly the bank removed the small limit that I bought in installments, without telling me anything I am even thinking of ending my account there, I also know that it "&amp;"will not be missed For the bank, I am very boring with all this")</f>
        <v>I was one of the founders of Sicoobcelg at the time in 2009 had never given a problem, suddenly the bank removed the small limit that I bought in installments, without telling me anything I am even thinking of ending my account there, I also know that it will not be missed For the bank, I am very boring with all this</v>
      </c>
    </row>
    <row r="3687" ht="14.25" customHeight="1">
      <c r="A3687" s="1">
        <v>100.0</v>
      </c>
      <c r="B3687" s="1" t="s">
        <v>1607</v>
      </c>
      <c r="C3687" s="1">
        <v>10.0</v>
      </c>
      <c r="D3687" s="1" t="s">
        <v>1629</v>
      </c>
      <c r="E3687" s="1" t="str">
        <f>IFERROR(__xludf.DUMMYFUNCTION("GOOGLETRANSLATE(D3687,""PT"",""EN"")"),"Excellence in service.")</f>
        <v>Excellence in service.</v>
      </c>
    </row>
    <row r="3688" ht="14.25" customHeight="1">
      <c r="A3688" s="1">
        <v>100.0</v>
      </c>
      <c r="B3688" s="1" t="s">
        <v>1607</v>
      </c>
      <c r="C3688" s="1">
        <v>10.0</v>
      </c>
      <c r="D3688" s="1" t="s">
        <v>6</v>
      </c>
      <c r="E3688" s="1"/>
    </row>
    <row r="3689" ht="14.25" customHeight="1">
      <c r="A3689" s="1">
        <v>100.0</v>
      </c>
      <c r="B3689" s="1" t="s">
        <v>1607</v>
      </c>
      <c r="C3689" s="1">
        <v>10.0</v>
      </c>
      <c r="D3689" s="1" t="s">
        <v>6</v>
      </c>
      <c r="E3689" s="1"/>
    </row>
    <row r="3690" ht="14.25" customHeight="1">
      <c r="A3690" s="1">
        <v>100.0</v>
      </c>
      <c r="B3690" s="1" t="s">
        <v>1607</v>
      </c>
      <c r="C3690" s="1">
        <v>10.0</v>
      </c>
      <c r="D3690" s="1" t="s">
        <v>6</v>
      </c>
      <c r="E3690" s="1"/>
    </row>
    <row r="3691" ht="14.25" customHeight="1">
      <c r="A3691" s="1">
        <v>100.0</v>
      </c>
      <c r="B3691" s="1" t="s">
        <v>1607</v>
      </c>
      <c r="C3691" s="1">
        <v>10.0</v>
      </c>
      <c r="D3691" s="1" t="s">
        <v>1635</v>
      </c>
      <c r="E3691" s="1" t="str">
        <f>IFERROR(__xludf.DUMMYFUNCTION("GOOGLETRANSLATE(D3691,""PT"",""EN"")"),"Excellence in all services")</f>
        <v>Excellence in all services</v>
      </c>
    </row>
    <row r="3692" ht="14.25" customHeight="1">
      <c r="A3692" s="1">
        <v>66.0</v>
      </c>
      <c r="B3692" s="1" t="s">
        <v>1607</v>
      </c>
      <c r="C3692" s="1">
        <v>7.0</v>
      </c>
      <c r="D3692" s="1" t="s">
        <v>6</v>
      </c>
      <c r="E3692" s="1"/>
    </row>
    <row r="3693" ht="14.25" customHeight="1">
      <c r="A3693" s="1">
        <v>33.0</v>
      </c>
      <c r="B3693" s="1" t="s">
        <v>1607</v>
      </c>
      <c r="C3693" s="1">
        <v>2.0</v>
      </c>
      <c r="D3693" s="2" t="s">
        <v>1636</v>
      </c>
      <c r="E3693" s="1" t="str">
        <f>IFERROR(__xludf.DUMMYFUNCTION("GOOGLETRANSLATE(D3693,""PT"",""EN"")"),"All we need to do is complicated is very bureaucratic.")</f>
        <v>All we need to do is complicated is very bureaucratic.</v>
      </c>
    </row>
    <row r="3694" ht="14.25" customHeight="1">
      <c r="A3694" s="1">
        <v>100.0</v>
      </c>
      <c r="B3694" s="1" t="s">
        <v>1607</v>
      </c>
      <c r="C3694" s="1">
        <v>10.0</v>
      </c>
      <c r="D3694" s="1" t="s">
        <v>1637</v>
      </c>
      <c r="E3694" s="1" t="str">
        <f>IFERROR(__xludf.DUMMYFUNCTION("GOOGLETRANSLATE(D3694,""PT"",""EN"")"),"Due to the service, as well as the products offered are of excellence.")</f>
        <v>Due to the service, as well as the products offered are of excellence.</v>
      </c>
    </row>
    <row r="3695" ht="14.25" customHeight="1">
      <c r="A3695" s="1">
        <v>100.0</v>
      </c>
      <c r="B3695" s="1" t="s">
        <v>1607</v>
      </c>
      <c r="C3695" s="1">
        <v>10.0</v>
      </c>
      <c r="D3695" s="2" t="s">
        <v>1638</v>
      </c>
      <c r="E3695" s="1" t="str">
        <f>IFERROR(__xludf.DUMMYFUNCTION("GOOGLETRANSLATE(D3695,""PT"",""EN"")"),"Sicoob is a very affordable bank, has the best rates in the market, besides an excellent agile and efficient service.")</f>
        <v>Sicoob is a very affordable bank, has the best rates in the market, besides an excellent agile and efficient service.</v>
      </c>
    </row>
    <row r="3696" ht="14.25" customHeight="1">
      <c r="A3696" s="1">
        <v>33.0</v>
      </c>
      <c r="B3696" s="1" t="s">
        <v>1607</v>
      </c>
      <c r="C3696" s="1">
        <v>2.0</v>
      </c>
      <c r="D3696" s="2" t="s">
        <v>1639</v>
      </c>
      <c r="E3696" s="1" t="str">
        <f>IFERROR(__xludf.DUMMYFUNCTION("GOOGLETRANSLATE(D3696,""PT"",""EN"")"),"The lack of continuous analysis of credit is super rigid bureaucracy to release it.")</f>
        <v>The lack of continuous analysis of credit is super rigid bureaucracy to release it.</v>
      </c>
    </row>
    <row r="3697" ht="14.25" customHeight="1">
      <c r="A3697" s="1">
        <v>33.0</v>
      </c>
      <c r="B3697" s="1" t="s">
        <v>1607</v>
      </c>
      <c r="C3697" s="1">
        <v>3.0</v>
      </c>
      <c r="D3697" s="1" t="s">
        <v>6</v>
      </c>
      <c r="E3697" s="1"/>
    </row>
    <row r="3698" ht="14.25" customHeight="1">
      <c r="A3698" s="1">
        <v>100.0</v>
      </c>
      <c r="B3698" s="1" t="s">
        <v>1607</v>
      </c>
      <c r="C3698" s="1">
        <v>10.0</v>
      </c>
      <c r="D3698" s="1" t="s">
        <v>6</v>
      </c>
      <c r="E3698" s="1"/>
    </row>
    <row r="3699" ht="14.25" customHeight="1">
      <c r="A3699" s="1">
        <v>100.0</v>
      </c>
      <c r="B3699" s="1" t="s">
        <v>1607</v>
      </c>
      <c r="C3699" s="1">
        <v>10.0</v>
      </c>
      <c r="D3699" s="1" t="s">
        <v>1640</v>
      </c>
      <c r="E3699" s="1" t="str">
        <f>IFERROR(__xludf.DUMMYFUNCTION("GOOGLETRANSLATE(D3699,""PT"",""EN"")"),"I feel very well served by Sicoob.")</f>
        <v>I feel very well served by Sicoob.</v>
      </c>
    </row>
    <row r="3700" ht="14.25" customHeight="1">
      <c r="A3700" s="1">
        <v>100.0</v>
      </c>
      <c r="B3700" s="1" t="s">
        <v>1607</v>
      </c>
      <c r="C3700" s="1">
        <v>10.0</v>
      </c>
      <c r="D3700" s="1" t="s">
        <v>6</v>
      </c>
      <c r="E3700" s="1"/>
    </row>
    <row r="3701" ht="14.25" customHeight="1">
      <c r="A3701" s="1">
        <v>100.0</v>
      </c>
      <c r="B3701" s="1" t="s">
        <v>1607</v>
      </c>
      <c r="C3701" s="1">
        <v>10.0</v>
      </c>
      <c r="D3701" s="1" t="s">
        <v>6</v>
      </c>
      <c r="E3701" s="1"/>
    </row>
    <row r="3702" ht="14.25" customHeight="1">
      <c r="A3702" s="1">
        <v>100.0</v>
      </c>
      <c r="B3702" s="1" t="s">
        <v>1607</v>
      </c>
      <c r="C3702" s="1">
        <v>10.0</v>
      </c>
      <c r="D3702" s="1" t="s">
        <v>6</v>
      </c>
      <c r="E3702" s="1"/>
    </row>
    <row r="3703" ht="14.25" customHeight="1">
      <c r="A3703" s="1">
        <v>100.0</v>
      </c>
      <c r="B3703" s="1" t="s">
        <v>1607</v>
      </c>
      <c r="C3703" s="1">
        <v>10.0</v>
      </c>
      <c r="D3703" s="1" t="s">
        <v>570</v>
      </c>
      <c r="E3703" s="1" t="str">
        <f>IFERROR(__xludf.DUMMYFUNCTION("GOOGLETRANSLATE(D3703,""PT"",""EN"")"),"Excelent reception")</f>
        <v>Excelent reception</v>
      </c>
    </row>
    <row r="3704" ht="14.25" customHeight="1">
      <c r="A3704" s="1">
        <v>100.0</v>
      </c>
      <c r="B3704" s="1" t="s">
        <v>1607</v>
      </c>
      <c r="C3704" s="1">
        <v>10.0</v>
      </c>
      <c r="D3704" s="1" t="s">
        <v>6</v>
      </c>
      <c r="E3704" s="1"/>
    </row>
    <row r="3705" ht="14.25" customHeight="1">
      <c r="A3705" s="1">
        <v>100.0</v>
      </c>
      <c r="B3705" s="1" t="s">
        <v>1607</v>
      </c>
      <c r="C3705" s="1">
        <v>10.0</v>
      </c>
      <c r="D3705" s="2" t="s">
        <v>1641</v>
      </c>
      <c r="E3705" s="1" t="str">
        <f>IFERROR(__xludf.DUMMYFUNCTION("GOOGLETRANSLATE(D3705,""PT"",""EN"")"),"are always attentive when I need")</f>
        <v>are always attentive when I need</v>
      </c>
    </row>
    <row r="3706" ht="14.25" customHeight="1">
      <c r="A3706" s="1">
        <v>100.0</v>
      </c>
      <c r="B3706" s="1" t="s">
        <v>1607</v>
      </c>
      <c r="C3706" s="1">
        <v>10.0</v>
      </c>
      <c r="D3706" s="1" t="s">
        <v>6</v>
      </c>
      <c r="E3706" s="1"/>
    </row>
    <row r="3707" ht="14.25" customHeight="1">
      <c r="A3707" s="1">
        <v>100.0</v>
      </c>
      <c r="B3707" s="1" t="s">
        <v>1607</v>
      </c>
      <c r="C3707" s="1">
        <v>10.0</v>
      </c>
      <c r="D3707" s="2" t="s">
        <v>1642</v>
      </c>
      <c r="E3707" s="1" t="str">
        <f>IFERROR(__xludf.DUMMYFUNCTION("GOOGLETRANSLATE(D3707,""PT"",""EN"")"),"Excellent service, this since the day I opened the account in Sicoob is when I need explanations, ask questions is or need to do something for the app, they even do it for me, when I need it is authorizing.")</f>
        <v>Excellent service, this since the day I opened the account in Sicoob is when I need explanations, ask questions is or need to do something for the app, they even do it for me, when I need it is authorizing.</v>
      </c>
    </row>
    <row r="3708" ht="14.25" customHeight="1">
      <c r="A3708" s="1">
        <v>66.0</v>
      </c>
      <c r="B3708" s="1" t="s">
        <v>1607</v>
      </c>
      <c r="C3708" s="1">
        <v>8.0</v>
      </c>
      <c r="D3708" s="1" t="s">
        <v>6</v>
      </c>
      <c r="E3708" s="1"/>
    </row>
    <row r="3709" ht="14.25" customHeight="1">
      <c r="A3709" s="1">
        <v>100.0</v>
      </c>
      <c r="B3709" s="1" t="s">
        <v>1607</v>
      </c>
      <c r="C3709" s="1">
        <v>10.0</v>
      </c>
      <c r="D3709" s="1" t="s">
        <v>415</v>
      </c>
      <c r="E3709" s="1" t="str">
        <f>IFERROR(__xludf.DUMMYFUNCTION("GOOGLETRANSLATE(D3709,""PT"",""EN"")"),"practicality")</f>
        <v>practicality</v>
      </c>
    </row>
    <row r="3710" ht="14.25" customHeight="1">
      <c r="A3710" s="1">
        <v>33.0</v>
      </c>
      <c r="B3710" s="1" t="s">
        <v>1607</v>
      </c>
      <c r="C3710" s="1">
        <v>5.0</v>
      </c>
      <c r="D3710" s="1" t="s">
        <v>6</v>
      </c>
      <c r="E3710" s="1"/>
    </row>
    <row r="3711" ht="14.25" customHeight="1">
      <c r="A3711" s="1">
        <v>100.0</v>
      </c>
      <c r="B3711" s="1" t="s">
        <v>1607</v>
      </c>
      <c r="C3711" s="1">
        <v>10.0</v>
      </c>
      <c r="D3711" s="1" t="s">
        <v>6</v>
      </c>
      <c r="E3711" s="1"/>
    </row>
    <row r="3712" ht="14.25" customHeight="1">
      <c r="A3712" s="1">
        <v>100.0</v>
      </c>
      <c r="B3712" s="1" t="s">
        <v>1607</v>
      </c>
      <c r="C3712" s="1">
        <v>9.0</v>
      </c>
      <c r="D3712" s="1" t="s">
        <v>1643</v>
      </c>
      <c r="E3712" s="1" t="str">
        <f>IFERROR(__xludf.DUMMYFUNCTION("GOOGLETRANSLATE(D3712,""PT"",""EN"")"),"every large organization needs a regulatory argument to better meet its members")</f>
        <v>every large organization needs a regulatory argument to better meet its members</v>
      </c>
    </row>
    <row r="3713" ht="14.25" customHeight="1">
      <c r="A3713" s="1">
        <v>100.0</v>
      </c>
      <c r="B3713" s="1" t="s">
        <v>1607</v>
      </c>
      <c r="C3713" s="1">
        <v>10.0</v>
      </c>
      <c r="D3713" s="1" t="s">
        <v>6</v>
      </c>
      <c r="E3713" s="1"/>
    </row>
    <row r="3714" ht="14.25" customHeight="1">
      <c r="A3714" s="1">
        <v>100.0</v>
      </c>
      <c r="B3714" s="1" t="s">
        <v>1607</v>
      </c>
      <c r="C3714" s="1">
        <v>10.0</v>
      </c>
      <c r="D3714" s="1" t="s">
        <v>42</v>
      </c>
      <c r="E3714" s="1" t="str">
        <f>IFERROR(__xludf.DUMMYFUNCTION("GOOGLETRANSLATE(D3714,""PT"",""EN"")"),"good service")</f>
        <v>good service</v>
      </c>
    </row>
    <row r="3715" ht="14.25" customHeight="1">
      <c r="A3715" s="1">
        <v>100.0</v>
      </c>
      <c r="B3715" s="1" t="s">
        <v>1607</v>
      </c>
      <c r="C3715" s="1">
        <v>10.0</v>
      </c>
      <c r="D3715" s="2" t="s">
        <v>1644</v>
      </c>
      <c r="E3715" s="1" t="str">
        <f>IFERROR(__xludf.DUMMYFUNCTION("GOOGLETRANSLATE(D3715,""PT"",""EN"")"),"Attention is resolution")</f>
        <v>Attention is resolution</v>
      </c>
    </row>
    <row r="3716" ht="14.25" customHeight="1">
      <c r="A3716" s="1">
        <v>100.0</v>
      </c>
      <c r="B3716" s="1" t="s">
        <v>1607</v>
      </c>
      <c r="C3716" s="1">
        <v>10.0</v>
      </c>
      <c r="D3716" s="1" t="s">
        <v>1645</v>
      </c>
      <c r="E3716" s="1" t="str">
        <f>IFERROR(__xludf.DUMMYFUNCTION("GOOGLETRANSLATE(D3716,""PT"",""EN"")"),"I was always very well attended")</f>
        <v>I was always very well attended</v>
      </c>
    </row>
    <row r="3717" ht="14.25" customHeight="1">
      <c r="A3717" s="1">
        <v>33.0</v>
      </c>
      <c r="B3717" s="1" t="s">
        <v>1607</v>
      </c>
      <c r="C3717" s="1">
        <v>0.0</v>
      </c>
      <c r="D3717" s="1" t="s">
        <v>6</v>
      </c>
      <c r="E3717" s="1"/>
    </row>
    <row r="3718" ht="14.25" customHeight="1">
      <c r="A3718" s="1">
        <v>100.0</v>
      </c>
      <c r="B3718" s="1" t="s">
        <v>1607</v>
      </c>
      <c r="C3718" s="1">
        <v>10.0</v>
      </c>
      <c r="D3718" s="2" t="s">
        <v>1646</v>
      </c>
      <c r="E3718" s="1" t="str">
        <f>IFERROR(__xludf.DUMMYFUNCTION("GOOGLETRANSLATE(D3718,""PT"",""EN"")"),"Especially good service and seriousness!")</f>
        <v>Especially good service and seriousness!</v>
      </c>
    </row>
    <row r="3719" ht="14.25" customHeight="1">
      <c r="A3719" s="1">
        <v>100.0</v>
      </c>
      <c r="B3719" s="1" t="s">
        <v>1607</v>
      </c>
      <c r="C3719" s="1">
        <v>10.0</v>
      </c>
      <c r="D3719" s="2" t="s">
        <v>1647</v>
      </c>
      <c r="E3719" s="1" t="str">
        <f>IFERROR(__xludf.DUMMYFUNCTION("GOOGLETRANSLATE(D3719,""PT"",""EN"")"),"Service is a rate")</f>
        <v>Service is a rate</v>
      </c>
    </row>
    <row r="3720" ht="14.25" customHeight="1">
      <c r="A3720" s="1">
        <v>66.0</v>
      </c>
      <c r="B3720" s="1" t="s">
        <v>1607</v>
      </c>
      <c r="C3720" s="1">
        <v>7.0</v>
      </c>
      <c r="D3720" s="1" t="s">
        <v>1648</v>
      </c>
      <c r="E3720" s="1" t="str">
        <f>IFERROR(__xludf.DUMMYFUNCTION("GOOGLETRANSLATE(D3720,""PT"",""EN"")"),"Low rates for your customers to apply their resources.")</f>
        <v>Low rates for your customers to apply their resources.</v>
      </c>
    </row>
    <row r="3721" ht="14.25" customHeight="1">
      <c r="A3721" s="1">
        <v>100.0</v>
      </c>
      <c r="B3721" s="1" t="s">
        <v>1607</v>
      </c>
      <c r="C3721" s="1">
        <v>9.0</v>
      </c>
      <c r="D3721" s="1" t="s">
        <v>6</v>
      </c>
      <c r="E3721" s="1"/>
    </row>
    <row r="3722" ht="14.25" customHeight="1">
      <c r="A3722" s="1">
        <v>100.0</v>
      </c>
      <c r="B3722" s="1" t="s">
        <v>1607</v>
      </c>
      <c r="C3722" s="1">
        <v>10.0</v>
      </c>
      <c r="D3722" s="1" t="s">
        <v>166</v>
      </c>
      <c r="E3722" s="1" t="str">
        <f>IFERROR(__xludf.DUMMYFUNCTION("GOOGLETRANSLATE(D3722,""PT"",""EN"")"),"Excellent service.")</f>
        <v>Excellent service.</v>
      </c>
    </row>
    <row r="3723" ht="14.25" customHeight="1">
      <c r="A3723" s="1">
        <v>66.0</v>
      </c>
      <c r="B3723" s="1" t="s">
        <v>1607</v>
      </c>
      <c r="C3723" s="1">
        <v>8.0</v>
      </c>
      <c r="D3723" s="1" t="s">
        <v>6</v>
      </c>
      <c r="E3723" s="1"/>
    </row>
    <row r="3724" ht="14.25" customHeight="1">
      <c r="A3724" s="1">
        <v>100.0</v>
      </c>
      <c r="B3724" s="1" t="s">
        <v>1607</v>
      </c>
      <c r="C3724" s="1">
        <v>9.0</v>
      </c>
      <c r="D3724" s="1" t="s">
        <v>6</v>
      </c>
      <c r="E3724" s="1"/>
    </row>
    <row r="3725" ht="14.25" customHeight="1">
      <c r="A3725" s="1">
        <v>100.0</v>
      </c>
      <c r="B3725" s="1" t="s">
        <v>1607</v>
      </c>
      <c r="C3725" s="1">
        <v>10.0</v>
      </c>
      <c r="D3725" s="1" t="s">
        <v>6</v>
      </c>
      <c r="E3725" s="1"/>
    </row>
    <row r="3726" ht="14.25" customHeight="1">
      <c r="A3726" s="1">
        <v>100.0</v>
      </c>
      <c r="B3726" s="1" t="s">
        <v>1607</v>
      </c>
      <c r="C3726" s="1">
        <v>10.0</v>
      </c>
      <c r="D3726" s="2" t="s">
        <v>1649</v>
      </c>
      <c r="E3726" s="1" t="str">
        <f>IFERROR(__xludf.DUMMYFUNCTION("GOOGLETRANSLATE(D3726,""PT"",""EN"")"),"Ease of use of the application is excellent treatment by management.")</f>
        <v>Ease of use of the application is excellent treatment by management.</v>
      </c>
    </row>
    <row r="3727" ht="14.25" customHeight="1">
      <c r="A3727" s="1">
        <v>100.0</v>
      </c>
      <c r="B3727" s="1" t="s">
        <v>1607</v>
      </c>
      <c r="C3727" s="1">
        <v>10.0</v>
      </c>
      <c r="D3727" s="1" t="s">
        <v>1650</v>
      </c>
      <c r="E3727" s="1" t="str">
        <f>IFERROR(__xludf.DUMMYFUNCTION("GOOGLETRANSLATE(D3727,""PT"",""EN"")"),"Employee service")</f>
        <v>Employee service</v>
      </c>
    </row>
    <row r="3728" ht="14.25" customHeight="1">
      <c r="A3728" s="1">
        <v>100.0</v>
      </c>
      <c r="B3728" s="1" t="s">
        <v>1607</v>
      </c>
      <c r="C3728" s="1">
        <v>10.0</v>
      </c>
      <c r="D3728" s="1" t="s">
        <v>85</v>
      </c>
      <c r="E3728" s="1" t="str">
        <f>IFERROR(__xludf.DUMMYFUNCTION("GOOGLETRANSLATE(D3728,""PT"",""EN"")"),"Service")</f>
        <v>Service</v>
      </c>
    </row>
    <row r="3729" ht="14.25" customHeight="1">
      <c r="A3729" s="1">
        <v>100.0</v>
      </c>
      <c r="B3729" s="1" t="s">
        <v>1607</v>
      </c>
      <c r="C3729" s="1">
        <v>10.0</v>
      </c>
      <c r="D3729" s="1" t="s">
        <v>6</v>
      </c>
      <c r="E3729" s="1"/>
    </row>
    <row r="3730" ht="14.25" customHeight="1">
      <c r="A3730" s="1">
        <v>100.0</v>
      </c>
      <c r="B3730" s="1" t="s">
        <v>1607</v>
      </c>
      <c r="C3730" s="1">
        <v>9.0</v>
      </c>
      <c r="D3730" s="1" t="s">
        <v>659</v>
      </c>
      <c r="E3730" s="1" t="str">
        <f>IFERROR(__xludf.DUMMYFUNCTION("GOOGLETRANSLATE(D3730,""PT"",""EN"")"),"Good service.")</f>
        <v>Good service.</v>
      </c>
    </row>
    <row r="3731" ht="14.25" customHeight="1">
      <c r="A3731" s="1">
        <v>100.0</v>
      </c>
      <c r="B3731" s="1" t="s">
        <v>1607</v>
      </c>
      <c r="C3731" s="1">
        <v>10.0</v>
      </c>
      <c r="D3731" s="1" t="s">
        <v>6</v>
      </c>
      <c r="E3731" s="1"/>
    </row>
    <row r="3732" ht="14.25" customHeight="1">
      <c r="A3732" s="1">
        <v>33.0</v>
      </c>
      <c r="B3732" s="1" t="s">
        <v>1607</v>
      </c>
      <c r="C3732" s="1">
        <v>4.0</v>
      </c>
      <c r="D3732" s="1" t="s">
        <v>1651</v>
      </c>
      <c r="E3732" s="1" t="str">
        <f>IFERROR(__xludf.DUMMYFUNCTION("GOOGLETRANSLATE(D3732,""PT"",""EN"")"),"Service is leaving to do")</f>
        <v>Service is leaving to do</v>
      </c>
    </row>
    <row r="3733" ht="14.25" customHeight="1">
      <c r="A3733" s="1">
        <v>100.0</v>
      </c>
      <c r="B3733" s="1" t="s">
        <v>1607</v>
      </c>
      <c r="C3733" s="1">
        <v>10.0</v>
      </c>
      <c r="D3733" s="1" t="s">
        <v>1652</v>
      </c>
      <c r="E3733" s="1" t="str">
        <f>IFERROR(__xludf.DUMMYFUNCTION("GOOGLETRANSLATE(D3733,""PT"",""EN"")"),"The service of manager Paulo, Sicoob Juriscred. Differentiated positive.")</f>
        <v>The service of manager Paulo, Sicoob Juriscred. Differentiated positive.</v>
      </c>
    </row>
    <row r="3734" ht="14.25" customHeight="1">
      <c r="A3734" s="1">
        <v>100.0</v>
      </c>
      <c r="B3734" s="1" t="s">
        <v>1607</v>
      </c>
      <c r="C3734" s="1">
        <v>10.0</v>
      </c>
      <c r="D3734" s="1" t="s">
        <v>380</v>
      </c>
      <c r="E3734" s="1" t="str">
        <f>IFERROR(__xludf.DUMMYFUNCTION("GOOGLETRANSLATE(D3734,""PT"",""EN"")"),"Personalized service.")</f>
        <v>Personalized service.</v>
      </c>
    </row>
    <row r="3735" ht="14.25" customHeight="1">
      <c r="A3735" s="1">
        <v>100.0</v>
      </c>
      <c r="B3735" s="1" t="s">
        <v>1607</v>
      </c>
      <c r="C3735" s="1">
        <v>10.0</v>
      </c>
      <c r="D3735" s="1" t="s">
        <v>1653</v>
      </c>
      <c r="E3735" s="1" t="str">
        <f>IFERROR(__xludf.DUMMYFUNCTION("GOOGLETRANSLATE(D3735,""PT"",""EN"")"),"GREAT!")</f>
        <v>GREAT!</v>
      </c>
    </row>
    <row r="3736" ht="14.25" customHeight="1">
      <c r="A3736" s="1">
        <v>100.0</v>
      </c>
      <c r="B3736" s="1" t="s">
        <v>1607</v>
      </c>
      <c r="C3736" s="1">
        <v>9.0</v>
      </c>
      <c r="D3736" s="2" t="s">
        <v>1654</v>
      </c>
      <c r="E3736" s="1" t="str">
        <f>IFERROR(__xludf.DUMMYFUNCTION("GOOGLETRANSLATE(D3736,""PT"",""EN"")"),"Service, helpful employees, products and fees.")</f>
        <v>Service, helpful employees, products and fees.</v>
      </c>
    </row>
    <row r="3737" ht="14.25" customHeight="1">
      <c r="A3737" s="1">
        <v>100.0</v>
      </c>
      <c r="B3737" s="1" t="s">
        <v>1607</v>
      </c>
      <c r="C3737" s="1">
        <v>10.0</v>
      </c>
      <c r="D3737" s="2" t="s">
        <v>1655</v>
      </c>
      <c r="E3737" s="1" t="str">
        <f>IFERROR(__xludf.DUMMYFUNCTION("GOOGLETRANSLATE(D3737,""PT"",""EN"")"),"Care and Agility")</f>
        <v>Care and Agility</v>
      </c>
    </row>
    <row r="3738" ht="14.25" customHeight="1">
      <c r="A3738" s="1">
        <v>100.0</v>
      </c>
      <c r="B3738" s="1" t="s">
        <v>1607</v>
      </c>
      <c r="C3738" s="1">
        <v>10.0</v>
      </c>
      <c r="D3738" s="2" t="s">
        <v>1656</v>
      </c>
      <c r="E3738" s="1" t="str">
        <f>IFERROR(__xludf.DUMMYFUNCTION("GOOGLETRANSLATE(D3738,""PT"",""EN"")"),"Great service. Easy to handle application is with all the possibilities of an agency. Educated and helpful employees.")</f>
        <v>Great service. Easy to handle application is with all the possibilities of an agency. Educated and helpful employees.</v>
      </c>
    </row>
    <row r="3739" ht="14.25" customHeight="1">
      <c r="A3739" s="1">
        <v>100.0</v>
      </c>
      <c r="B3739" s="1" t="s">
        <v>1607</v>
      </c>
      <c r="C3739" s="1">
        <v>10.0</v>
      </c>
      <c r="D3739" s="1" t="s">
        <v>6</v>
      </c>
      <c r="E3739" s="1"/>
    </row>
    <row r="3740" ht="14.25" customHeight="1">
      <c r="A3740" s="1">
        <v>100.0</v>
      </c>
      <c r="B3740" s="1" t="s">
        <v>1607</v>
      </c>
      <c r="C3740" s="1">
        <v>10.0</v>
      </c>
      <c r="D3740" s="1" t="s">
        <v>6</v>
      </c>
      <c r="E3740" s="1"/>
    </row>
    <row r="3741" ht="14.25" customHeight="1">
      <c r="A3741" s="1">
        <v>100.0</v>
      </c>
      <c r="B3741" s="1" t="s">
        <v>1607</v>
      </c>
      <c r="C3741" s="1">
        <v>10.0</v>
      </c>
      <c r="D3741" s="1" t="s">
        <v>1657</v>
      </c>
      <c r="E3741" s="1" t="str">
        <f>IFERROR(__xludf.DUMMYFUNCTION("GOOGLETRANSLATE(D3741,""PT"",""EN"")"),"I am being well attended by Sicoob.")</f>
        <v>I am being well attended by Sicoob.</v>
      </c>
    </row>
    <row r="3742" ht="14.25" customHeight="1">
      <c r="A3742" s="1">
        <v>100.0</v>
      </c>
      <c r="B3742" s="1" t="s">
        <v>1607</v>
      </c>
      <c r="C3742" s="1">
        <v>10.0</v>
      </c>
      <c r="D3742" s="2" t="s">
        <v>1658</v>
      </c>
      <c r="E3742" s="1" t="str">
        <f>IFERROR(__xludf.DUMMYFUNCTION("GOOGLETRANSLATE(D3742,""PT"",""EN"")"),"All my demands have been answered quickly is satisfactorily.")</f>
        <v>All my demands have been answered quickly is satisfactorily.</v>
      </c>
    </row>
    <row r="3743" ht="14.25" customHeight="1">
      <c r="A3743" s="1">
        <v>100.0</v>
      </c>
      <c r="B3743" s="1" t="s">
        <v>1607</v>
      </c>
      <c r="C3743" s="1">
        <v>10.0</v>
      </c>
      <c r="D3743" s="1" t="s">
        <v>6</v>
      </c>
      <c r="E3743" s="1"/>
    </row>
    <row r="3744" ht="14.25" customHeight="1">
      <c r="A3744" s="1">
        <v>100.0</v>
      </c>
      <c r="B3744" s="1" t="s">
        <v>1607</v>
      </c>
      <c r="C3744" s="1">
        <v>10.0</v>
      </c>
      <c r="D3744" s="2" t="s">
        <v>1659</v>
      </c>
      <c r="E3744" s="1" t="str">
        <f>IFERROR(__xludf.DUMMYFUNCTION("GOOGLETRANSLATE(D3744,""PT"",""EN"")"),"Complete financial solutions, focusing on people is in community development.")</f>
        <v>Complete financial solutions, focusing on people is in community development.</v>
      </c>
    </row>
    <row r="3745" ht="14.25" customHeight="1">
      <c r="A3745" s="1">
        <v>100.0</v>
      </c>
      <c r="B3745" s="1" t="s">
        <v>1607</v>
      </c>
      <c r="C3745" s="1">
        <v>10.0</v>
      </c>
      <c r="D3745" s="2" t="s">
        <v>1660</v>
      </c>
      <c r="E3745" s="1" t="str">
        <f>IFERROR(__xludf.DUMMYFUNCTION("GOOGLETRANSLATE(D3745,""PT"",""EN"")"),"Always answered me in everything I needed. Efficient, affectionate and helpful employees. They are to be congratulated.")</f>
        <v>Always answered me in everything I needed. Efficient, affectionate and helpful employees. They are to be congratulated.</v>
      </c>
    </row>
    <row r="3746" ht="14.25" customHeight="1">
      <c r="A3746" s="1">
        <v>33.0</v>
      </c>
      <c r="B3746" s="1" t="s">
        <v>1607</v>
      </c>
      <c r="C3746" s="1">
        <v>0.0</v>
      </c>
      <c r="D3746" s="2" t="s">
        <v>1661</v>
      </c>
      <c r="E3746" s="1" t="str">
        <f>IFERROR(__xludf.DUMMYFUNCTION("GOOGLETRANSLATE(D3746,""PT"",""EN"")"),"Employees do not make a point of serving well")</f>
        <v>Employees do not make a point of serving well</v>
      </c>
    </row>
    <row r="3747" ht="14.25" customHeight="1">
      <c r="A3747" s="1">
        <v>100.0</v>
      </c>
      <c r="B3747" s="1" t="s">
        <v>1607</v>
      </c>
      <c r="C3747" s="1">
        <v>10.0</v>
      </c>
      <c r="D3747" s="1" t="s">
        <v>6</v>
      </c>
      <c r="E3747" s="1"/>
    </row>
    <row r="3748" ht="14.25" customHeight="1">
      <c r="A3748" s="1">
        <v>100.0</v>
      </c>
      <c r="B3748" s="1" t="s">
        <v>1607</v>
      </c>
      <c r="C3748" s="1">
        <v>10.0</v>
      </c>
      <c r="D3748" s="1" t="s">
        <v>6</v>
      </c>
      <c r="E3748" s="1"/>
    </row>
    <row r="3749" ht="14.25" customHeight="1">
      <c r="A3749" s="1">
        <v>100.0</v>
      </c>
      <c r="B3749" s="1" t="s">
        <v>1607</v>
      </c>
      <c r="C3749" s="1">
        <v>10.0</v>
      </c>
      <c r="D3749" s="1" t="s">
        <v>85</v>
      </c>
      <c r="E3749" s="1" t="str">
        <f>IFERROR(__xludf.DUMMYFUNCTION("GOOGLETRANSLATE(D3749,""PT"",""EN"")"),"Service")</f>
        <v>Service</v>
      </c>
    </row>
    <row r="3750" ht="14.25" customHeight="1">
      <c r="A3750" s="1">
        <v>100.0</v>
      </c>
      <c r="B3750" s="1" t="s">
        <v>1607</v>
      </c>
      <c r="C3750" s="1">
        <v>10.0</v>
      </c>
      <c r="D3750" s="2" t="s">
        <v>1662</v>
      </c>
      <c r="E3750" s="1" t="str">
        <f>IFERROR(__xludf.DUMMYFUNCTION("GOOGLETRANSLATE(D3750,""PT"",""EN"")"),"Excellent service and excellent fees")</f>
        <v>Excellent service and excellent fees</v>
      </c>
    </row>
    <row r="3751" ht="14.25" customHeight="1">
      <c r="A3751" s="1">
        <v>100.0</v>
      </c>
      <c r="B3751" s="1" t="s">
        <v>1607</v>
      </c>
      <c r="C3751" s="1">
        <v>10.0</v>
      </c>
      <c r="D3751" s="1" t="s">
        <v>9</v>
      </c>
      <c r="E3751" s="1" t="str">
        <f>IFERROR(__xludf.DUMMYFUNCTION("GOOGLETRANSLATE(D3751,""PT"",""EN"")"),"10")</f>
        <v>10</v>
      </c>
    </row>
    <row r="3752" ht="14.25" customHeight="1">
      <c r="A3752" s="1">
        <v>66.0</v>
      </c>
      <c r="B3752" s="1" t="s">
        <v>1607</v>
      </c>
      <c r="C3752" s="1">
        <v>8.0</v>
      </c>
      <c r="D3752" s="1" t="s">
        <v>1663</v>
      </c>
      <c r="E3752" s="1" t="str">
        <f>IFERROR(__xludf.DUMMYFUNCTION("GOOGLETRANSLATE(D3752,""PT"",""EN"")"),"You need to improve some things.")</f>
        <v>You need to improve some things.</v>
      </c>
    </row>
    <row r="3753" ht="14.25" customHeight="1">
      <c r="A3753" s="1">
        <v>100.0</v>
      </c>
      <c r="B3753" s="1" t="s">
        <v>1607</v>
      </c>
      <c r="C3753" s="1">
        <v>10.0</v>
      </c>
      <c r="D3753" s="1" t="s">
        <v>6</v>
      </c>
      <c r="E3753" s="1"/>
    </row>
    <row r="3754" ht="14.25" customHeight="1">
      <c r="A3754" s="1">
        <v>100.0</v>
      </c>
      <c r="B3754" s="1" t="s">
        <v>1607</v>
      </c>
      <c r="C3754" s="1">
        <v>10.0</v>
      </c>
      <c r="D3754" s="1" t="s">
        <v>1664</v>
      </c>
      <c r="E3754" s="1" t="str">
        <f>IFERROR(__xludf.DUMMYFUNCTION("GOOGLETRANSLATE(D3754,""PT"",""EN"")"),"Excellent service, always trying to do your best to fill our financial needs.")</f>
        <v>Excellent service, always trying to do your best to fill our financial needs.</v>
      </c>
    </row>
    <row r="3755" ht="14.25" customHeight="1">
      <c r="A3755" s="1">
        <v>100.0</v>
      </c>
      <c r="B3755" s="1" t="s">
        <v>1607</v>
      </c>
      <c r="C3755" s="1">
        <v>10.0</v>
      </c>
      <c r="D3755" s="1" t="s">
        <v>1150</v>
      </c>
      <c r="E3755" s="1" t="str">
        <f>IFERROR(__xludf.DUMMYFUNCTION("GOOGLETRANSLATE(D3755,""PT"",""EN"")"),"Rapidness")</f>
        <v>Rapidness</v>
      </c>
    </row>
    <row r="3756" ht="14.25" customHeight="1">
      <c r="A3756" s="1">
        <v>100.0</v>
      </c>
      <c r="B3756" s="1" t="s">
        <v>1607</v>
      </c>
      <c r="C3756" s="1">
        <v>10.0</v>
      </c>
      <c r="D3756" s="2" t="s">
        <v>1665</v>
      </c>
      <c r="E3756" s="1" t="str">
        <f>IFERROR(__xludf.DUMMYFUNCTION("GOOGLETRANSLATE(D3756,""PT"",""EN"")"),"Excellent service, more advantageous interest rates on the market is to meet the expectations of a technology bank is a single and modern interface")</f>
        <v>Excellent service, more advantageous interest rates on the market is to meet the expectations of a technology bank is a single and modern interface</v>
      </c>
    </row>
    <row r="3757" ht="14.25" customHeight="1">
      <c r="A3757" s="1">
        <v>33.0</v>
      </c>
      <c r="B3757" s="1" t="s">
        <v>1666</v>
      </c>
      <c r="C3757" s="1">
        <v>1.0</v>
      </c>
      <c r="D3757" s="1" t="s">
        <v>6</v>
      </c>
      <c r="E3757" s="1"/>
    </row>
    <row r="3758" ht="14.25" customHeight="1">
      <c r="A3758" s="1">
        <v>100.0</v>
      </c>
      <c r="B3758" s="1" t="s">
        <v>1666</v>
      </c>
      <c r="C3758" s="1">
        <v>10.0</v>
      </c>
      <c r="D3758" s="1" t="s">
        <v>1667</v>
      </c>
      <c r="E3758" s="1" t="str">
        <f>IFERROR(__xludf.DUMMYFUNCTION("GOOGLETRANSLATE(D3758,""PT"",""EN"")"),"Attendants, boxes, managers ... Super attentive I love to be answered at my agency.")</f>
        <v>Attendants, boxes, managers ... Super attentive I love to be answered at my agency.</v>
      </c>
    </row>
    <row r="3759" ht="14.25" customHeight="1">
      <c r="A3759" s="1">
        <v>100.0</v>
      </c>
      <c r="B3759" s="1" t="s">
        <v>1666</v>
      </c>
      <c r="C3759" s="1">
        <v>10.0</v>
      </c>
      <c r="D3759" s="1" t="s">
        <v>6</v>
      </c>
      <c r="E3759" s="1"/>
    </row>
    <row r="3760" ht="14.25" customHeight="1">
      <c r="A3760" s="1">
        <v>100.0</v>
      </c>
      <c r="B3760" s="1" t="s">
        <v>1666</v>
      </c>
      <c r="C3760" s="1">
        <v>10.0</v>
      </c>
      <c r="D3760" s="1" t="s">
        <v>1668</v>
      </c>
      <c r="E3760" s="1" t="str">
        <f>IFERROR(__xludf.DUMMYFUNCTION("GOOGLETRANSLATE(D3760,""PT"",""EN"")"),"Best bank to move.")</f>
        <v>Best bank to move.</v>
      </c>
    </row>
    <row r="3761" ht="14.25" customHeight="1">
      <c r="A3761" s="1">
        <v>100.0</v>
      </c>
      <c r="B3761" s="1" t="s">
        <v>1666</v>
      </c>
      <c r="C3761" s="1">
        <v>10.0</v>
      </c>
      <c r="D3761" s="2" t="s">
        <v>1669</v>
      </c>
      <c r="E3761" s="1" t="str">
        <f>IFERROR(__xludf.DUMMYFUNCTION("GOOGLETRANSLATE(D3761,""PT"",""EN"")"),"The service is the benefits they offer the customer.")</f>
        <v>The service is the benefits they offer the customer.</v>
      </c>
    </row>
    <row r="3762" ht="14.25" customHeight="1">
      <c r="A3762" s="1">
        <v>100.0</v>
      </c>
      <c r="B3762" s="1" t="s">
        <v>1666</v>
      </c>
      <c r="C3762" s="1">
        <v>10.0</v>
      </c>
      <c r="D3762" s="1" t="s">
        <v>6</v>
      </c>
      <c r="E3762" s="1"/>
    </row>
    <row r="3763" ht="14.25" customHeight="1">
      <c r="A3763" s="1">
        <v>100.0</v>
      </c>
      <c r="B3763" s="1" t="s">
        <v>1666</v>
      </c>
      <c r="C3763" s="1">
        <v>10.0</v>
      </c>
      <c r="D3763" s="1" t="s">
        <v>6</v>
      </c>
      <c r="E3763" s="1"/>
    </row>
    <row r="3764" ht="14.25" customHeight="1">
      <c r="A3764" s="1">
        <v>66.0</v>
      </c>
      <c r="B3764" s="1" t="s">
        <v>1666</v>
      </c>
      <c r="C3764" s="1">
        <v>8.0</v>
      </c>
      <c r="D3764" s="1" t="s">
        <v>6</v>
      </c>
      <c r="E3764" s="1"/>
    </row>
    <row r="3765" ht="14.25" customHeight="1">
      <c r="A3765" s="1">
        <v>66.0</v>
      </c>
      <c r="B3765" s="1" t="s">
        <v>1666</v>
      </c>
      <c r="C3765" s="1">
        <v>8.0</v>
      </c>
      <c r="D3765" s="1" t="s">
        <v>803</v>
      </c>
      <c r="E3765" s="1" t="str">
        <f>IFERROR(__xludf.DUMMYFUNCTION("GOOGLETRANSLATE(D3765,""PT"",""EN"")"),"Good")</f>
        <v>Good</v>
      </c>
    </row>
    <row r="3766" ht="14.25" customHeight="1">
      <c r="A3766" s="1">
        <v>33.0</v>
      </c>
      <c r="B3766" s="1" t="s">
        <v>1666</v>
      </c>
      <c r="C3766" s="1">
        <v>0.0</v>
      </c>
      <c r="D3766" s="1" t="s">
        <v>6</v>
      </c>
      <c r="E3766" s="1"/>
    </row>
    <row r="3767" ht="14.25" customHeight="1">
      <c r="A3767" s="1">
        <v>100.0</v>
      </c>
      <c r="B3767" s="1" t="s">
        <v>1666</v>
      </c>
      <c r="C3767" s="1">
        <v>9.0</v>
      </c>
      <c r="D3767" s="1" t="s">
        <v>6</v>
      </c>
      <c r="E3767" s="1"/>
    </row>
    <row r="3768" ht="14.25" customHeight="1">
      <c r="A3768" s="1">
        <v>66.0</v>
      </c>
      <c r="B3768" s="1" t="s">
        <v>1666</v>
      </c>
      <c r="C3768" s="1">
        <v>8.0</v>
      </c>
      <c r="D3768" s="1" t="s">
        <v>1670</v>
      </c>
      <c r="E3768" s="1" t="str">
        <f>IFERROR(__xludf.DUMMYFUNCTION("GOOGLETRANSLATE(D3768,""PT"",""EN"")"),"An easily accessible bank.")</f>
        <v>An easily accessible bank.</v>
      </c>
    </row>
    <row r="3769" ht="14.25" customHeight="1">
      <c r="A3769" s="1">
        <v>100.0</v>
      </c>
      <c r="B3769" s="1" t="s">
        <v>1666</v>
      </c>
      <c r="C3769" s="1">
        <v>10.0</v>
      </c>
      <c r="D3769" s="1" t="s">
        <v>1671</v>
      </c>
      <c r="E3769" s="1" t="str">
        <f>IFERROR(__xludf.DUMMYFUNCTION("GOOGLETRANSLATE(D3769,""PT"",""EN"")"),"Satisfaction, gratitude, commitment to the cooperative ....")</f>
        <v>Satisfaction, gratitude, commitment to the cooperative ....</v>
      </c>
    </row>
    <row r="3770" ht="14.25" customHeight="1">
      <c r="A3770" s="1">
        <v>100.0</v>
      </c>
      <c r="B3770" s="1" t="s">
        <v>1666</v>
      </c>
      <c r="C3770" s="1">
        <v>10.0</v>
      </c>
      <c r="D3770" s="2" t="s">
        <v>1672</v>
      </c>
      <c r="E3770" s="1" t="str">
        <f>IFERROR(__xludf.DUMMYFUNCTION("GOOGLETRANSLATE(D3770,""PT"",""EN"")"),"Excellence in service")</f>
        <v>Excellence in service</v>
      </c>
    </row>
    <row r="3771" ht="14.25" customHeight="1">
      <c r="A3771" s="1">
        <v>33.0</v>
      </c>
      <c r="B3771" s="1" t="s">
        <v>1666</v>
      </c>
      <c r="C3771" s="1">
        <v>0.0</v>
      </c>
      <c r="D3771" s="1" t="s">
        <v>6</v>
      </c>
      <c r="E3771" s="1"/>
    </row>
    <row r="3772" ht="14.25" customHeight="1">
      <c r="A3772" s="1">
        <v>33.0</v>
      </c>
      <c r="B3772" s="1" t="s">
        <v>1666</v>
      </c>
      <c r="C3772" s="1">
        <v>0.0</v>
      </c>
      <c r="D3772" s="2" t="s">
        <v>1673</v>
      </c>
      <c r="E3772" s="1" t="str">
        <f>IFERROR(__xludf.DUMMYFUNCTION("GOOGLETRANSLATE(D3772,""PT"",""EN"")"),"Bank with self -interest to help those who already have money, bank only want partnership with those who already have money, aims only at profit is not partner with the weaker associates of income or goods.")</f>
        <v>Bank with self -interest to help those who already have money, bank only want partnership with those who already have money, aims only at profit is not partner with the weaker associates of income or goods.</v>
      </c>
    </row>
    <row r="3773" ht="14.25" customHeight="1">
      <c r="A3773" s="1">
        <v>100.0</v>
      </c>
      <c r="B3773" s="1" t="s">
        <v>1666</v>
      </c>
      <c r="C3773" s="1">
        <v>10.0</v>
      </c>
      <c r="D3773" s="2" t="s">
        <v>1674</v>
      </c>
      <c r="E3773" s="1" t="str">
        <f>IFERROR(__xludf.DUMMYFUNCTION("GOOGLETRANSLATE(D3773,""PT"",""EN"")"),"good service, lower rates, besides participating in the results")</f>
        <v>good service, lower rates, besides participating in the results</v>
      </c>
    </row>
    <row r="3774" ht="14.25" customHeight="1">
      <c r="A3774" s="1">
        <v>33.0</v>
      </c>
      <c r="B3774" s="1" t="s">
        <v>1666</v>
      </c>
      <c r="C3774" s="1">
        <v>6.0</v>
      </c>
      <c r="D3774" s="2" t="s">
        <v>1675</v>
      </c>
      <c r="E3774" s="1" t="str">
        <f>IFERROR(__xludf.DUMMYFUNCTION("GOOGLETRANSLATE(D3774,""PT"",""EN"")"),"Individuals management care needs to improve a lot, it takes time to resolve is to answer the customer")</f>
        <v>Individuals management care needs to improve a lot, it takes time to resolve is to answer the customer</v>
      </c>
    </row>
    <row r="3775" ht="14.25" customHeight="1">
      <c r="A3775" s="1">
        <v>33.0</v>
      </c>
      <c r="B3775" s="1" t="s">
        <v>1666</v>
      </c>
      <c r="C3775" s="1">
        <v>0.0</v>
      </c>
      <c r="D3775" s="2" t="s">
        <v>1676</v>
      </c>
      <c r="E3775" s="1" t="str">
        <f>IFERROR(__xludf.DUMMYFUNCTION("GOOGLETRANSLATE(D3775,""PT"",""EN"")"),"There is nothing cooperative")</f>
        <v>There is nothing cooperative</v>
      </c>
    </row>
    <row r="3776" ht="14.25" customHeight="1">
      <c r="A3776" s="1">
        <v>100.0</v>
      </c>
      <c r="B3776" s="1" t="s">
        <v>1666</v>
      </c>
      <c r="C3776" s="1">
        <v>10.0</v>
      </c>
      <c r="D3776" s="1" t="s">
        <v>6</v>
      </c>
      <c r="E3776" s="1"/>
    </row>
    <row r="3777" ht="14.25" customHeight="1">
      <c r="A3777" s="1">
        <v>33.0</v>
      </c>
      <c r="B3777" s="1" t="s">
        <v>1666</v>
      </c>
      <c r="C3777" s="1">
        <v>0.0</v>
      </c>
      <c r="D3777" s="1" t="s">
        <v>6</v>
      </c>
      <c r="E3777" s="1"/>
    </row>
    <row r="3778" ht="14.25" customHeight="1">
      <c r="A3778" s="1">
        <v>66.0</v>
      </c>
      <c r="B3778" s="1" t="s">
        <v>1666</v>
      </c>
      <c r="C3778" s="1">
        <v>8.0</v>
      </c>
      <c r="D3778" s="1" t="s">
        <v>1677</v>
      </c>
      <c r="E3778" s="1" t="str">
        <f>IFERROR(__xludf.DUMMYFUNCTION("GOOGLETRANSLATE(D3778,""PT"",""EN"")"),"AT")</f>
        <v>AT</v>
      </c>
    </row>
    <row r="3779" ht="14.25" customHeight="1">
      <c r="A3779" s="1">
        <v>100.0</v>
      </c>
      <c r="B3779" s="1" t="s">
        <v>1666</v>
      </c>
      <c r="C3779" s="1">
        <v>10.0</v>
      </c>
      <c r="D3779" s="2" t="s">
        <v>1678</v>
      </c>
      <c r="E3779" s="1" t="str">
        <f>IFERROR(__xludf.DUMMYFUNCTION("GOOGLETRANSLATE(D3779,""PT"",""EN"")"),"Very quick service is always looking for the best way for problem solving")</f>
        <v>Very quick service is always looking for the best way for problem solving</v>
      </c>
    </row>
    <row r="3780" ht="14.25" customHeight="1">
      <c r="A3780" s="1">
        <v>100.0</v>
      </c>
      <c r="B3780" s="1" t="s">
        <v>1666</v>
      </c>
      <c r="C3780" s="1">
        <v>10.0</v>
      </c>
      <c r="D3780" s="1" t="s">
        <v>6</v>
      </c>
      <c r="E3780" s="1"/>
    </row>
    <row r="3781" ht="14.25" customHeight="1">
      <c r="A3781" s="1">
        <v>100.0</v>
      </c>
      <c r="B3781" s="1" t="s">
        <v>1666</v>
      </c>
      <c r="C3781" s="1">
        <v>10.0</v>
      </c>
      <c r="D3781" s="2" t="s">
        <v>1679</v>
      </c>
      <c r="E3781" s="1" t="str">
        <f>IFERROR(__xludf.DUMMYFUNCTION("GOOGLETRANSLATE(D3781,""PT"",""EN"")"),"I helped when I needed it most, I just think I had to release an option for loan..More satisfied ..")</f>
        <v>I helped when I needed it most, I just think I had to release an option for loan..More satisfied ..</v>
      </c>
    </row>
    <row r="3782" ht="14.25" customHeight="1">
      <c r="A3782" s="1">
        <v>100.0</v>
      </c>
      <c r="B3782" s="1" t="s">
        <v>1666</v>
      </c>
      <c r="C3782" s="1">
        <v>10.0</v>
      </c>
      <c r="D3782" s="1" t="s">
        <v>164</v>
      </c>
      <c r="E3782" s="1" t="str">
        <f>IFERROR(__xludf.DUMMYFUNCTION("GOOGLETRANSLATE(D3782,""PT"",""EN"")"),"Great bank")</f>
        <v>Great bank</v>
      </c>
    </row>
    <row r="3783" ht="14.25" customHeight="1">
      <c r="A3783" s="1">
        <v>100.0</v>
      </c>
      <c r="B3783" s="1" t="s">
        <v>1666</v>
      </c>
      <c r="C3783" s="1">
        <v>10.0</v>
      </c>
      <c r="D3783" s="1" t="s">
        <v>9</v>
      </c>
      <c r="E3783" s="1" t="str">
        <f>IFERROR(__xludf.DUMMYFUNCTION("GOOGLETRANSLATE(D3783,""PT"",""EN"")"),"10")</f>
        <v>10</v>
      </c>
    </row>
    <row r="3784" ht="14.25" customHeight="1">
      <c r="A3784" s="1">
        <v>33.0</v>
      </c>
      <c r="B3784" s="1" t="s">
        <v>1666</v>
      </c>
      <c r="C3784" s="1">
        <v>6.0</v>
      </c>
      <c r="D3784" s="1" t="s">
        <v>1680</v>
      </c>
      <c r="E3784" s="1" t="str">
        <f>IFERROR(__xludf.DUMMYFUNCTION("GOOGLETRANSLATE(D3784,""PT"",""EN"")"),"F")</f>
        <v>F</v>
      </c>
    </row>
    <row r="3785" ht="14.25" customHeight="1">
      <c r="A3785" s="1">
        <v>100.0</v>
      </c>
      <c r="B3785" s="1" t="s">
        <v>1666</v>
      </c>
      <c r="C3785" s="1">
        <v>10.0</v>
      </c>
      <c r="D3785" s="1" t="s">
        <v>67</v>
      </c>
      <c r="E3785" s="1"/>
    </row>
    <row r="3786" ht="14.25" customHeight="1">
      <c r="A3786" s="1">
        <v>100.0</v>
      </c>
      <c r="B3786" s="1" t="s">
        <v>1666</v>
      </c>
      <c r="C3786" s="1">
        <v>10.0</v>
      </c>
      <c r="D3786" s="1" t="s">
        <v>6</v>
      </c>
      <c r="E3786" s="1"/>
    </row>
    <row r="3787" ht="14.25" customHeight="1">
      <c r="A3787" s="1">
        <v>66.0</v>
      </c>
      <c r="B3787" s="1" t="s">
        <v>1666</v>
      </c>
      <c r="C3787" s="1">
        <v>7.0</v>
      </c>
      <c r="D3787" s="1" t="s">
        <v>1681</v>
      </c>
      <c r="E3787" s="1" t="str">
        <f>IFERROR(__xludf.DUMMYFUNCTION("GOOGLETRANSLATE(D3787,""PT"",""EN"")"),"whenever")</f>
        <v>whenever</v>
      </c>
    </row>
    <row r="3788" ht="14.25" customHeight="1">
      <c r="A3788" s="1">
        <v>100.0</v>
      </c>
      <c r="B3788" s="1" t="s">
        <v>1666</v>
      </c>
      <c r="C3788" s="1">
        <v>10.0</v>
      </c>
      <c r="D3788" s="1" t="s">
        <v>9</v>
      </c>
      <c r="E3788" s="1" t="str">
        <f>IFERROR(__xludf.DUMMYFUNCTION("GOOGLETRANSLATE(D3788,""PT"",""EN"")"),"10")</f>
        <v>10</v>
      </c>
    </row>
    <row r="3789" ht="14.25" customHeight="1">
      <c r="A3789" s="1">
        <v>33.0</v>
      </c>
      <c r="B3789" s="1" t="s">
        <v>1666</v>
      </c>
      <c r="C3789" s="1">
        <v>1.0</v>
      </c>
      <c r="D3789" s="2" t="s">
        <v>1682</v>
      </c>
      <c r="E3789" s="1" t="str">
        <f>IFERROR(__xludf.DUMMYFUNCTION("GOOGLETRANSLATE(D3789,""PT"",""EN"")"),"At the moment I do not recommend it to anyone. Out of nowhere they got a charge of 20 reais/month in my account I will close my account")</f>
        <v>At the moment I do not recommend it to anyone. Out of nowhere they got a charge of 20 reais/month in my account I will close my account</v>
      </c>
    </row>
    <row r="3790" ht="14.25" customHeight="1">
      <c r="A3790" s="1">
        <v>66.0</v>
      </c>
      <c r="B3790" s="1" t="s">
        <v>1666</v>
      </c>
      <c r="C3790" s="1">
        <v>8.0</v>
      </c>
      <c r="D3790" s="1" t="s">
        <v>1683</v>
      </c>
      <c r="E3790" s="1" t="str">
        <f>IFERROR(__xludf.DUMMYFUNCTION("GOOGLETRANSLATE(D3790,""PT"",""EN"")"),"Rate exemption")</f>
        <v>Rate exemption</v>
      </c>
    </row>
    <row r="3791" ht="14.25" customHeight="1">
      <c r="A3791" s="1">
        <v>33.0</v>
      </c>
      <c r="B3791" s="1" t="s">
        <v>1666</v>
      </c>
      <c r="C3791" s="1">
        <v>1.0</v>
      </c>
      <c r="D3791" s="1" t="s">
        <v>6</v>
      </c>
      <c r="E3791" s="1"/>
    </row>
    <row r="3792" ht="14.25" customHeight="1">
      <c r="A3792" s="1">
        <v>100.0</v>
      </c>
      <c r="B3792" s="1" t="s">
        <v>1666</v>
      </c>
      <c r="C3792" s="1">
        <v>10.0</v>
      </c>
      <c r="D3792" s="1" t="s">
        <v>6</v>
      </c>
      <c r="E3792" s="1"/>
    </row>
    <row r="3793" ht="14.25" customHeight="1">
      <c r="A3793" s="1">
        <v>100.0</v>
      </c>
      <c r="B3793" s="1" t="s">
        <v>1666</v>
      </c>
      <c r="C3793" s="1">
        <v>10.0</v>
      </c>
      <c r="D3793" s="1" t="s">
        <v>1684</v>
      </c>
      <c r="E3793" s="1" t="str">
        <f>IFERROR(__xludf.DUMMYFUNCTION("GOOGLETRANSLATE(D3793,""PT"",""EN"")"),"Sicoob is the best cooperative in Brazil.")</f>
        <v>Sicoob is the best cooperative in Brazil.</v>
      </c>
    </row>
    <row r="3794" ht="14.25" customHeight="1">
      <c r="A3794" s="1">
        <v>100.0</v>
      </c>
      <c r="B3794" s="1" t="s">
        <v>1666</v>
      </c>
      <c r="C3794" s="1">
        <v>10.0</v>
      </c>
      <c r="D3794" s="1" t="s">
        <v>6</v>
      </c>
      <c r="E3794" s="1"/>
    </row>
    <row r="3795" ht="14.25" customHeight="1">
      <c r="A3795" s="1">
        <v>100.0</v>
      </c>
      <c r="B3795" s="1" t="s">
        <v>1666</v>
      </c>
      <c r="C3795" s="1">
        <v>10.0</v>
      </c>
      <c r="D3795" s="1" t="s">
        <v>1685</v>
      </c>
      <c r="E3795" s="1" t="str">
        <f>IFERROR(__xludf.DUMMYFUNCTION("GOOGLETRANSLATE(D3795,""PT"",""EN"")"),"It is a small bench, but with a gigantic soul.")</f>
        <v>It is a small bench, but with a gigantic soul.</v>
      </c>
    </row>
    <row r="3796" ht="14.25" customHeight="1">
      <c r="A3796" s="1">
        <v>100.0</v>
      </c>
      <c r="B3796" s="1" t="s">
        <v>1666</v>
      </c>
      <c r="C3796" s="1">
        <v>10.0</v>
      </c>
      <c r="D3796" s="2" t="s">
        <v>1686</v>
      </c>
      <c r="E3796" s="1" t="str">
        <f>IFERROR(__xludf.DUMMYFUNCTION("GOOGLETRANSLATE(D3796,""PT"",""EN"")"),"Best service is reliable")</f>
        <v>Best service is reliable</v>
      </c>
    </row>
    <row r="3797" ht="14.25" customHeight="1">
      <c r="A3797" s="1">
        <v>100.0</v>
      </c>
      <c r="B3797" s="1" t="s">
        <v>1666</v>
      </c>
      <c r="C3797" s="1">
        <v>9.0</v>
      </c>
      <c r="D3797" s="1" t="s">
        <v>6</v>
      </c>
      <c r="E3797" s="1"/>
    </row>
    <row r="3798" ht="14.25" customHeight="1">
      <c r="A3798" s="1">
        <v>100.0</v>
      </c>
      <c r="B3798" s="1" t="s">
        <v>1666</v>
      </c>
      <c r="C3798" s="1">
        <v>10.0</v>
      </c>
      <c r="D3798" s="1" t="s">
        <v>6</v>
      </c>
      <c r="E3798" s="1"/>
    </row>
    <row r="3799" ht="14.25" customHeight="1">
      <c r="A3799" s="1">
        <v>100.0</v>
      </c>
      <c r="B3799" s="1" t="s">
        <v>1666</v>
      </c>
      <c r="C3799" s="1">
        <v>10.0</v>
      </c>
      <c r="D3799" s="1" t="s">
        <v>6</v>
      </c>
      <c r="E3799" s="1"/>
    </row>
    <row r="3800" ht="14.25" customHeight="1">
      <c r="A3800" s="1">
        <v>100.0</v>
      </c>
      <c r="B3800" s="1" t="s">
        <v>1666</v>
      </c>
      <c r="C3800" s="1">
        <v>10.0</v>
      </c>
      <c r="D3800" s="1" t="s">
        <v>6</v>
      </c>
      <c r="E3800" s="1"/>
    </row>
    <row r="3801" ht="14.25" customHeight="1">
      <c r="A3801" s="1">
        <v>100.0</v>
      </c>
      <c r="B3801" s="1" t="s">
        <v>1666</v>
      </c>
      <c r="C3801" s="1">
        <v>10.0</v>
      </c>
      <c r="D3801" s="1" t="s">
        <v>20</v>
      </c>
      <c r="E3801" s="1" t="str">
        <f>IFERROR(__xludf.DUMMYFUNCTION("GOOGLETRANSLATE(D3801,""PT"",""EN"")"),"Very good")</f>
        <v>Very good</v>
      </c>
    </row>
    <row r="3802" ht="14.25" customHeight="1">
      <c r="A3802" s="1">
        <v>100.0</v>
      </c>
      <c r="B3802" s="1" t="s">
        <v>1666</v>
      </c>
      <c r="C3802" s="1">
        <v>10.0</v>
      </c>
      <c r="D3802" s="1" t="s">
        <v>115</v>
      </c>
      <c r="E3802" s="1" t="str">
        <f>IFERROR(__xludf.DUMMYFUNCTION("GOOGLETRANSLATE(D3802,""PT"",""EN"")"),"Service.")</f>
        <v>Service.</v>
      </c>
    </row>
    <row r="3803" ht="14.25" customHeight="1">
      <c r="A3803" s="1">
        <v>100.0</v>
      </c>
      <c r="B3803" s="1" t="s">
        <v>1666</v>
      </c>
      <c r="C3803" s="1">
        <v>10.0</v>
      </c>
      <c r="D3803" s="1" t="s">
        <v>6</v>
      </c>
      <c r="E3803" s="1"/>
    </row>
    <row r="3804" ht="14.25" customHeight="1">
      <c r="A3804" s="1">
        <v>100.0</v>
      </c>
      <c r="B3804" s="1" t="s">
        <v>1666</v>
      </c>
      <c r="C3804" s="1">
        <v>10.0</v>
      </c>
      <c r="D3804" s="1" t="s">
        <v>6</v>
      </c>
      <c r="E3804" s="1"/>
    </row>
    <row r="3805" ht="14.25" customHeight="1">
      <c r="A3805" s="1">
        <v>33.0</v>
      </c>
      <c r="B3805" s="1" t="s">
        <v>1666</v>
      </c>
      <c r="C3805" s="1">
        <v>2.0</v>
      </c>
      <c r="D3805" s="1" t="s">
        <v>6</v>
      </c>
      <c r="E3805" s="1"/>
    </row>
    <row r="3806" ht="14.25" customHeight="1">
      <c r="A3806" s="1">
        <v>100.0</v>
      </c>
      <c r="B3806" s="1" t="s">
        <v>1666</v>
      </c>
      <c r="C3806" s="1">
        <v>10.0</v>
      </c>
      <c r="D3806" s="1" t="s">
        <v>1687</v>
      </c>
      <c r="E3806" s="1" t="str">
        <f>IFERROR(__xludf.DUMMYFUNCTION("GOOGLETRANSLATE(D3806,""PT"",""EN"")"),"Fast, effective service without winding")</f>
        <v>Fast, effective service without winding</v>
      </c>
    </row>
    <row r="3807" ht="14.25" customHeight="1">
      <c r="A3807" s="1">
        <v>33.0</v>
      </c>
      <c r="B3807" s="1" t="s">
        <v>1666</v>
      </c>
      <c r="C3807" s="1">
        <v>2.0</v>
      </c>
      <c r="D3807" s="1" t="s">
        <v>6</v>
      </c>
      <c r="E3807" s="1"/>
    </row>
    <row r="3808" ht="14.25" customHeight="1">
      <c r="A3808" s="1">
        <v>33.0</v>
      </c>
      <c r="B3808" s="1" t="s">
        <v>1666</v>
      </c>
      <c r="C3808" s="1">
        <v>5.0</v>
      </c>
      <c r="D3808" s="2" t="s">
        <v>1688</v>
      </c>
      <c r="E3808" s="1" t="str">
        <f>IFERROR(__xludf.DUMMYFUNCTION("GOOGLETRANSLATE(D3808,""PT"",""EN"")"),"A bank that only helps large company, or who has money. Disappointed")</f>
        <v>A bank that only helps large company, or who has money. Disappointed</v>
      </c>
    </row>
    <row r="3809" ht="14.25" customHeight="1">
      <c r="A3809" s="1">
        <v>100.0</v>
      </c>
      <c r="B3809" s="1" t="s">
        <v>1666</v>
      </c>
      <c r="C3809" s="1">
        <v>10.0</v>
      </c>
      <c r="D3809" s="2" t="s">
        <v>1689</v>
      </c>
      <c r="E3809" s="1" t="str">
        <f>IFERROR(__xludf.DUMMYFUNCTION("GOOGLETRANSLATE(D3809,""PT"",""EN"")"),"Good service owns")</f>
        <v>Good service owns</v>
      </c>
    </row>
    <row r="3810" ht="14.25" customHeight="1">
      <c r="A3810" s="1">
        <v>33.0</v>
      </c>
      <c r="B3810" s="1" t="s">
        <v>1666</v>
      </c>
      <c r="C3810" s="1">
        <v>2.0</v>
      </c>
      <c r="D3810" s="1" t="s">
        <v>6</v>
      </c>
      <c r="E3810" s="1"/>
    </row>
    <row r="3811" ht="14.25" customHeight="1">
      <c r="A3811" s="1">
        <v>100.0</v>
      </c>
      <c r="B3811" s="1" t="s">
        <v>1666</v>
      </c>
      <c r="C3811" s="1">
        <v>10.0</v>
      </c>
      <c r="D3811" s="1" t="s">
        <v>9</v>
      </c>
      <c r="E3811" s="1" t="str">
        <f>IFERROR(__xludf.DUMMYFUNCTION("GOOGLETRANSLATE(D3811,""PT"",""EN"")"),"10")</f>
        <v>10</v>
      </c>
    </row>
    <row r="3812" ht="14.25" customHeight="1">
      <c r="A3812" s="1">
        <v>33.0</v>
      </c>
      <c r="B3812" s="1" t="s">
        <v>1666</v>
      </c>
      <c r="C3812" s="1">
        <v>5.0</v>
      </c>
      <c r="D3812" s="1" t="s">
        <v>6</v>
      </c>
      <c r="E3812" s="1"/>
    </row>
    <row r="3813" ht="14.25" customHeight="1">
      <c r="A3813" s="1">
        <v>100.0</v>
      </c>
      <c r="B3813" s="1" t="s">
        <v>1666</v>
      </c>
      <c r="C3813" s="1">
        <v>10.0</v>
      </c>
      <c r="D3813" s="1" t="s">
        <v>1690</v>
      </c>
      <c r="E3813" s="1" t="str">
        <f>IFERROR(__xludf.DUMMYFUNCTION("GOOGLETRANSLATE(D3813,""PT"",""EN"")"),"Great service 👍")</f>
        <v>Great service 👍</v>
      </c>
    </row>
    <row r="3814" ht="14.25" customHeight="1">
      <c r="A3814" s="1">
        <v>100.0</v>
      </c>
      <c r="B3814" s="1" t="s">
        <v>1666</v>
      </c>
      <c r="C3814" s="1">
        <v>10.0</v>
      </c>
      <c r="D3814" s="1" t="s">
        <v>6</v>
      </c>
      <c r="E3814" s="1"/>
    </row>
    <row r="3815" ht="14.25" customHeight="1">
      <c r="A3815" s="1">
        <v>100.0</v>
      </c>
      <c r="B3815" s="1" t="s">
        <v>1666</v>
      </c>
      <c r="C3815" s="1">
        <v>9.0</v>
      </c>
      <c r="D3815" s="1" t="s">
        <v>6</v>
      </c>
      <c r="E3815" s="1"/>
    </row>
    <row r="3816" ht="14.25" customHeight="1">
      <c r="A3816" s="1">
        <v>100.0</v>
      </c>
      <c r="B3816" s="1" t="s">
        <v>1691</v>
      </c>
      <c r="C3816" s="1">
        <v>9.0</v>
      </c>
      <c r="D3816" s="1" t="s">
        <v>62</v>
      </c>
      <c r="E3816" s="1" t="str">
        <f>IFERROR(__xludf.DUMMYFUNCTION("GOOGLETRANSLATE(D3816,""PT"",""EN"")"),"Good service")</f>
        <v>Good service</v>
      </c>
    </row>
    <row r="3817" ht="14.25" customHeight="1">
      <c r="A3817" s="1">
        <v>33.0</v>
      </c>
      <c r="B3817" s="1" t="s">
        <v>1691</v>
      </c>
      <c r="C3817" s="1">
        <v>0.0</v>
      </c>
      <c r="D3817" s="2" t="s">
        <v>1692</v>
      </c>
      <c r="E3817" s="1" t="str">
        <f>IFERROR(__xludf.DUMMYFUNCTION("GOOGLETRANSLATE(D3817,""PT"",""EN"")"),"I sent me credit card plus the limit is 0.00 I did not understand")</f>
        <v>I sent me credit card plus the limit is 0.00 I did not understand</v>
      </c>
    </row>
    <row r="3818" ht="14.25" customHeight="1">
      <c r="A3818" s="1">
        <v>100.0</v>
      </c>
      <c r="B3818" s="1" t="s">
        <v>1691</v>
      </c>
      <c r="C3818" s="1">
        <v>9.0</v>
      </c>
      <c r="D3818" s="1" t="s">
        <v>6</v>
      </c>
      <c r="E3818" s="1"/>
    </row>
    <row r="3819" ht="14.25" customHeight="1">
      <c r="A3819" s="1">
        <v>33.0</v>
      </c>
      <c r="B3819" s="1" t="s">
        <v>1691</v>
      </c>
      <c r="C3819" s="1">
        <v>5.0</v>
      </c>
      <c r="D3819" s="1" t="s">
        <v>6</v>
      </c>
      <c r="E3819" s="1"/>
    </row>
    <row r="3820" ht="14.25" customHeight="1">
      <c r="A3820" s="1">
        <v>100.0</v>
      </c>
      <c r="B3820" s="1" t="s">
        <v>1691</v>
      </c>
      <c r="C3820" s="1">
        <v>10.0</v>
      </c>
      <c r="D3820" s="1" t="s">
        <v>215</v>
      </c>
      <c r="E3820" s="1" t="str">
        <f>IFERROR(__xludf.DUMMYFUNCTION("GOOGLETRANSLATE(D3820,""PT"",""EN"")"),"Excellence")</f>
        <v>Excellence</v>
      </c>
    </row>
    <row r="3821" ht="14.25" customHeight="1">
      <c r="A3821" s="1">
        <v>33.0</v>
      </c>
      <c r="B3821" s="1" t="s">
        <v>1691</v>
      </c>
      <c r="C3821" s="1">
        <v>0.0</v>
      </c>
      <c r="D3821" s="1" t="s">
        <v>6</v>
      </c>
      <c r="E3821" s="1"/>
    </row>
    <row r="3822" ht="14.25" customHeight="1">
      <c r="A3822" s="1">
        <v>100.0</v>
      </c>
      <c r="B3822" s="1" t="s">
        <v>1691</v>
      </c>
      <c r="C3822" s="1">
        <v>10.0</v>
      </c>
      <c r="D3822" s="2" t="s">
        <v>1693</v>
      </c>
      <c r="E3822" s="1" t="str">
        <f>IFERROR(__xludf.DUMMYFUNCTION("GOOGLETRANSLATE(D3822,""PT"",""EN"")"),"I like the operation via Sicoob. Provides good relationship is the smallest rates when they are indispensable.")</f>
        <v>I like the operation via Sicoob. Provides good relationship is the smallest rates when they are indispensable.</v>
      </c>
    </row>
    <row r="3823" ht="14.25" customHeight="1">
      <c r="A3823" s="1">
        <v>100.0</v>
      </c>
      <c r="B3823" s="1" t="s">
        <v>1691</v>
      </c>
      <c r="C3823" s="1">
        <v>10.0</v>
      </c>
      <c r="D3823" s="1" t="s">
        <v>6</v>
      </c>
      <c r="E3823" s="1"/>
    </row>
    <row r="3824" ht="14.25" customHeight="1">
      <c r="A3824" s="1">
        <v>66.0</v>
      </c>
      <c r="B3824" s="1" t="s">
        <v>1691</v>
      </c>
      <c r="C3824" s="1">
        <v>8.0</v>
      </c>
      <c r="D3824" s="1" t="s">
        <v>6</v>
      </c>
      <c r="E3824" s="1"/>
    </row>
    <row r="3825" ht="14.25" customHeight="1">
      <c r="A3825" s="1">
        <v>33.0</v>
      </c>
      <c r="B3825" s="1" t="s">
        <v>1691</v>
      </c>
      <c r="C3825" s="1">
        <v>1.0</v>
      </c>
      <c r="D3825" s="1" t="s">
        <v>6</v>
      </c>
      <c r="E3825" s="1"/>
    </row>
    <row r="3826" ht="14.25" customHeight="1">
      <c r="A3826" s="1">
        <v>100.0</v>
      </c>
      <c r="B3826" s="1" t="s">
        <v>1691</v>
      </c>
      <c r="C3826" s="1">
        <v>10.0</v>
      </c>
      <c r="D3826" s="2" t="s">
        <v>1694</v>
      </c>
      <c r="E3826" s="1" t="str">
        <f>IFERROR(__xludf.DUMMYFUNCTION("GOOGLETRANSLATE(D3826,""PT"",""EN"")"),"Great financial institution.")</f>
        <v>Great financial institution.</v>
      </c>
    </row>
    <row r="3827" ht="14.25" customHeight="1">
      <c r="A3827" s="1">
        <v>100.0</v>
      </c>
      <c r="B3827" s="1" t="s">
        <v>1691</v>
      </c>
      <c r="C3827" s="1">
        <v>9.0</v>
      </c>
      <c r="D3827" s="1" t="s">
        <v>6</v>
      </c>
      <c r="E3827" s="1"/>
    </row>
    <row r="3828" ht="14.25" customHeight="1">
      <c r="A3828" s="1">
        <v>33.0</v>
      </c>
      <c r="B3828" s="1" t="s">
        <v>1691</v>
      </c>
      <c r="C3828" s="1">
        <v>2.0</v>
      </c>
      <c r="D3828" s="1" t="s">
        <v>6</v>
      </c>
      <c r="E3828" s="1"/>
    </row>
    <row r="3829" ht="14.25" customHeight="1">
      <c r="A3829" s="1">
        <v>33.0</v>
      </c>
      <c r="B3829" s="1" t="s">
        <v>1691</v>
      </c>
      <c r="C3829" s="1">
        <v>1.0</v>
      </c>
      <c r="D3829" s="1" t="s">
        <v>1695</v>
      </c>
      <c r="E3829" s="1" t="str">
        <f>IFERROR(__xludf.DUMMYFUNCTION("GOOGLETRANSLATE(D3829,""PT"",""EN"")"),"Lack of return on demands")</f>
        <v>Lack of return on demands</v>
      </c>
    </row>
    <row r="3830" ht="14.25" customHeight="1">
      <c r="A3830" s="1">
        <v>100.0</v>
      </c>
      <c r="B3830" s="1" t="s">
        <v>1691</v>
      </c>
      <c r="C3830" s="1">
        <v>10.0</v>
      </c>
      <c r="D3830" s="1" t="s">
        <v>6</v>
      </c>
      <c r="E3830" s="1"/>
    </row>
    <row r="3831" ht="14.25" customHeight="1">
      <c r="A3831" s="1">
        <v>33.0</v>
      </c>
      <c r="B3831" s="1" t="s">
        <v>1691</v>
      </c>
      <c r="C3831" s="1">
        <v>4.0</v>
      </c>
      <c r="D3831" s="2" t="s">
        <v>1696</v>
      </c>
      <c r="E3831" s="1" t="str">
        <f>IFERROR(__xludf.DUMMYFUNCTION("GOOGLETRANSLATE(D3831,""PT"",""EN"")"),"I did not acquire credit")</f>
        <v>I did not acquire credit</v>
      </c>
    </row>
    <row r="3832" ht="14.25" customHeight="1">
      <c r="A3832" s="1">
        <v>33.0</v>
      </c>
      <c r="B3832" s="1" t="s">
        <v>1691</v>
      </c>
      <c r="C3832" s="1">
        <v>0.0</v>
      </c>
      <c r="D3832" s="1" t="s">
        <v>6</v>
      </c>
      <c r="E3832" s="1"/>
    </row>
    <row r="3833" ht="14.25" customHeight="1">
      <c r="A3833" s="1">
        <v>33.0</v>
      </c>
      <c r="B3833" s="1" t="s">
        <v>1691</v>
      </c>
      <c r="C3833" s="1">
        <v>3.0</v>
      </c>
      <c r="D3833" s="1" t="s">
        <v>6</v>
      </c>
      <c r="E3833" s="1"/>
    </row>
    <row r="3834" ht="14.25" customHeight="1">
      <c r="A3834" s="1">
        <v>33.0</v>
      </c>
      <c r="B3834" s="1" t="s">
        <v>1691</v>
      </c>
      <c r="C3834" s="1">
        <v>0.0</v>
      </c>
      <c r="D3834" s="1" t="s">
        <v>6</v>
      </c>
      <c r="E3834" s="1"/>
    </row>
    <row r="3835" ht="14.25" customHeight="1">
      <c r="A3835" s="1">
        <v>100.0</v>
      </c>
      <c r="B3835" s="1" t="s">
        <v>1691</v>
      </c>
      <c r="C3835" s="1">
        <v>10.0</v>
      </c>
      <c r="D3835" s="2" t="s">
        <v>1697</v>
      </c>
      <c r="E3835" s="1" t="str">
        <f>IFERROR(__xludf.DUMMYFUNCTION("GOOGLETRANSLATE(D3835,""PT"",""EN"")"),"The service is always high level with great assertiveness of positive solutions that we have whenever we need the cooperative.")</f>
        <v>The service is always high level with great assertiveness of positive solutions that we have whenever we need the cooperative.</v>
      </c>
    </row>
    <row r="3836" ht="14.25" customHeight="1">
      <c r="A3836" s="1">
        <v>100.0</v>
      </c>
      <c r="B3836" s="1" t="s">
        <v>1691</v>
      </c>
      <c r="C3836" s="1">
        <v>9.0</v>
      </c>
      <c r="D3836" s="1" t="s">
        <v>1698</v>
      </c>
      <c r="E3836" s="1" t="str">
        <f>IFERROR(__xludf.DUMMYFUNCTION("GOOGLETRANSLATE(D3836,""PT"",""EN"")"),"Only for governance reasons for adjustments. Sicoob itself is wonderful.")</f>
        <v>Only for governance reasons for adjustments. Sicoob itself is wonderful.</v>
      </c>
    </row>
    <row r="3837" ht="14.25" customHeight="1">
      <c r="A3837" s="1">
        <v>33.0</v>
      </c>
      <c r="B3837" s="1" t="s">
        <v>1691</v>
      </c>
      <c r="C3837" s="1">
        <v>6.0</v>
      </c>
      <c r="D3837" s="2" t="s">
        <v>1699</v>
      </c>
      <c r="E3837" s="1" t="str">
        <f>IFERROR(__xludf.DUMMYFUNCTION("GOOGLETRANSLATE(D3837,""PT"",""EN"")"),"Practically the same as every bank, when you don't have to offer you everything, when you need it you have no support at all.")</f>
        <v>Practically the same as every bank, when you don't have to offer you everything, when you need it you have no support at all.</v>
      </c>
    </row>
    <row r="3838" ht="14.25" customHeight="1">
      <c r="A3838" s="1">
        <v>66.0</v>
      </c>
      <c r="B3838" s="1" t="s">
        <v>1691</v>
      </c>
      <c r="C3838" s="1">
        <v>7.0</v>
      </c>
      <c r="D3838" s="1" t="s">
        <v>6</v>
      </c>
      <c r="E3838" s="1"/>
    </row>
    <row r="3839" ht="14.25" customHeight="1">
      <c r="A3839" s="1">
        <v>100.0</v>
      </c>
      <c r="B3839" s="1" t="s">
        <v>1691</v>
      </c>
      <c r="C3839" s="1">
        <v>10.0</v>
      </c>
      <c r="D3839" s="1" t="s">
        <v>6</v>
      </c>
      <c r="E3839" s="1"/>
    </row>
    <row r="3840" ht="14.25" customHeight="1">
      <c r="A3840" s="1">
        <v>33.0</v>
      </c>
      <c r="B3840" s="1" t="s">
        <v>1691</v>
      </c>
      <c r="C3840" s="1">
        <v>5.0</v>
      </c>
      <c r="D3840" s="1" t="s">
        <v>1700</v>
      </c>
      <c r="E3840" s="1" t="str">
        <f>IFERROR(__xludf.DUMMYFUNCTION("GOOGLETRANSLATE(D3840,""PT"",""EN"")"),"the quality of service in general")</f>
        <v>the quality of service in general</v>
      </c>
    </row>
    <row r="3841" ht="14.25" customHeight="1">
      <c r="A3841" s="1">
        <v>100.0</v>
      </c>
      <c r="B3841" s="1" t="s">
        <v>1691</v>
      </c>
      <c r="C3841" s="1">
        <v>9.0</v>
      </c>
      <c r="D3841" s="1" t="s">
        <v>6</v>
      </c>
      <c r="E3841" s="1"/>
    </row>
    <row r="3842" ht="14.25" customHeight="1">
      <c r="A3842" s="1">
        <v>100.0</v>
      </c>
      <c r="B3842" s="1" t="s">
        <v>1691</v>
      </c>
      <c r="C3842" s="1">
        <v>9.0</v>
      </c>
      <c r="D3842" s="1" t="s">
        <v>6</v>
      </c>
      <c r="E3842" s="1"/>
    </row>
    <row r="3843" ht="14.25" customHeight="1">
      <c r="A3843" s="1">
        <v>100.0</v>
      </c>
      <c r="B3843" s="1" t="s">
        <v>1691</v>
      </c>
      <c r="C3843" s="1">
        <v>10.0</v>
      </c>
      <c r="D3843" s="1" t="s">
        <v>1701</v>
      </c>
      <c r="E3843" s="1" t="str">
        <f>IFERROR(__xludf.DUMMYFUNCTION("GOOGLETRANSLATE(D3843,""PT"",""EN"")"),"bank if, problems")</f>
        <v>bank if, problems</v>
      </c>
    </row>
    <row r="3844" ht="14.25" customHeight="1">
      <c r="A3844" s="1">
        <v>100.0</v>
      </c>
      <c r="B3844" s="1" t="s">
        <v>1691</v>
      </c>
      <c r="C3844" s="1">
        <v>10.0</v>
      </c>
      <c r="D3844" s="1" t="s">
        <v>164</v>
      </c>
      <c r="E3844" s="1" t="str">
        <f>IFERROR(__xludf.DUMMYFUNCTION("GOOGLETRANSLATE(D3844,""PT"",""EN"")"),"Great bank")</f>
        <v>Great bank</v>
      </c>
    </row>
    <row r="3845" ht="14.25" customHeight="1">
      <c r="A3845" s="1">
        <v>33.0</v>
      </c>
      <c r="B3845" s="1" t="s">
        <v>1691</v>
      </c>
      <c r="C3845" s="1">
        <v>0.0</v>
      </c>
      <c r="D3845" s="1" t="s">
        <v>657</v>
      </c>
      <c r="E3845" s="1" t="str">
        <f>IFERROR(__xludf.DUMMYFUNCTION("GOOGLETRANSLATE(D3845,""PT"",""EN"")"),"Poor service")</f>
        <v>Poor service</v>
      </c>
    </row>
    <row r="3846" ht="14.25" customHeight="1">
      <c r="A3846" s="1">
        <v>66.0</v>
      </c>
      <c r="B3846" s="1" t="s">
        <v>1691</v>
      </c>
      <c r="C3846" s="1">
        <v>7.0</v>
      </c>
      <c r="D3846" s="1" t="s">
        <v>6</v>
      </c>
      <c r="E3846" s="1"/>
    </row>
    <row r="3847" ht="14.25" customHeight="1">
      <c r="A3847" s="1">
        <v>100.0</v>
      </c>
      <c r="B3847" s="1" t="s">
        <v>1691</v>
      </c>
      <c r="C3847" s="1">
        <v>10.0</v>
      </c>
      <c r="D3847" s="1" t="s">
        <v>6</v>
      </c>
      <c r="E3847" s="1"/>
    </row>
    <row r="3848" ht="14.25" customHeight="1">
      <c r="A3848" s="1">
        <v>66.0</v>
      </c>
      <c r="B3848" s="1" t="s">
        <v>1691</v>
      </c>
      <c r="C3848" s="1">
        <v>8.0</v>
      </c>
      <c r="D3848" s="2" t="s">
        <v>1702</v>
      </c>
      <c r="E3848" s="1" t="str">
        <f>IFERROR(__xludf.DUMMYFUNCTION("GOOGLETRANSLATE(D3848,""PT"",""EN"")"),"Meeting the agile, efficient demands is effective in Ag.Trinity, needing to implement application with daily rescue, which does not make available the resource in D+1.")</f>
        <v>Meeting the agile, efficient demands is effective in Ag.Trinity, needing to implement application with daily rescue, which does not make available the resource in D+1.</v>
      </c>
    </row>
    <row r="3849" ht="14.25" customHeight="1">
      <c r="A3849" s="1">
        <v>66.0</v>
      </c>
      <c r="B3849" s="1" t="s">
        <v>1691</v>
      </c>
      <c r="C3849" s="1">
        <v>7.0</v>
      </c>
      <c r="D3849" s="1" t="s">
        <v>6</v>
      </c>
      <c r="E3849" s="1"/>
    </row>
    <row r="3850" ht="14.25" customHeight="1">
      <c r="A3850" s="1">
        <v>66.0</v>
      </c>
      <c r="B3850" s="1" t="s">
        <v>1691</v>
      </c>
      <c r="C3850" s="1">
        <v>7.0</v>
      </c>
      <c r="D3850" s="1" t="s">
        <v>1703</v>
      </c>
      <c r="E3850" s="1" t="str">
        <f>IFERROR(__xludf.DUMMYFUNCTION("GOOGLETRANSLATE(D3850,""PT"",""EN"")"),"Little experience of the managers team")</f>
        <v>Little experience of the managers team</v>
      </c>
    </row>
    <row r="3851" ht="14.25" customHeight="1">
      <c r="A3851" s="1">
        <v>33.0</v>
      </c>
      <c r="B3851" s="1" t="s">
        <v>1691</v>
      </c>
      <c r="C3851" s="1">
        <v>6.0</v>
      </c>
      <c r="D3851" s="1" t="s">
        <v>6</v>
      </c>
      <c r="E3851" s="1"/>
    </row>
    <row r="3852" ht="14.25" customHeight="1">
      <c r="A3852" s="1">
        <v>100.0</v>
      </c>
      <c r="B3852" s="1" t="s">
        <v>1691</v>
      </c>
      <c r="C3852" s="1">
        <v>10.0</v>
      </c>
      <c r="D3852" s="2" t="s">
        <v>1704</v>
      </c>
      <c r="E3852" s="1" t="str">
        <f>IFERROR(__xludf.DUMMYFUNCTION("GOOGLETRANSLATE(D3852,""PT"",""EN"")"),"Helpful personnel attentive to innovations")</f>
        <v>Helpful personnel attentive to innovations</v>
      </c>
    </row>
    <row r="3853" ht="14.25" customHeight="1">
      <c r="A3853" s="1">
        <v>66.0</v>
      </c>
      <c r="B3853" s="1" t="s">
        <v>1691</v>
      </c>
      <c r="C3853" s="1">
        <v>7.0</v>
      </c>
      <c r="D3853" s="2" t="s">
        <v>1705</v>
      </c>
      <c r="E3853" s="1" t="str">
        <f>IFERROR(__xludf.DUMMYFUNCTION("GOOGLETRANSLATE(D3853,""PT"",""EN"")"),"Denied credit line")</f>
        <v>Denied credit line</v>
      </c>
    </row>
    <row r="3854" ht="14.25" customHeight="1">
      <c r="A3854" s="1">
        <v>33.0</v>
      </c>
      <c r="B3854" s="1" t="s">
        <v>1691</v>
      </c>
      <c r="C3854" s="1">
        <v>5.0</v>
      </c>
      <c r="D3854" s="1" t="s">
        <v>6</v>
      </c>
      <c r="E3854" s="1"/>
    </row>
    <row r="3855" ht="14.25" customHeight="1">
      <c r="A3855" s="1">
        <v>100.0</v>
      </c>
      <c r="B3855" s="1" t="s">
        <v>1691</v>
      </c>
      <c r="C3855" s="1">
        <v>10.0</v>
      </c>
      <c r="D3855" s="1" t="s">
        <v>6</v>
      </c>
      <c r="E3855" s="1"/>
    </row>
    <row r="3856" ht="14.25" customHeight="1">
      <c r="A3856" s="1">
        <v>100.0</v>
      </c>
      <c r="B3856" s="1" t="s">
        <v>1691</v>
      </c>
      <c r="C3856" s="1">
        <v>10.0</v>
      </c>
      <c r="D3856" s="1" t="s">
        <v>6</v>
      </c>
      <c r="E3856" s="1"/>
    </row>
    <row r="3857" ht="14.25" customHeight="1">
      <c r="A3857" s="1">
        <v>33.0</v>
      </c>
      <c r="B3857" s="1" t="s">
        <v>1691</v>
      </c>
      <c r="C3857" s="1">
        <v>0.0</v>
      </c>
      <c r="D3857" s="2" t="s">
        <v>1706</v>
      </c>
      <c r="E3857" s="1" t="str">
        <f>IFERROR(__xludf.DUMMYFUNCTION("GOOGLETRANSLATE(D3857,""PT"",""EN"")"),"I have no benefit")</f>
        <v>I have no benefit</v>
      </c>
    </row>
    <row r="3858" ht="14.25" customHeight="1">
      <c r="A3858" s="1">
        <v>100.0</v>
      </c>
      <c r="B3858" s="1" t="s">
        <v>1691</v>
      </c>
      <c r="C3858" s="1">
        <v>10.0</v>
      </c>
      <c r="D3858" s="1" t="s">
        <v>6</v>
      </c>
      <c r="E3858" s="1"/>
    </row>
    <row r="3859" ht="14.25" customHeight="1">
      <c r="A3859" s="1">
        <v>66.0</v>
      </c>
      <c r="B3859" s="1" t="s">
        <v>1691</v>
      </c>
      <c r="C3859" s="1">
        <v>8.0</v>
      </c>
      <c r="D3859" s="1" t="s">
        <v>6</v>
      </c>
      <c r="E3859" s="1"/>
    </row>
    <row r="3860" ht="14.25" customHeight="1">
      <c r="A3860" s="1">
        <v>33.0</v>
      </c>
      <c r="B3860" s="1" t="s">
        <v>1691</v>
      </c>
      <c r="C3860" s="1">
        <v>5.0</v>
      </c>
      <c r="D3860" s="1" t="s">
        <v>6</v>
      </c>
      <c r="E3860" s="1"/>
    </row>
    <row r="3861" ht="14.25" customHeight="1">
      <c r="A3861" s="1">
        <v>66.0</v>
      </c>
      <c r="B3861" s="1" t="s">
        <v>1691</v>
      </c>
      <c r="C3861" s="1">
        <v>8.0</v>
      </c>
      <c r="D3861" s="1" t="s">
        <v>1707</v>
      </c>
      <c r="E3861" s="1" t="str">
        <f>IFERROR(__xludf.DUMMYFUNCTION("GOOGLETRANSLATE(D3861,""PT"",""EN"")"),"Good rates, regular management.")</f>
        <v>Good rates, regular management.</v>
      </c>
    </row>
    <row r="3862" ht="14.25" customHeight="1">
      <c r="A3862" s="1">
        <v>33.0</v>
      </c>
      <c r="B3862" s="1" t="s">
        <v>1691</v>
      </c>
      <c r="C3862" s="1">
        <v>0.0</v>
      </c>
      <c r="D3862" s="1" t="s">
        <v>6</v>
      </c>
      <c r="E3862" s="1"/>
    </row>
    <row r="3863" ht="14.25" customHeight="1">
      <c r="A3863" s="1">
        <v>33.0</v>
      </c>
      <c r="B3863" s="1" t="s">
        <v>1691</v>
      </c>
      <c r="C3863" s="1">
        <v>6.0</v>
      </c>
      <c r="D3863" s="1" t="s">
        <v>6</v>
      </c>
      <c r="E3863" s="1"/>
    </row>
    <row r="3864" ht="14.25" customHeight="1">
      <c r="A3864" s="1">
        <v>66.0</v>
      </c>
      <c r="B3864" s="1" t="s">
        <v>1691</v>
      </c>
      <c r="C3864" s="1">
        <v>8.0</v>
      </c>
      <c r="D3864" s="2" t="s">
        <v>1708</v>
      </c>
      <c r="E3864" s="1" t="str">
        <f>IFERROR(__xludf.DUMMYFUNCTION("GOOGLETRANSLATE(D3864,""PT"",""EN"")"),"Basic services are missing today to take a 9 or 10, such as credit card compatible with the Virtual Wallet of Apple or Android Cell Phones. Managers are becoming increasingly similar to normal bank managers. They forget the basic principles of cooperativi"&amp;"sm at the opening of the account already.")</f>
        <v>Basic services are missing today to take a 9 or 10, such as credit card compatible with the Virtual Wallet of Apple or Android Cell Phones. Managers are becoming increasingly similar to normal bank managers. They forget the basic principles of cooperativism at the opening of the account already.</v>
      </c>
    </row>
    <row r="3865" ht="14.25" customHeight="1">
      <c r="A3865" s="1">
        <v>100.0</v>
      </c>
      <c r="B3865" s="1" t="s">
        <v>1691</v>
      </c>
      <c r="C3865" s="1">
        <v>10.0</v>
      </c>
      <c r="D3865" s="1" t="s">
        <v>1709</v>
      </c>
      <c r="E3865" s="1" t="str">
        <f>IFERROR(__xludf.DUMMYFUNCTION("GOOGLETRANSLATE(D3865,""PT"",""EN"")"),"Service is different.")</f>
        <v>Service is different.</v>
      </c>
    </row>
    <row r="3866" ht="14.25" customHeight="1">
      <c r="A3866" s="1">
        <v>100.0</v>
      </c>
      <c r="B3866" s="1" t="s">
        <v>1691</v>
      </c>
      <c r="C3866" s="1">
        <v>10.0</v>
      </c>
      <c r="D3866" s="1" t="s">
        <v>6</v>
      </c>
      <c r="E3866" s="1"/>
    </row>
    <row r="3867" ht="14.25" customHeight="1">
      <c r="A3867" s="1">
        <v>100.0</v>
      </c>
      <c r="B3867" s="1" t="s">
        <v>1691</v>
      </c>
      <c r="C3867" s="1">
        <v>10.0</v>
      </c>
      <c r="D3867" s="1" t="s">
        <v>1710</v>
      </c>
      <c r="E3867" s="1" t="str">
        <f>IFERROR(__xludf.DUMMYFUNCTION("GOOGLETRANSLATE(D3867,""PT"",""EN"")"),"Special service!!!!")</f>
        <v>Special service!!!!</v>
      </c>
    </row>
    <row r="3868" ht="14.25" customHeight="1">
      <c r="A3868" s="1">
        <v>33.0</v>
      </c>
      <c r="B3868" s="1" t="s">
        <v>1691</v>
      </c>
      <c r="C3868" s="1">
        <v>0.0</v>
      </c>
      <c r="D3868" s="2" t="s">
        <v>1711</v>
      </c>
      <c r="E3868" s="1" t="str">
        <f>IFERROR(__xludf.DUMMYFUNCTION("GOOGLETRANSLATE(D3868,""PT"",""EN"")"),"I was stolen by the bank is nobody solves")</f>
        <v>I was stolen by the bank is nobody solves</v>
      </c>
    </row>
    <row r="3869" ht="14.25" customHeight="1">
      <c r="A3869" s="1">
        <v>33.0</v>
      </c>
      <c r="B3869" s="1" t="s">
        <v>1691</v>
      </c>
      <c r="C3869" s="1">
        <v>0.0</v>
      </c>
      <c r="D3869" s="1" t="s">
        <v>1712</v>
      </c>
      <c r="E3869" s="1" t="str">
        <f>IFERROR(__xludf.DUMMYFUNCTION("GOOGLETRANSLATE(D3869,""PT"",""EN"")"),"The Worst Bank in the World")</f>
        <v>The Worst Bank in the World</v>
      </c>
    </row>
    <row r="3870" ht="14.25" customHeight="1">
      <c r="A3870" s="1">
        <v>66.0</v>
      </c>
      <c r="B3870" s="1" t="s">
        <v>1691</v>
      </c>
      <c r="C3870" s="1">
        <v>7.0</v>
      </c>
      <c r="D3870" s="1" t="s">
        <v>6</v>
      </c>
      <c r="E3870" s="1"/>
    </row>
    <row r="3871" ht="14.25" customHeight="1">
      <c r="A3871" s="1">
        <v>33.0</v>
      </c>
      <c r="B3871" s="1" t="s">
        <v>1691</v>
      </c>
      <c r="C3871" s="1">
        <v>5.0</v>
      </c>
      <c r="D3871" s="2" t="s">
        <v>1713</v>
      </c>
      <c r="E3871" s="1" t="str">
        <f>IFERROR(__xludf.DUMMYFUNCTION("GOOGLETRANSLATE(D3871,""PT"",""EN"")"),"I made a loan, it is anticipated some installments. After the end of the advance came an absurd amount for me to pay, and paid. I found little case of the cooperative to his cooperative")</f>
        <v>I made a loan, it is anticipated some installments. After the end of the advance came an absurd amount for me to pay, and paid. I found little case of the cooperative to his cooperative</v>
      </c>
    </row>
    <row r="3872" ht="14.25" customHeight="1">
      <c r="A3872" s="1">
        <v>100.0</v>
      </c>
      <c r="B3872" s="1" t="s">
        <v>1691</v>
      </c>
      <c r="C3872" s="1">
        <v>10.0</v>
      </c>
      <c r="D3872" s="1" t="s">
        <v>6</v>
      </c>
      <c r="E3872" s="1"/>
    </row>
    <row r="3873" ht="14.25" customHeight="1">
      <c r="A3873" s="1">
        <v>33.0</v>
      </c>
      <c r="B3873" s="1" t="s">
        <v>1691</v>
      </c>
      <c r="C3873" s="1">
        <v>2.0</v>
      </c>
      <c r="D3873" s="2" t="s">
        <v>1714</v>
      </c>
      <c r="E3873" s="1" t="str">
        <f>IFERROR(__xludf.DUMMYFUNCTION("GOOGLETRANSLATE(D3873,""PT"",""EN"")"),"Extremely dissatisfied I'm in the United States I try to get into my account because I need to receive and send money is I can not at all I have tried by the application in many ways with code with everything is not right does not work if you please have "&amp;"a solution For me my WhatsApp here in the United States is 774 778-4319")</f>
        <v>Extremely dissatisfied I'm in the United States I try to get into my account because I need to receive and send money is I can not at all I have tried by the application in many ways with code with everything is not right does not work if you please have a solution For me my WhatsApp here in the United States is 774 778-4319</v>
      </c>
    </row>
    <row r="3874" ht="14.25" customHeight="1">
      <c r="A3874" s="1">
        <v>100.0</v>
      </c>
      <c r="B3874" s="1" t="s">
        <v>1691</v>
      </c>
      <c r="C3874" s="1">
        <v>10.0</v>
      </c>
      <c r="D3874" s="1" t="s">
        <v>1715</v>
      </c>
      <c r="E3874" s="1" t="str">
        <f>IFERROR(__xludf.DUMMYFUNCTION("GOOGLETRANSLATE(D3874,""PT"",""EN"")"),"A wonderful bank")</f>
        <v>A wonderful bank</v>
      </c>
    </row>
    <row r="3875" ht="14.25" customHeight="1">
      <c r="A3875" s="1">
        <v>33.0</v>
      </c>
      <c r="B3875" s="1" t="s">
        <v>1691</v>
      </c>
      <c r="C3875" s="1">
        <v>5.0</v>
      </c>
      <c r="D3875" s="2" t="s">
        <v>1716</v>
      </c>
      <c r="E3875" s="1" t="str">
        <f>IFERROR(__xludf.DUMMYFUNCTION("GOOGLETRANSLATE(D3875,""PT"",""EN"")"),"Service would have to be more personalized, exchange management a lot")</f>
        <v>Service would have to be more personalized, exchange management a lot</v>
      </c>
    </row>
    <row r="3876" ht="14.25" customHeight="1">
      <c r="A3876" s="1">
        <v>33.0</v>
      </c>
      <c r="B3876" s="1" t="s">
        <v>1691</v>
      </c>
      <c r="C3876" s="1">
        <v>5.0</v>
      </c>
      <c r="D3876" s="2" t="s">
        <v>1717</v>
      </c>
      <c r="E3876" s="1" t="str">
        <f>IFERROR(__xludf.DUMMYFUNCTION("GOOGLETRANSLATE(D3876,""PT"",""EN"")"),"I needed a very little credit denied me, even though I already had others is always paid on days.")</f>
        <v>I needed a very little credit denied me, even though I already had others is always paid on days.</v>
      </c>
    </row>
    <row r="3877" ht="14.25" customHeight="1">
      <c r="A3877" s="1">
        <v>100.0</v>
      </c>
      <c r="B3877" s="1" t="s">
        <v>1691</v>
      </c>
      <c r="C3877" s="1">
        <v>10.0</v>
      </c>
      <c r="D3877" s="1" t="s">
        <v>6</v>
      </c>
      <c r="E3877" s="1"/>
    </row>
    <row r="3878" ht="14.25" customHeight="1">
      <c r="A3878" s="1">
        <v>100.0</v>
      </c>
      <c r="B3878" s="1" t="s">
        <v>1691</v>
      </c>
      <c r="C3878" s="1">
        <v>10.0</v>
      </c>
      <c r="D3878" s="1" t="s">
        <v>6</v>
      </c>
      <c r="E3878" s="1"/>
    </row>
    <row r="3879" ht="14.25" customHeight="1">
      <c r="A3879" s="1">
        <v>33.0</v>
      </c>
      <c r="B3879" s="1" t="s">
        <v>1691</v>
      </c>
      <c r="C3879" s="1">
        <v>0.0</v>
      </c>
      <c r="D3879" s="2" t="s">
        <v>1718</v>
      </c>
      <c r="E3879" s="1" t="str">
        <f>IFERROR(__xludf.DUMMYFUNCTION("GOOGLETRANSLATE(D3879,""PT"",""EN"")"),"Your business system is primitive, only works at business hours is not working on weekends, any serious businessman, works beyond business hours is often during the weekend.")</f>
        <v>Your business system is primitive, only works at business hours is not working on weekends, any serious businessman, works beyond business hours is often during the weekend.</v>
      </c>
    </row>
    <row r="3880" ht="14.25" customHeight="1">
      <c r="A3880" s="1">
        <v>100.0</v>
      </c>
      <c r="B3880" s="1" t="s">
        <v>1691</v>
      </c>
      <c r="C3880" s="1">
        <v>10.0</v>
      </c>
      <c r="D3880" s="1" t="s">
        <v>6</v>
      </c>
      <c r="E3880" s="1"/>
    </row>
    <row r="3881" ht="14.25" customHeight="1">
      <c r="A3881" s="1">
        <v>33.0</v>
      </c>
      <c r="B3881" s="1" t="s">
        <v>1691</v>
      </c>
      <c r="C3881" s="1">
        <v>2.0</v>
      </c>
      <c r="D3881" s="2" t="s">
        <v>1719</v>
      </c>
      <c r="E3881" s="1" t="str">
        <f>IFERROR(__xludf.DUMMYFUNCTION("GOOGLETRANSLATE(D3881,""PT"",""EN"")"),"He had a capital in Sicoob, already had a history of several loans paid in June last year had a debtor balance on the high card. They didn't offer me a recomposition, alternatives, nothing. I sold my car, I kept everything now is just drinking with tradit"&amp;"ional banks.")</f>
        <v>He had a capital in Sicoob, already had a history of several loans paid in June last year had a debtor balance on the high card. They didn't offer me a recomposition, alternatives, nothing. I sold my car, I kept everything now is just drinking with traditional banks.</v>
      </c>
    </row>
    <row r="3882" ht="14.25" customHeight="1">
      <c r="A3882" s="1">
        <v>100.0</v>
      </c>
      <c r="B3882" s="1" t="s">
        <v>1691</v>
      </c>
      <c r="C3882" s="1">
        <v>10.0</v>
      </c>
      <c r="D3882" s="1" t="s">
        <v>6</v>
      </c>
      <c r="E3882" s="1"/>
    </row>
    <row r="3883" ht="14.25" customHeight="1">
      <c r="A3883" s="1">
        <v>100.0</v>
      </c>
      <c r="B3883" s="1" t="s">
        <v>1691</v>
      </c>
      <c r="C3883" s="1">
        <v>10.0</v>
      </c>
      <c r="D3883" s="1" t="s">
        <v>1720</v>
      </c>
      <c r="E3883" s="1" t="str">
        <f>IFERROR(__xludf.DUMMYFUNCTION("GOOGLETRANSLATE(D3883,""PT"",""EN"")"),"Great service  .")</f>
        <v>Great service  .</v>
      </c>
    </row>
    <row r="3884" ht="14.25" customHeight="1">
      <c r="A3884" s="1">
        <v>100.0</v>
      </c>
      <c r="B3884" s="1" t="s">
        <v>1691</v>
      </c>
      <c r="C3884" s="1">
        <v>10.0</v>
      </c>
      <c r="D3884" s="2" t="s">
        <v>1721</v>
      </c>
      <c r="E3884" s="1" t="str">
        <f>IFERROR(__xludf.DUMMYFUNCTION("GOOGLETRANSLATE(D3884,""PT"",""EN"")"),"I like the bank for the service is what it offers. The fact that it is a cooperative makes me part of the institution")</f>
        <v>I like the bank for the service is what it offers. The fact that it is a cooperative makes me part of the institution</v>
      </c>
    </row>
    <row r="3885" ht="14.25" customHeight="1">
      <c r="A3885" s="1">
        <v>100.0</v>
      </c>
      <c r="B3885" s="1" t="s">
        <v>1691</v>
      </c>
      <c r="C3885" s="1">
        <v>9.0</v>
      </c>
      <c r="D3885" s="1" t="s">
        <v>412</v>
      </c>
      <c r="E3885" s="1" t="str">
        <f>IFERROR(__xludf.DUMMYFUNCTION("GOOGLETRANSLATE(D3885,""PT"",""EN"")"),"Efficiency")</f>
        <v>Efficiency</v>
      </c>
    </row>
    <row r="3886" ht="14.25" customHeight="1">
      <c r="A3886" s="1">
        <v>100.0</v>
      </c>
      <c r="B3886" s="1" t="s">
        <v>1691</v>
      </c>
      <c r="C3886" s="1">
        <v>10.0</v>
      </c>
      <c r="D3886" s="2" t="s">
        <v>1722</v>
      </c>
      <c r="E3886" s="1" t="str">
        <f>IFERROR(__xludf.DUMMYFUNCTION("GOOGLETRANSLATE(D3886,""PT"",""EN"")"),"attention")</f>
        <v>attention</v>
      </c>
    </row>
    <row r="3887" ht="14.25" customHeight="1">
      <c r="A3887" s="1">
        <v>33.0</v>
      </c>
      <c r="B3887" s="1" t="s">
        <v>1691</v>
      </c>
      <c r="C3887" s="1">
        <v>5.0</v>
      </c>
      <c r="D3887" s="1" t="s">
        <v>1723</v>
      </c>
      <c r="E3887" s="1" t="str">
        <f>IFERROR(__xludf.DUMMYFUNCTION("GOOGLETRANSLATE(D3887,""PT"",""EN"")"),"Lack partnership with small entrepreneur")</f>
        <v>Lack partnership with small entrepreneur</v>
      </c>
    </row>
    <row r="3888" ht="14.25" customHeight="1">
      <c r="A3888" s="1">
        <v>100.0</v>
      </c>
      <c r="B3888" s="1" t="s">
        <v>1691</v>
      </c>
      <c r="C3888" s="1">
        <v>10.0</v>
      </c>
      <c r="D3888" s="2" t="s">
        <v>1724</v>
      </c>
      <c r="E3888" s="1" t="str">
        <f>IFERROR(__xludf.DUMMYFUNCTION("GOOGLETRANSLATE(D3888,""PT"",""EN"")"),"Practical and efficient.")</f>
        <v>Practical and efficient.</v>
      </c>
    </row>
    <row r="3889" ht="14.25" customHeight="1">
      <c r="A3889" s="1">
        <v>66.0</v>
      </c>
      <c r="B3889" s="1" t="s">
        <v>1691</v>
      </c>
      <c r="C3889" s="1">
        <v>8.0</v>
      </c>
      <c r="D3889" s="1" t="s">
        <v>1725</v>
      </c>
      <c r="E3889" s="1" t="str">
        <f>IFERROR(__xludf.DUMMYFUNCTION("GOOGLETRANSLATE(D3889,""PT"",""EN"")"),"Yes, for practicality")</f>
        <v>Yes, for practicality</v>
      </c>
    </row>
    <row r="3890" ht="14.25" customHeight="1">
      <c r="A3890" s="1">
        <v>100.0</v>
      </c>
      <c r="B3890" s="1" t="s">
        <v>1691</v>
      </c>
      <c r="C3890" s="1">
        <v>9.0</v>
      </c>
      <c r="D3890" s="1" t="s">
        <v>6</v>
      </c>
      <c r="E3890" s="1"/>
    </row>
    <row r="3891" ht="14.25" customHeight="1">
      <c r="A3891" s="1">
        <v>33.0</v>
      </c>
      <c r="B3891" s="1" t="s">
        <v>1691</v>
      </c>
      <c r="C3891" s="1">
        <v>1.0</v>
      </c>
      <c r="D3891" s="2" t="s">
        <v>1726</v>
      </c>
      <c r="E3891" s="1" t="str">
        <f>IFERROR(__xludf.DUMMYFUNCTION("GOOGLETRANSLATE(D3891,""PT"",""EN"")"),"I do not recommend because when we need we have no backing.")</f>
        <v>I do not recommend because when we need we have no backing.</v>
      </c>
    </row>
    <row r="3892" ht="14.25" customHeight="1">
      <c r="A3892" s="1">
        <v>100.0</v>
      </c>
      <c r="B3892" s="1" t="s">
        <v>1691</v>
      </c>
      <c r="C3892" s="1">
        <v>9.0</v>
      </c>
      <c r="D3892" s="2" t="s">
        <v>1727</v>
      </c>
      <c r="E3892" s="1" t="str">
        <f>IFERROR(__xludf.DUMMYFUNCTION("GOOGLETRANSLATE(D3892,""PT"",""EN"")"),"Service team is great, the app is agile and modern.")</f>
        <v>Service team is great, the app is agile and modern.</v>
      </c>
    </row>
    <row r="3893" ht="14.25" customHeight="1">
      <c r="A3893" s="1">
        <v>100.0</v>
      </c>
      <c r="B3893" s="1" t="s">
        <v>1691</v>
      </c>
      <c r="C3893" s="1">
        <v>10.0</v>
      </c>
      <c r="D3893" s="1" t="s">
        <v>1728</v>
      </c>
      <c r="E3893" s="1" t="str">
        <f>IFERROR(__xludf.DUMMYFUNCTION("GOOGLETRANSLATE(D3893,""PT"",""EN"")"),"Because it has always supplied my needs.")</f>
        <v>Because it has always supplied my needs.</v>
      </c>
    </row>
    <row r="3894" ht="14.25" customHeight="1">
      <c r="A3894" s="1">
        <v>33.0</v>
      </c>
      <c r="B3894" s="1" t="s">
        <v>1691</v>
      </c>
      <c r="C3894" s="1">
        <v>1.0</v>
      </c>
      <c r="D3894" s="2" t="s">
        <v>1729</v>
      </c>
      <c r="E3894" s="1" t="str">
        <f>IFERROR(__xludf.DUMMYFUNCTION("GOOGLETRANSLATE(D3894,""PT"",""EN"")"),"I am disappointed with the system, since I am one of the founders, including counselor is when I was a rack victim, physical and legal accounts, did not pay me the least attention.")</f>
        <v>I am disappointed with the system, since I am one of the founders, including counselor is when I was a rack victim, physical and legal accounts, did not pay me the least attention.</v>
      </c>
    </row>
    <row r="3895" ht="14.25" customHeight="1">
      <c r="A3895" s="1">
        <v>100.0</v>
      </c>
      <c r="B3895" s="1" t="s">
        <v>1691</v>
      </c>
      <c r="C3895" s="1">
        <v>10.0</v>
      </c>
      <c r="D3895" s="1" t="s">
        <v>6</v>
      </c>
      <c r="E3895" s="1"/>
    </row>
    <row r="3896" ht="14.25" customHeight="1">
      <c r="A3896" s="1">
        <v>33.0</v>
      </c>
      <c r="B3896" s="1" t="s">
        <v>1691</v>
      </c>
      <c r="C3896" s="1">
        <v>0.0</v>
      </c>
      <c r="D3896" s="1" t="s">
        <v>6</v>
      </c>
      <c r="E3896" s="1"/>
    </row>
    <row r="3897" ht="14.25" customHeight="1">
      <c r="A3897" s="1">
        <v>33.0</v>
      </c>
      <c r="B3897" s="1" t="s">
        <v>1691</v>
      </c>
      <c r="C3897" s="1">
        <v>0.0</v>
      </c>
      <c r="D3897" s="2" t="s">
        <v>1730</v>
      </c>
      <c r="E3897" s="1" t="str">
        <f>IFERROR(__xludf.DUMMYFUNCTION("GOOGLETRANSLATE(D3897,""PT"",""EN"")"),"If it is not from the manager's clique does not take credit.")</f>
        <v>If it is not from the manager's clique does not take credit.</v>
      </c>
    </row>
    <row r="3898" ht="14.25" customHeight="1">
      <c r="A3898" s="1">
        <v>100.0</v>
      </c>
      <c r="B3898" s="1" t="s">
        <v>1691</v>
      </c>
      <c r="C3898" s="1">
        <v>10.0</v>
      </c>
      <c r="D3898" s="1" t="s">
        <v>62</v>
      </c>
      <c r="E3898" s="1" t="str">
        <f>IFERROR(__xludf.DUMMYFUNCTION("GOOGLETRANSLATE(D3898,""PT"",""EN"")"),"Good service")</f>
        <v>Good service</v>
      </c>
    </row>
    <row r="3899" ht="14.25" customHeight="1">
      <c r="A3899" s="1">
        <v>33.0</v>
      </c>
      <c r="B3899" s="1" t="s">
        <v>1691</v>
      </c>
      <c r="C3899" s="1">
        <v>0.0</v>
      </c>
      <c r="D3899" s="2" t="s">
        <v>1731</v>
      </c>
      <c r="E3899" s="1" t="str">
        <f>IFERROR(__xludf.DUMMYFUNCTION("GOOGLETRANSLATE(D3899,""PT"",""EN"")"),"Bad app, credit card promises not to charge annuity but performs something else, charging.")</f>
        <v>Bad app, credit card promises not to charge annuity but performs something else, charging.</v>
      </c>
    </row>
    <row r="3900" ht="14.25" customHeight="1">
      <c r="A3900" s="1">
        <v>100.0</v>
      </c>
      <c r="B3900" s="1" t="s">
        <v>1691</v>
      </c>
      <c r="C3900" s="1">
        <v>10.0</v>
      </c>
      <c r="D3900" s="1" t="s">
        <v>1732</v>
      </c>
      <c r="E3900" s="1" t="str">
        <f>IFERROR(__xludf.DUMMYFUNCTION("GOOGLETRANSLATE(D3900,""PT"",""EN"")"),"Efficient bank")</f>
        <v>Efficient bank</v>
      </c>
    </row>
    <row r="3901" ht="14.25" customHeight="1">
      <c r="A3901" s="1">
        <v>33.0</v>
      </c>
      <c r="B3901" s="1" t="s">
        <v>1691</v>
      </c>
      <c r="C3901" s="1">
        <v>0.0</v>
      </c>
      <c r="D3901" s="1" t="s">
        <v>6</v>
      </c>
      <c r="E3901" s="1"/>
    </row>
    <row r="3902" ht="14.25" customHeight="1">
      <c r="A3902" s="1">
        <v>100.0</v>
      </c>
      <c r="B3902" s="1" t="s">
        <v>1691</v>
      </c>
      <c r="C3902" s="1">
        <v>10.0</v>
      </c>
      <c r="D3902" s="1" t="s">
        <v>1733</v>
      </c>
      <c r="E3902" s="1" t="str">
        <f>IFERROR(__xludf.DUMMYFUNCTION("GOOGLETRANSLATE(D3902,""PT"",""EN"")"),"Very good!!!")</f>
        <v>Very good!!!</v>
      </c>
    </row>
    <row r="3903" ht="14.25" customHeight="1">
      <c r="A3903" s="1">
        <v>100.0</v>
      </c>
      <c r="B3903" s="1" t="s">
        <v>1691</v>
      </c>
      <c r="C3903" s="1">
        <v>9.0</v>
      </c>
      <c r="D3903" s="1" t="s">
        <v>6</v>
      </c>
      <c r="E3903" s="1"/>
    </row>
    <row r="3904" ht="14.25" customHeight="1">
      <c r="A3904" s="1">
        <v>100.0</v>
      </c>
      <c r="B3904" s="1" t="s">
        <v>1691</v>
      </c>
      <c r="C3904" s="1">
        <v>9.0</v>
      </c>
      <c r="D3904" s="2" t="s">
        <v>1734</v>
      </c>
      <c r="E3904" s="1" t="str">
        <f>IFERROR(__xludf.DUMMYFUNCTION("GOOGLETRANSLATE(D3904,""PT"",""EN"")"),"The bank is good to work but is weak for credit.")</f>
        <v>The bank is good to work but is weak for credit.</v>
      </c>
    </row>
    <row r="3905" ht="14.25" customHeight="1">
      <c r="A3905" s="1">
        <v>100.0</v>
      </c>
      <c r="B3905" s="1" t="s">
        <v>1691</v>
      </c>
      <c r="C3905" s="1">
        <v>10.0</v>
      </c>
      <c r="D3905" s="1" t="s">
        <v>1735</v>
      </c>
      <c r="E3905" s="1" t="str">
        <f>IFERROR(__xludf.DUMMYFUNCTION("GOOGLETRANSLATE(D3905,""PT"",""EN"")"),"Good service provided.")</f>
        <v>Good service provided.</v>
      </c>
    </row>
    <row r="3906" ht="14.25" customHeight="1">
      <c r="A3906" s="1">
        <v>33.0</v>
      </c>
      <c r="B3906" s="1" t="s">
        <v>1691</v>
      </c>
      <c r="C3906" s="1">
        <v>0.0</v>
      </c>
      <c r="D3906" s="1" t="s">
        <v>6</v>
      </c>
      <c r="E3906" s="1"/>
    </row>
    <row r="3907" ht="14.25" customHeight="1">
      <c r="A3907" s="1">
        <v>100.0</v>
      </c>
      <c r="B3907" s="1" t="s">
        <v>1691</v>
      </c>
      <c r="C3907" s="1">
        <v>10.0</v>
      </c>
      <c r="D3907" s="1" t="s">
        <v>6</v>
      </c>
      <c r="E3907" s="1"/>
    </row>
    <row r="3908" ht="14.25" customHeight="1">
      <c r="A3908" s="1">
        <v>100.0</v>
      </c>
      <c r="B3908" s="1" t="s">
        <v>1691</v>
      </c>
      <c r="C3908" s="1">
        <v>10.0</v>
      </c>
      <c r="D3908" s="1" t="s">
        <v>6</v>
      </c>
      <c r="E3908" s="1"/>
    </row>
    <row r="3909" ht="14.25" customHeight="1">
      <c r="A3909" s="1">
        <v>100.0</v>
      </c>
      <c r="B3909" s="1" t="s">
        <v>1691</v>
      </c>
      <c r="C3909" s="1">
        <v>10.0</v>
      </c>
      <c r="D3909" s="1" t="s">
        <v>6</v>
      </c>
      <c r="E3909" s="1"/>
    </row>
    <row r="3910" ht="14.25" customHeight="1">
      <c r="A3910" s="1">
        <v>100.0</v>
      </c>
      <c r="B3910" s="1" t="s">
        <v>1691</v>
      </c>
      <c r="C3910" s="1">
        <v>10.0</v>
      </c>
      <c r="D3910" s="1" t="s">
        <v>1736</v>
      </c>
      <c r="E3910" s="1" t="str">
        <f>IFERROR(__xludf.DUMMYFUNCTION("GOOGLETRANSLATE(D3910,""PT"",""EN"")"),"It's a great bank")</f>
        <v>It's a great bank</v>
      </c>
    </row>
    <row r="3911" ht="14.25" customHeight="1">
      <c r="A3911" s="1">
        <v>33.0</v>
      </c>
      <c r="B3911" s="1" t="s">
        <v>1691</v>
      </c>
      <c r="C3911" s="1">
        <v>1.0</v>
      </c>
      <c r="D3911" s="2" t="s">
        <v>1737</v>
      </c>
      <c r="E3911" s="1" t="str">
        <f>IFERROR(__xludf.DUMMYFUNCTION("GOOGLETRANSLATE(D3911,""PT"",""EN"")"),"LITTLE CREDIT MUCH INTEREST IS PERSIMITE ATTENDANCE")</f>
        <v>LITTLE CREDIT MUCH INTEREST IS PERSIMITE ATTENDANCE</v>
      </c>
    </row>
    <row r="3912" ht="14.25" customHeight="1">
      <c r="A3912" s="1">
        <v>100.0</v>
      </c>
      <c r="B3912" s="1" t="s">
        <v>1691</v>
      </c>
      <c r="C3912" s="1">
        <v>10.0</v>
      </c>
      <c r="D3912" s="2" t="s">
        <v>1738</v>
      </c>
      <c r="E3912" s="1" t="str">
        <f>IFERROR(__xludf.DUMMYFUNCTION("GOOGLETRANSLATE(D3912,""PT"",""EN"")"),"NOTE 10. Great service")</f>
        <v>NOTE 10. Great service</v>
      </c>
    </row>
    <row r="3913" ht="14.25" customHeight="1">
      <c r="A3913" s="1">
        <v>66.0</v>
      </c>
      <c r="B3913" s="1" t="s">
        <v>1691</v>
      </c>
      <c r="C3913" s="1">
        <v>8.0</v>
      </c>
      <c r="D3913" s="1" t="s">
        <v>62</v>
      </c>
      <c r="E3913" s="1" t="str">
        <f>IFERROR(__xludf.DUMMYFUNCTION("GOOGLETRANSLATE(D3913,""PT"",""EN"")"),"Good service")</f>
        <v>Good service</v>
      </c>
    </row>
    <row r="3914" ht="14.25" customHeight="1">
      <c r="A3914" s="1">
        <v>33.0</v>
      </c>
      <c r="B3914" s="1" t="s">
        <v>1691</v>
      </c>
      <c r="C3914" s="1">
        <v>0.0</v>
      </c>
      <c r="D3914" s="1" t="s">
        <v>6</v>
      </c>
      <c r="E3914" s="1"/>
    </row>
    <row r="3915" ht="14.25" customHeight="1">
      <c r="A3915" s="1">
        <v>33.0</v>
      </c>
      <c r="B3915" s="1" t="s">
        <v>1691</v>
      </c>
      <c r="C3915" s="1">
        <v>2.0</v>
      </c>
      <c r="D3915" s="1" t="s">
        <v>6</v>
      </c>
      <c r="E3915" s="1"/>
    </row>
    <row r="3916" ht="14.25" customHeight="1">
      <c r="A3916" s="1">
        <v>100.0</v>
      </c>
      <c r="B3916" s="1" t="s">
        <v>1691</v>
      </c>
      <c r="C3916" s="1">
        <v>10.0</v>
      </c>
      <c r="D3916" s="1" t="s">
        <v>6</v>
      </c>
      <c r="E3916" s="1"/>
    </row>
    <row r="3917" ht="14.25" customHeight="1">
      <c r="A3917" s="1">
        <v>33.0</v>
      </c>
      <c r="B3917" s="1" t="s">
        <v>1691</v>
      </c>
      <c r="C3917" s="1">
        <v>1.0</v>
      </c>
      <c r="D3917" s="1" t="s">
        <v>1739</v>
      </c>
      <c r="E3917" s="1" t="str">
        <f>IFERROR(__xludf.DUMMYFUNCTION("GOOGLETRANSLATE(D3917,""PT"",""EN"")"),"very weak.")</f>
        <v>very weak.</v>
      </c>
    </row>
    <row r="3918" ht="14.25" customHeight="1">
      <c r="A3918" s="1">
        <v>100.0</v>
      </c>
      <c r="B3918" s="1" t="s">
        <v>1691</v>
      </c>
      <c r="C3918" s="1">
        <v>10.0</v>
      </c>
      <c r="D3918" s="1" t="s">
        <v>6</v>
      </c>
      <c r="E3918" s="1"/>
    </row>
    <row r="3919" ht="14.25" customHeight="1">
      <c r="A3919" s="1">
        <v>33.0</v>
      </c>
      <c r="B3919" s="1" t="s">
        <v>1691</v>
      </c>
      <c r="C3919" s="1">
        <v>3.0</v>
      </c>
      <c r="D3919" s="2" t="s">
        <v>1740</v>
      </c>
      <c r="E3919" s="1" t="str">
        <f>IFERROR(__xludf.DUMMYFUNCTION("GOOGLETRANSLATE(D3919,""PT"",""EN"")"),"I don't see much advantage, I thought it would have benefits that I don't have.")</f>
        <v>I don't see much advantage, I thought it would have benefits that I don't have.</v>
      </c>
    </row>
    <row r="3920" ht="14.25" customHeight="1">
      <c r="A3920" s="1">
        <v>33.0</v>
      </c>
      <c r="B3920" s="1" t="s">
        <v>1691</v>
      </c>
      <c r="C3920" s="1">
        <v>6.0</v>
      </c>
      <c r="D3920" s="1" t="s">
        <v>1741</v>
      </c>
      <c r="E3920" s="1" t="str">
        <f>IFERROR(__xludf.DUMMYFUNCTION("GOOGLETRANSLATE(D3920,""PT"",""EN"")"),"Very democratic, in the financial part")</f>
        <v>Very democratic, in the financial part</v>
      </c>
    </row>
    <row r="3921" ht="14.25" customHeight="1">
      <c r="A3921" s="1">
        <v>33.0</v>
      </c>
      <c r="B3921" s="1" t="s">
        <v>1691</v>
      </c>
      <c r="C3921" s="1">
        <v>1.0</v>
      </c>
      <c r="D3921" s="2" t="s">
        <v>1742</v>
      </c>
      <c r="E3921" s="1" t="str">
        <f>IFERROR(__xludf.DUMMYFUNCTION("GOOGLETRANSLATE(D3921,""PT"",""EN"")"),"I have no credit limits, I have no credit card limits, my debit card has come to my residence.")</f>
        <v>I have no credit limits, I have no credit card limits, my debit card has come to my residence.</v>
      </c>
    </row>
    <row r="3922" ht="14.25" customHeight="1">
      <c r="A3922" s="1">
        <v>100.0</v>
      </c>
      <c r="B3922" s="1" t="s">
        <v>1691</v>
      </c>
      <c r="C3922" s="1">
        <v>9.0</v>
      </c>
      <c r="D3922" s="1" t="s">
        <v>1743</v>
      </c>
      <c r="E3922" s="1" t="str">
        <f>IFERROR(__xludf.DUMMYFUNCTION("GOOGLETRANSLATE(D3922,""PT"",""EN"")"),"The Beatriz who should be a manager.")</f>
        <v>The Beatriz who should be a manager.</v>
      </c>
    </row>
    <row r="3923" ht="14.25" customHeight="1">
      <c r="A3923" s="1">
        <v>66.0</v>
      </c>
      <c r="B3923" s="1" t="s">
        <v>1691</v>
      </c>
      <c r="C3923" s="1">
        <v>7.0</v>
      </c>
      <c r="D3923" s="1" t="s">
        <v>6</v>
      </c>
      <c r="E3923" s="1"/>
    </row>
    <row r="3924" ht="14.25" customHeight="1">
      <c r="A3924" s="1">
        <v>100.0</v>
      </c>
      <c r="B3924" s="1" t="s">
        <v>1691</v>
      </c>
      <c r="C3924" s="1">
        <v>10.0</v>
      </c>
      <c r="D3924" s="1" t="s">
        <v>1744</v>
      </c>
      <c r="E3924" s="1" t="str">
        <f>IFERROR(__xludf.DUMMYFUNCTION("GOOGLETRANSLATE(D3924,""PT"",""EN"")"),"I have found it difficult to use the bank's application. I find it very complex.")</f>
        <v>I have found it difficult to use the bank's application. I find it very complex.</v>
      </c>
    </row>
    <row r="3925" ht="14.25" customHeight="1">
      <c r="A3925" s="1">
        <v>100.0</v>
      </c>
      <c r="B3925" s="1" t="s">
        <v>1691</v>
      </c>
      <c r="C3925" s="1">
        <v>10.0</v>
      </c>
      <c r="D3925" s="1" t="s">
        <v>6</v>
      </c>
      <c r="E3925" s="1"/>
    </row>
    <row r="3926" ht="14.25" customHeight="1">
      <c r="A3926" s="1">
        <v>100.0</v>
      </c>
      <c r="B3926" s="1" t="s">
        <v>1691</v>
      </c>
      <c r="C3926" s="1">
        <v>10.0</v>
      </c>
      <c r="D3926" s="1" t="s">
        <v>6</v>
      </c>
      <c r="E3926" s="1"/>
    </row>
    <row r="3927" ht="14.25" customHeight="1">
      <c r="A3927" s="1">
        <v>33.0</v>
      </c>
      <c r="B3927" s="1" t="s">
        <v>1691</v>
      </c>
      <c r="C3927" s="1">
        <v>0.0</v>
      </c>
      <c r="D3927" s="1" t="s">
        <v>6</v>
      </c>
      <c r="E3927" s="1"/>
    </row>
    <row r="3928" ht="14.25" customHeight="1">
      <c r="A3928" s="1">
        <v>33.0</v>
      </c>
      <c r="B3928" s="1" t="s">
        <v>1691</v>
      </c>
      <c r="C3928" s="1">
        <v>0.0</v>
      </c>
      <c r="D3928" s="1" t="s">
        <v>6</v>
      </c>
      <c r="E3928" s="1"/>
    </row>
    <row r="3929" ht="14.25" customHeight="1">
      <c r="A3929" s="1">
        <v>100.0</v>
      </c>
      <c r="B3929" s="1" t="s">
        <v>1691</v>
      </c>
      <c r="C3929" s="1">
        <v>10.0</v>
      </c>
      <c r="D3929" s="1" t="s">
        <v>97</v>
      </c>
      <c r="E3929" s="1" t="str">
        <f>IFERROR(__xludf.DUMMYFUNCTION("GOOGLETRANSLATE(D3929,""PT"",""EN"")"),"Excellent")</f>
        <v>Excellent</v>
      </c>
    </row>
    <row r="3930" ht="14.25" customHeight="1">
      <c r="A3930" s="1">
        <v>100.0</v>
      </c>
      <c r="B3930" s="1" t="s">
        <v>1691</v>
      </c>
      <c r="C3930" s="1">
        <v>10.0</v>
      </c>
      <c r="D3930" s="1" t="s">
        <v>6</v>
      </c>
      <c r="E3930" s="1"/>
    </row>
    <row r="3931" ht="14.25" customHeight="1">
      <c r="A3931" s="1">
        <v>100.0</v>
      </c>
      <c r="B3931" s="1" t="s">
        <v>1691</v>
      </c>
      <c r="C3931" s="1">
        <v>10.0</v>
      </c>
      <c r="D3931" s="1" t="s">
        <v>203</v>
      </c>
      <c r="E3931" s="1" t="str">
        <f>IFERROR(__xludf.DUMMYFUNCTION("GOOGLETRANSLATE(D3931,""PT"",""EN"")"),"Very satisfied")</f>
        <v>Very satisfied</v>
      </c>
    </row>
    <row r="3932" ht="14.25" customHeight="1">
      <c r="A3932" s="1">
        <v>33.0</v>
      </c>
      <c r="B3932" s="1" t="s">
        <v>1691</v>
      </c>
      <c r="C3932" s="1">
        <v>4.0</v>
      </c>
      <c r="D3932" s="2" t="s">
        <v>1745</v>
      </c>
      <c r="E3932" s="1" t="str">
        <f>IFERROR(__xludf.DUMMYFUNCTION("GOOGLETRANSLATE(D3932,""PT"",""EN"")"),"Did not meet my needs")</f>
        <v>Did not meet my needs</v>
      </c>
    </row>
    <row r="3933" ht="14.25" customHeight="1">
      <c r="A3933" s="1">
        <v>100.0</v>
      </c>
      <c r="B3933" s="1" t="s">
        <v>1691</v>
      </c>
      <c r="C3933" s="1">
        <v>10.0</v>
      </c>
      <c r="D3933" s="2" t="s">
        <v>1697</v>
      </c>
      <c r="E3933" s="1" t="str">
        <f>IFERROR(__xludf.DUMMYFUNCTION("GOOGLETRANSLATE(D3933,""PT"",""EN"")"),"The service is always high level with great assertiveness of positive solutions that we have whenever we need the cooperative.")</f>
        <v>The service is always high level with great assertiveness of positive solutions that we have whenever we need the cooperative.</v>
      </c>
    </row>
    <row r="3934" ht="14.25" customHeight="1">
      <c r="A3934" s="1">
        <v>100.0</v>
      </c>
      <c r="B3934" s="1" t="s">
        <v>1691</v>
      </c>
      <c r="C3934" s="1">
        <v>10.0</v>
      </c>
      <c r="D3934" s="1" t="s">
        <v>1746</v>
      </c>
      <c r="E3934" s="1" t="str">
        <f>IFERROR(__xludf.DUMMYFUNCTION("GOOGLETRANSLATE(D3934,""PT"",""EN"")"),"For being an excellent financial institution")</f>
        <v>For being an excellent financial institution</v>
      </c>
    </row>
    <row r="3935" ht="14.25" customHeight="1">
      <c r="A3935" s="1">
        <v>33.0</v>
      </c>
      <c r="B3935" s="1" t="s">
        <v>1691</v>
      </c>
      <c r="C3935" s="1">
        <v>2.0</v>
      </c>
      <c r="D3935" s="1" t="s">
        <v>1747</v>
      </c>
      <c r="E3935" s="1" t="str">
        <f>IFERROR(__xludf.DUMMYFUNCTION("GOOGLETRANSLATE(D3935,""PT"",""EN"")"),"Explores the cooperative with abusive rates")</f>
        <v>Explores the cooperative with abusive rates</v>
      </c>
    </row>
    <row r="3936" ht="14.25" customHeight="1">
      <c r="A3936" s="1">
        <v>100.0</v>
      </c>
      <c r="B3936" s="1" t="s">
        <v>1691</v>
      </c>
      <c r="C3936" s="1">
        <v>9.0</v>
      </c>
      <c r="D3936" s="2" t="s">
        <v>1748</v>
      </c>
      <c r="E3936" s="1" t="str">
        <f>IFERROR(__xludf.DUMMYFUNCTION("GOOGLETRANSLATE(D3936,""PT"",""EN"")"),"Satisfied with the bank is the service")</f>
        <v>Satisfied with the bank is the service</v>
      </c>
    </row>
    <row r="3937" ht="14.25" customHeight="1">
      <c r="A3937" s="1">
        <v>100.0</v>
      </c>
      <c r="B3937" s="1" t="s">
        <v>1691</v>
      </c>
      <c r="C3937" s="1">
        <v>10.0</v>
      </c>
      <c r="D3937" s="1" t="s">
        <v>6</v>
      </c>
      <c r="E3937" s="1"/>
    </row>
    <row r="3938" ht="14.25" customHeight="1">
      <c r="A3938" s="1">
        <v>100.0</v>
      </c>
      <c r="B3938" s="1" t="s">
        <v>1691</v>
      </c>
      <c r="C3938" s="1">
        <v>10.0</v>
      </c>
      <c r="D3938" s="1" t="s">
        <v>6</v>
      </c>
      <c r="E3938" s="1"/>
    </row>
    <row r="3939" ht="14.25" customHeight="1">
      <c r="A3939" s="1">
        <v>33.0</v>
      </c>
      <c r="B3939" s="1" t="s">
        <v>1691</v>
      </c>
      <c r="C3939" s="1">
        <v>1.0</v>
      </c>
      <c r="D3939" s="1" t="s">
        <v>6</v>
      </c>
      <c r="E3939" s="1"/>
    </row>
    <row r="3940" ht="14.25" customHeight="1">
      <c r="A3940" s="1">
        <v>66.0</v>
      </c>
      <c r="B3940" s="1" t="s">
        <v>1691</v>
      </c>
      <c r="C3940" s="1">
        <v>8.0</v>
      </c>
      <c r="D3940" s="1" t="s">
        <v>6</v>
      </c>
      <c r="E3940" s="1"/>
    </row>
    <row r="3941" ht="14.25" customHeight="1">
      <c r="A3941" s="1">
        <v>66.0</v>
      </c>
      <c r="B3941" s="1" t="s">
        <v>1691</v>
      </c>
      <c r="C3941" s="1">
        <v>8.0</v>
      </c>
      <c r="D3941" s="1" t="s">
        <v>6</v>
      </c>
      <c r="E3941" s="1"/>
    </row>
    <row r="3942" ht="14.25" customHeight="1">
      <c r="A3942" s="1">
        <v>33.0</v>
      </c>
      <c r="B3942" s="1" t="s">
        <v>1691</v>
      </c>
      <c r="C3942" s="1">
        <v>0.0</v>
      </c>
      <c r="D3942" s="1" t="s">
        <v>6</v>
      </c>
      <c r="E3942" s="1"/>
    </row>
    <row r="3943" ht="14.25" customHeight="1">
      <c r="A3943" s="1">
        <v>100.0</v>
      </c>
      <c r="B3943" s="1" t="s">
        <v>1691</v>
      </c>
      <c r="C3943" s="1">
        <v>9.0</v>
      </c>
      <c r="D3943" s="1" t="s">
        <v>6</v>
      </c>
      <c r="E3943" s="1"/>
    </row>
    <row r="3944" ht="14.25" customHeight="1">
      <c r="A3944" s="1">
        <v>100.0</v>
      </c>
      <c r="B3944" s="1" t="s">
        <v>1691</v>
      </c>
      <c r="C3944" s="1">
        <v>10.0</v>
      </c>
      <c r="D3944" s="1" t="s">
        <v>6</v>
      </c>
      <c r="E3944" s="1"/>
    </row>
    <row r="3945" ht="14.25" customHeight="1">
      <c r="A3945" s="1">
        <v>33.0</v>
      </c>
      <c r="B3945" s="1" t="s">
        <v>1691</v>
      </c>
      <c r="C3945" s="1">
        <v>6.0</v>
      </c>
      <c r="D3945" s="2" t="s">
        <v>1749</v>
      </c>
      <c r="E3945" s="1" t="str">
        <f>IFERROR(__xludf.DUMMYFUNCTION("GOOGLETRANSLATE(D3945,""PT"",""EN"")"),"There is no proactivity in the supply of products is follow -up of the cooperative to increase the relationship with the cooperative")</f>
        <v>There is no proactivity in the supply of products is follow -up of the cooperative to increase the relationship with the cooperative</v>
      </c>
    </row>
    <row r="3946" ht="14.25" customHeight="1">
      <c r="A3946" s="1">
        <v>100.0</v>
      </c>
      <c r="B3946" s="1" t="s">
        <v>1691</v>
      </c>
      <c r="C3946" s="1">
        <v>10.0</v>
      </c>
      <c r="D3946" s="1" t="s">
        <v>6</v>
      </c>
      <c r="E3946" s="1"/>
    </row>
    <row r="3947" ht="14.25" customHeight="1">
      <c r="A3947" s="1">
        <v>33.0</v>
      </c>
      <c r="B3947" s="1" t="s">
        <v>1691</v>
      </c>
      <c r="C3947" s="1">
        <v>1.0</v>
      </c>
      <c r="D3947" s="2" t="s">
        <v>1750</v>
      </c>
      <c r="E3947" s="1" t="str">
        <f>IFERROR(__xludf.DUMMYFUNCTION("GOOGLETRANSLATE(D3947,""PT"",""EN"")"),"I don't even have contact in this institution, I registered is never able to enter again")</f>
        <v>I don't even have contact in this institution, I registered is never able to enter again</v>
      </c>
    </row>
    <row r="3948" ht="14.25" customHeight="1">
      <c r="A3948" s="1">
        <v>100.0</v>
      </c>
      <c r="B3948" s="1" t="s">
        <v>1691</v>
      </c>
      <c r="C3948" s="1">
        <v>10.0</v>
      </c>
      <c r="D3948" s="1" t="s">
        <v>1751</v>
      </c>
      <c r="E3948" s="1" t="str">
        <f>IFERROR(__xludf.DUMMYFUNCTION("GOOGLETRANSLATE(D3948,""PT"",""EN"")"),"Quality services")</f>
        <v>Quality services</v>
      </c>
    </row>
    <row r="3949" ht="14.25" customHeight="1">
      <c r="A3949" s="1">
        <v>66.0</v>
      </c>
      <c r="B3949" s="1" t="s">
        <v>1691</v>
      </c>
      <c r="C3949" s="1">
        <v>7.0</v>
      </c>
      <c r="D3949" s="2" t="s">
        <v>1752</v>
      </c>
      <c r="E3949" s="1" t="str">
        <f>IFERROR(__xludf.DUMMYFUNCTION("GOOGLETRANSLATE(D3949,""PT"",""EN"")"),"Satisfactory services, good attention from account managers, but leaves to want to technologies such as the lack of integration with Apple Pay.")</f>
        <v>Satisfactory services, good attention from account managers, but leaves to want to technologies such as the lack of integration with Apple Pay.</v>
      </c>
    </row>
    <row r="3950" ht="14.25" customHeight="1">
      <c r="A3950" s="1">
        <v>33.0</v>
      </c>
      <c r="B3950" s="1" t="s">
        <v>1691</v>
      </c>
      <c r="C3950" s="1">
        <v>0.0</v>
      </c>
      <c r="D3950" s="1" t="s">
        <v>6</v>
      </c>
      <c r="E3950" s="1"/>
    </row>
    <row r="3951" ht="14.25" customHeight="1">
      <c r="A3951" s="1">
        <v>100.0</v>
      </c>
      <c r="B3951" s="1" t="s">
        <v>1691</v>
      </c>
      <c r="C3951" s="1">
        <v>9.0</v>
      </c>
      <c r="D3951" s="1" t="s">
        <v>6</v>
      </c>
      <c r="E3951" s="1"/>
    </row>
    <row r="3952" ht="14.25" customHeight="1">
      <c r="A3952" s="1">
        <v>100.0</v>
      </c>
      <c r="B3952" s="1" t="s">
        <v>1691</v>
      </c>
      <c r="C3952" s="1">
        <v>10.0</v>
      </c>
      <c r="D3952" s="2" t="s">
        <v>1753</v>
      </c>
      <c r="E3952" s="1" t="str">
        <f>IFERROR(__xludf.DUMMYFUNCTION("GOOGLETRANSLATE(D3952,""PT"",""EN"")"),"I have everything I want in the bank, my manager is note 10")</f>
        <v>I have everything I want in the bank, my manager is note 10</v>
      </c>
    </row>
    <row r="3953" ht="14.25" customHeight="1">
      <c r="A3953" s="1">
        <v>66.0</v>
      </c>
      <c r="B3953" s="1" t="s">
        <v>1691</v>
      </c>
      <c r="C3953" s="1">
        <v>7.0</v>
      </c>
      <c r="D3953" s="1" t="s">
        <v>6</v>
      </c>
      <c r="E3953" s="1"/>
    </row>
    <row r="3954" ht="14.25" customHeight="1">
      <c r="A3954" s="1">
        <v>100.0</v>
      </c>
      <c r="B3954" s="1" t="s">
        <v>1691</v>
      </c>
      <c r="C3954" s="1">
        <v>10.0</v>
      </c>
      <c r="D3954" s="1" t="s">
        <v>6</v>
      </c>
      <c r="E3954" s="1"/>
    </row>
    <row r="3955" ht="14.25" customHeight="1">
      <c r="A3955" s="1">
        <v>66.0</v>
      </c>
      <c r="B3955" s="1" t="s">
        <v>1691</v>
      </c>
      <c r="C3955" s="1">
        <v>8.0</v>
      </c>
      <c r="D3955" s="1" t="s">
        <v>6</v>
      </c>
      <c r="E3955" s="1"/>
    </row>
    <row r="3956" ht="14.25" customHeight="1">
      <c r="A3956" s="1">
        <v>100.0</v>
      </c>
      <c r="B3956" s="1" t="s">
        <v>1691</v>
      </c>
      <c r="C3956" s="1">
        <v>10.0</v>
      </c>
      <c r="D3956" s="1" t="s">
        <v>6</v>
      </c>
      <c r="E3956" s="1"/>
    </row>
    <row r="3957" ht="14.25" customHeight="1">
      <c r="A3957" s="1">
        <v>100.0</v>
      </c>
      <c r="B3957" s="1" t="s">
        <v>1691</v>
      </c>
      <c r="C3957" s="1">
        <v>10.0</v>
      </c>
      <c r="D3957" s="1" t="s">
        <v>1292</v>
      </c>
      <c r="E3957" s="1" t="str">
        <f>IFERROR(__xludf.DUMMYFUNCTION("GOOGLETRANSLATE(D3957,""PT"",""EN"")"),"Very good service")</f>
        <v>Very good service</v>
      </c>
    </row>
    <row r="3958" ht="14.25" customHeight="1">
      <c r="A3958" s="1">
        <v>100.0</v>
      </c>
      <c r="B3958" s="1" t="s">
        <v>1691</v>
      </c>
      <c r="C3958" s="1">
        <v>10.0</v>
      </c>
      <c r="D3958" s="1" t="s">
        <v>6</v>
      </c>
      <c r="E3958" s="1"/>
    </row>
    <row r="3959" ht="14.25" customHeight="1">
      <c r="A3959" s="1">
        <v>100.0</v>
      </c>
      <c r="B3959" s="1" t="s">
        <v>1691</v>
      </c>
      <c r="C3959" s="1">
        <v>10.0</v>
      </c>
      <c r="D3959" s="2" t="s">
        <v>1697</v>
      </c>
      <c r="E3959" s="1" t="str">
        <f>IFERROR(__xludf.DUMMYFUNCTION("GOOGLETRANSLATE(D3959,""PT"",""EN"")"),"The service is always high level with great assertiveness of positive solutions that we have whenever we need the cooperative.")</f>
        <v>The service is always high level with great assertiveness of positive solutions that we have whenever we need the cooperative.</v>
      </c>
    </row>
    <row r="3960" ht="14.25" customHeight="1">
      <c r="A3960" s="1">
        <v>33.0</v>
      </c>
      <c r="B3960" s="1" t="s">
        <v>1691</v>
      </c>
      <c r="C3960" s="1">
        <v>5.0</v>
      </c>
      <c r="D3960" s="1" t="s">
        <v>6</v>
      </c>
      <c r="E3960" s="1"/>
    </row>
    <row r="3961" ht="14.25" customHeight="1">
      <c r="A3961" s="1">
        <v>33.0</v>
      </c>
      <c r="B3961" s="1" t="s">
        <v>1691</v>
      </c>
      <c r="C3961" s="1">
        <v>0.0</v>
      </c>
      <c r="D3961" s="1" t="s">
        <v>6</v>
      </c>
      <c r="E3961" s="1"/>
    </row>
    <row r="3962" ht="14.25" customHeight="1">
      <c r="A3962" s="1">
        <v>100.0</v>
      </c>
      <c r="B3962" s="1" t="s">
        <v>1691</v>
      </c>
      <c r="C3962" s="1">
        <v>9.0</v>
      </c>
      <c r="D3962" s="1" t="s">
        <v>1754</v>
      </c>
      <c r="E3962" s="1" t="str">
        <f>IFERROR(__xludf.DUMMYFUNCTION("GOOGLETRANSLATE(D3962,""PT"",""EN"")"),"They are attentive")</f>
        <v>They are attentive</v>
      </c>
    </row>
    <row r="3963" ht="14.25" customHeight="1">
      <c r="A3963" s="1">
        <v>33.0</v>
      </c>
      <c r="B3963" s="1" t="s">
        <v>1691</v>
      </c>
      <c r="C3963" s="1">
        <v>1.0</v>
      </c>
      <c r="D3963" s="2" t="s">
        <v>1755</v>
      </c>
      <c r="E3963" s="1" t="str">
        <f>IFERROR(__xludf.DUMMYFUNCTION("GOOGLETRANSLATE(D3963,""PT"",""EN"")"),"This cooperative is very weak")</f>
        <v>This cooperative is very weak</v>
      </c>
    </row>
    <row r="3964" ht="14.25" customHeight="1">
      <c r="A3964" s="1">
        <v>66.0</v>
      </c>
      <c r="B3964" s="1" t="s">
        <v>1691</v>
      </c>
      <c r="C3964" s="1">
        <v>8.0</v>
      </c>
      <c r="D3964" s="2" t="s">
        <v>1756</v>
      </c>
      <c r="E3964" s="1" t="str">
        <f>IFERROR(__xludf.DUMMYFUNCTION("GOOGLETRANSLATE(D3964,""PT"",""EN"")"),"Lack more rigidity in documentary analysis is acts practiced by Sicoob")</f>
        <v>Lack more rigidity in documentary analysis is acts practiced by Sicoob</v>
      </c>
    </row>
    <row r="3965" ht="14.25" customHeight="1">
      <c r="A3965" s="1">
        <v>33.0</v>
      </c>
      <c r="B3965" s="1" t="s">
        <v>1691</v>
      </c>
      <c r="C3965" s="1">
        <v>5.0</v>
      </c>
      <c r="D3965" s="1" t="s">
        <v>6</v>
      </c>
      <c r="E3965" s="1"/>
    </row>
    <row r="3966" ht="14.25" customHeight="1">
      <c r="A3966" s="1">
        <v>100.0</v>
      </c>
      <c r="B3966" s="1" t="s">
        <v>1691</v>
      </c>
      <c r="C3966" s="1">
        <v>10.0</v>
      </c>
      <c r="D3966" s="1" t="s">
        <v>6</v>
      </c>
      <c r="E3966" s="1"/>
    </row>
    <row r="3967" ht="14.25" customHeight="1">
      <c r="A3967" s="1">
        <v>100.0</v>
      </c>
      <c r="B3967" s="1" t="s">
        <v>1691</v>
      </c>
      <c r="C3967" s="1">
        <v>10.0</v>
      </c>
      <c r="D3967" s="1" t="s">
        <v>6</v>
      </c>
      <c r="E3967" s="1"/>
    </row>
    <row r="3968" ht="14.25" customHeight="1">
      <c r="A3968" s="1">
        <v>33.0</v>
      </c>
      <c r="B3968" s="1" t="s">
        <v>1691</v>
      </c>
      <c r="C3968" s="1">
        <v>0.0</v>
      </c>
      <c r="D3968" s="2" t="s">
        <v>1757</v>
      </c>
      <c r="E3968" s="1" t="str">
        <f>IFERROR(__xludf.DUMMYFUNCTION("GOOGLETRANSLATE(D3968,""PT"",""EN"")"),"Very bad application. Undue debts in the account. When you show their error, they take a long time to revert. It is this space is small to say the negative points.")</f>
        <v>Very bad application. Undue debts in the account. When you show their error, they take a long time to revert. It is this space is small to say the negative points.</v>
      </c>
    </row>
    <row r="3969" ht="14.25" customHeight="1">
      <c r="A3969" s="1">
        <v>33.0</v>
      </c>
      <c r="B3969" s="1" t="s">
        <v>1691</v>
      </c>
      <c r="C3969" s="1">
        <v>0.0</v>
      </c>
      <c r="D3969" s="2" t="s">
        <v>1758</v>
      </c>
      <c r="E3969" s="1" t="str">
        <f>IFERROR(__xludf.DUMMYFUNCTION("GOOGLETRANSLATE(D3969,""PT"",""EN"")"),"Pessimo Management Service")</f>
        <v>Pessimo Management Service</v>
      </c>
    </row>
    <row r="3970" ht="14.25" customHeight="1">
      <c r="A3970" s="1">
        <v>33.0</v>
      </c>
      <c r="B3970" s="1" t="s">
        <v>1691</v>
      </c>
      <c r="C3970" s="1">
        <v>5.0</v>
      </c>
      <c r="D3970" s="2" t="s">
        <v>1759</v>
      </c>
      <c r="E3970" s="1" t="str">
        <f>IFERROR(__xludf.DUMMYFUNCTION("GOOGLETRANSLATE(D3970,""PT"",""EN"")"),"MANAGEMENT SERVICE")</f>
        <v>MANAGEMENT SERVICE</v>
      </c>
    </row>
    <row r="3971" ht="14.25" customHeight="1">
      <c r="A3971" s="1">
        <v>33.0</v>
      </c>
      <c r="B3971" s="1" t="s">
        <v>1691</v>
      </c>
      <c r="C3971" s="1">
        <v>5.0</v>
      </c>
      <c r="D3971" s="1" t="s">
        <v>1760</v>
      </c>
      <c r="E3971" s="1" t="str">
        <f>IFERROR(__xludf.DUMMYFUNCTION("GOOGLETRANSLATE(D3971,""PT"",""EN"")"),"I stopped answering me at my request, did not even contacted")</f>
        <v>I stopped answering me at my request, did not even contacted</v>
      </c>
    </row>
    <row r="3972" ht="14.25" customHeight="1">
      <c r="A3972" s="1">
        <v>33.0</v>
      </c>
      <c r="B3972" s="1" t="s">
        <v>1691</v>
      </c>
      <c r="C3972" s="1">
        <v>6.0</v>
      </c>
      <c r="D3972" s="1" t="s">
        <v>6</v>
      </c>
      <c r="E3972" s="1"/>
    </row>
    <row r="3973" ht="14.25" customHeight="1">
      <c r="A3973" s="1">
        <v>100.0</v>
      </c>
      <c r="B3973" s="1" t="s">
        <v>1691</v>
      </c>
      <c r="C3973" s="1">
        <v>10.0</v>
      </c>
      <c r="D3973" s="1" t="s">
        <v>6</v>
      </c>
      <c r="E3973" s="1"/>
    </row>
    <row r="3974" ht="14.25" customHeight="1">
      <c r="A3974" s="1">
        <v>33.0</v>
      </c>
      <c r="B3974" s="1" t="s">
        <v>1691</v>
      </c>
      <c r="C3974" s="1">
        <v>0.0</v>
      </c>
      <c r="D3974" s="1" t="s">
        <v>6</v>
      </c>
      <c r="E3974" s="1"/>
    </row>
    <row r="3975" ht="14.25" customHeight="1">
      <c r="A3975" s="1">
        <v>100.0</v>
      </c>
      <c r="B3975" s="1" t="s">
        <v>1691</v>
      </c>
      <c r="C3975" s="1">
        <v>10.0</v>
      </c>
      <c r="D3975" s="2" t="s">
        <v>1761</v>
      </c>
      <c r="E3975" s="1" t="str">
        <f>IFERROR(__xludf.DUMMYFUNCTION("GOOGLETRANSLATE(D3975,""PT"",""EN"")"),"Service of the manager, cordiality of those who serve in the boxes.")</f>
        <v>Service of the manager, cordiality of those who serve in the boxes.</v>
      </c>
    </row>
    <row r="3976" ht="14.25" customHeight="1">
      <c r="A3976" s="1">
        <v>33.0</v>
      </c>
      <c r="B3976" s="1" t="s">
        <v>1691</v>
      </c>
      <c r="C3976" s="1">
        <v>0.0</v>
      </c>
      <c r="D3976" s="1" t="s">
        <v>6</v>
      </c>
      <c r="E3976" s="1"/>
    </row>
    <row r="3977" ht="14.25" customHeight="1">
      <c r="A3977" s="1">
        <v>66.0</v>
      </c>
      <c r="B3977" s="1" t="s">
        <v>1691</v>
      </c>
      <c r="C3977" s="1">
        <v>8.0</v>
      </c>
      <c r="D3977" s="1" t="s">
        <v>6</v>
      </c>
      <c r="E3977" s="1"/>
    </row>
    <row r="3978" ht="14.25" customHeight="1">
      <c r="A3978" s="1">
        <v>66.0</v>
      </c>
      <c r="B3978" s="1" t="s">
        <v>1691</v>
      </c>
      <c r="C3978" s="1">
        <v>8.0</v>
      </c>
      <c r="D3978" s="1" t="s">
        <v>87</v>
      </c>
      <c r="E3978" s="1" t="str">
        <f>IFERROR(__xludf.DUMMYFUNCTION("GOOGLETRANSLATE(D3978,""PT"",""EN"")"),"Personalized service")</f>
        <v>Personalized service</v>
      </c>
    </row>
    <row r="3979" ht="14.25" customHeight="1">
      <c r="A3979" s="1">
        <v>66.0</v>
      </c>
      <c r="B3979" s="1" t="s">
        <v>1691</v>
      </c>
      <c r="C3979" s="1">
        <v>7.0</v>
      </c>
      <c r="D3979" s="1" t="s">
        <v>6</v>
      </c>
      <c r="E3979" s="1"/>
    </row>
    <row r="3980" ht="14.25" customHeight="1">
      <c r="A3980" s="1">
        <v>100.0</v>
      </c>
      <c r="B3980" s="1" t="s">
        <v>1691</v>
      </c>
      <c r="C3980" s="1">
        <v>10.0</v>
      </c>
      <c r="D3980" s="2" t="s">
        <v>1762</v>
      </c>
      <c r="E3980" s="1" t="str">
        <f>IFERROR(__xludf.DUMMYFUNCTION("GOOGLETRANSLATE(D3980,""PT"",""EN"")"),"Speed, transparency, cost is service - NOTE: I am cooperative.")</f>
        <v>Speed, transparency, cost is service - NOTE: I am cooperative.</v>
      </c>
    </row>
    <row r="3981" ht="14.25" customHeight="1">
      <c r="A3981" s="1">
        <v>66.0</v>
      </c>
      <c r="B3981" s="1" t="s">
        <v>1691</v>
      </c>
      <c r="C3981" s="1">
        <v>7.0</v>
      </c>
      <c r="D3981" s="1" t="s">
        <v>6</v>
      </c>
      <c r="E3981" s="1"/>
    </row>
    <row r="3982" ht="14.25" customHeight="1">
      <c r="A3982" s="1">
        <v>33.0</v>
      </c>
      <c r="B3982" s="1" t="s">
        <v>1691</v>
      </c>
      <c r="C3982" s="1">
        <v>0.0</v>
      </c>
      <c r="D3982" s="2" t="s">
        <v>1763</v>
      </c>
      <c r="E3982" s="1" t="str">
        <f>IFERROR(__xludf.DUMMYFUNCTION("GOOGLETRANSLATE(D3982,""PT"",""EN"")"),"Pessimo service from the manager's secretariat, I asked about the credit card is she already requested one for me with annuity is without my consent, she should have explained the card options before having issued one to me, she only spoke after I questio"&amp;"ned It is after she made the card order")</f>
        <v>Pessimo service from the manager's secretariat, I asked about the credit card is she already requested one for me with annuity is without my consent, she should have explained the card options before having issued one to me, she only spoke after I questioned It is after she made the card order</v>
      </c>
    </row>
    <row r="3983" ht="14.25" customHeight="1">
      <c r="A3983" s="1">
        <v>100.0</v>
      </c>
      <c r="B3983" s="1" t="s">
        <v>1691</v>
      </c>
      <c r="C3983" s="1">
        <v>9.0</v>
      </c>
      <c r="D3983" s="1" t="s">
        <v>6</v>
      </c>
      <c r="E3983" s="1"/>
    </row>
    <row r="3984" ht="14.25" customHeight="1">
      <c r="A3984" s="1">
        <v>33.0</v>
      </c>
      <c r="B3984" s="1" t="s">
        <v>1691</v>
      </c>
      <c r="C3984" s="1">
        <v>5.0</v>
      </c>
      <c r="D3984" s="2" t="s">
        <v>1764</v>
      </c>
      <c r="E3984" s="1" t="str">
        <f>IFERROR(__xludf.DUMMYFUNCTION("GOOGLETRANSLATE(D3984,""PT"",""EN"")"),"I can't say")</f>
        <v>I can't say</v>
      </c>
    </row>
    <row r="3985" ht="14.25" customHeight="1">
      <c r="A3985" s="1">
        <v>100.0</v>
      </c>
      <c r="B3985" s="1" t="s">
        <v>1691</v>
      </c>
      <c r="C3985" s="1">
        <v>10.0</v>
      </c>
      <c r="D3985" s="1" t="s">
        <v>1765</v>
      </c>
      <c r="E3985" s="1" t="str">
        <f>IFERROR(__xludf.DUMMYFUNCTION("GOOGLETRANSLATE(D3985,""PT"",""EN"")"),"Accessibility, promptness, goodwill.")</f>
        <v>Accessibility, promptness, goodwill.</v>
      </c>
    </row>
    <row r="3986" ht="14.25" customHeight="1">
      <c r="A3986" s="1">
        <v>33.0</v>
      </c>
      <c r="B3986" s="1" t="s">
        <v>1691</v>
      </c>
      <c r="C3986" s="1">
        <v>4.0</v>
      </c>
      <c r="D3986" s="1" t="s">
        <v>6</v>
      </c>
      <c r="E3986" s="1"/>
    </row>
    <row r="3987" ht="14.25" customHeight="1">
      <c r="A3987" s="1">
        <v>100.0</v>
      </c>
      <c r="B3987" s="1" t="s">
        <v>1691</v>
      </c>
      <c r="C3987" s="1">
        <v>10.0</v>
      </c>
      <c r="D3987" s="1" t="s">
        <v>6</v>
      </c>
      <c r="E3987" s="1"/>
    </row>
    <row r="3988" ht="14.25" customHeight="1">
      <c r="A3988" s="1">
        <v>66.0</v>
      </c>
      <c r="B3988" s="1" t="s">
        <v>1691</v>
      </c>
      <c r="C3988" s="1">
        <v>7.0</v>
      </c>
      <c r="D3988" s="1" t="s">
        <v>6</v>
      </c>
      <c r="E3988" s="1"/>
    </row>
    <row r="3989" ht="14.25" customHeight="1">
      <c r="A3989" s="1">
        <v>100.0</v>
      </c>
      <c r="B3989" s="1" t="s">
        <v>1691</v>
      </c>
      <c r="C3989" s="1">
        <v>10.0</v>
      </c>
      <c r="D3989" s="1" t="s">
        <v>1766</v>
      </c>
      <c r="E3989" s="1" t="str">
        <f>IFERROR(__xludf.DUMMYFUNCTION("GOOGLETRANSLATE(D3989,""PT"",""EN"")"),"Excellent calls")</f>
        <v>Excellent calls</v>
      </c>
    </row>
    <row r="3990" ht="14.25" customHeight="1">
      <c r="A3990" s="1">
        <v>33.0</v>
      </c>
      <c r="B3990" s="1" t="s">
        <v>1691</v>
      </c>
      <c r="C3990" s="1">
        <v>0.0</v>
      </c>
      <c r="D3990" s="2" t="s">
        <v>1767</v>
      </c>
      <c r="E3990" s="1" t="str">
        <f>IFERROR(__xludf.DUMMYFUNCTION("GOOGLETRANSLATE(D3990,""PT"",""EN"")"),"Banco Pessimo offers nothing to the customer")</f>
        <v>Banco Pessimo offers nothing to the customer</v>
      </c>
    </row>
    <row r="3991" ht="14.25" customHeight="1">
      <c r="A3991" s="1">
        <v>100.0</v>
      </c>
      <c r="B3991" s="1" t="s">
        <v>1691</v>
      </c>
      <c r="C3991" s="1">
        <v>9.0</v>
      </c>
      <c r="D3991" s="1" t="s">
        <v>6</v>
      </c>
      <c r="E3991" s="1"/>
    </row>
    <row r="3992" ht="14.25" customHeight="1">
      <c r="A3992" s="1">
        <v>100.0</v>
      </c>
      <c r="B3992" s="1" t="s">
        <v>1691</v>
      </c>
      <c r="C3992" s="1">
        <v>10.0</v>
      </c>
      <c r="D3992" s="1" t="s">
        <v>570</v>
      </c>
      <c r="E3992" s="1" t="str">
        <f>IFERROR(__xludf.DUMMYFUNCTION("GOOGLETRANSLATE(D3992,""PT"",""EN"")"),"Excelent reception")</f>
        <v>Excelent reception</v>
      </c>
    </row>
    <row r="3993" ht="14.25" customHeight="1">
      <c r="A3993" s="1">
        <v>100.0</v>
      </c>
      <c r="B3993" s="1" t="s">
        <v>1691</v>
      </c>
      <c r="C3993" s="1">
        <v>10.0</v>
      </c>
      <c r="D3993" s="1" t="s">
        <v>6</v>
      </c>
      <c r="E3993" s="1"/>
    </row>
    <row r="3994" ht="14.25" customHeight="1">
      <c r="A3994" s="1">
        <v>100.0</v>
      </c>
      <c r="B3994" s="1" t="s">
        <v>1691</v>
      </c>
      <c r="C3994" s="1">
        <v>10.0</v>
      </c>
      <c r="D3994" s="2" t="s">
        <v>1768</v>
      </c>
      <c r="E3994" s="1" t="str">
        <f>IFERROR(__xludf.DUMMYFUNCTION("GOOGLETRANSLATE(D3994,""PT"",""EN"")"),"I am a client for several years is always had support is the close service is efficient")</f>
        <v>I am a client for several years is always had support is the close service is efficient</v>
      </c>
    </row>
    <row r="3995" ht="14.25" customHeight="1">
      <c r="A3995" s="1">
        <v>100.0</v>
      </c>
      <c r="B3995" s="1" t="s">
        <v>1691</v>
      </c>
      <c r="C3995" s="1">
        <v>10.0</v>
      </c>
      <c r="D3995" s="1" t="s">
        <v>85</v>
      </c>
      <c r="E3995" s="1" t="str">
        <f>IFERROR(__xludf.DUMMYFUNCTION("GOOGLETRANSLATE(D3995,""PT"",""EN"")"),"Service")</f>
        <v>Service</v>
      </c>
    </row>
    <row r="3996" ht="14.25" customHeight="1">
      <c r="A3996" s="1">
        <v>100.0</v>
      </c>
      <c r="B3996" s="1" t="s">
        <v>1691</v>
      </c>
      <c r="C3996" s="1">
        <v>9.0</v>
      </c>
      <c r="D3996" s="2" t="s">
        <v>1769</v>
      </c>
      <c r="E3996" s="1" t="str">
        <f>IFERROR(__xludf.DUMMYFUNCTION("GOOGLETRANSLATE(D3996,""PT"",""EN"")"),"Crediadag service considering my requests is products; services.")</f>
        <v>Crediadag service considering my requests is products; services.</v>
      </c>
    </row>
    <row r="3997" ht="14.25" customHeight="1">
      <c r="A3997" s="1">
        <v>100.0</v>
      </c>
      <c r="B3997" s="1" t="s">
        <v>1691</v>
      </c>
      <c r="C3997" s="1">
        <v>10.0</v>
      </c>
      <c r="D3997" s="2" t="s">
        <v>1770</v>
      </c>
      <c r="E3997" s="1" t="str">
        <f>IFERROR(__xludf.DUMMYFUNCTION("GOOGLETRANSLATE(D3997,""PT"",""EN"")"),"Service Efficiency")</f>
        <v>Service Efficiency</v>
      </c>
    </row>
    <row r="3998" ht="14.25" customHeight="1">
      <c r="A3998" s="1">
        <v>100.0</v>
      </c>
      <c r="B3998" s="1" t="s">
        <v>1691</v>
      </c>
      <c r="C3998" s="1">
        <v>10.0</v>
      </c>
      <c r="D3998" s="1" t="s">
        <v>6</v>
      </c>
      <c r="E3998" s="1"/>
    </row>
    <row r="3999" ht="14.25" customHeight="1">
      <c r="A3999" s="1">
        <v>33.0</v>
      </c>
      <c r="B3999" s="1" t="s">
        <v>1691</v>
      </c>
      <c r="C3999" s="1">
        <v>3.0</v>
      </c>
      <c r="D3999" s="2" t="s">
        <v>1771</v>
      </c>
      <c r="E3999" s="1" t="str">
        <f>IFERROR(__xludf.DUMMYFUNCTION("GOOGLETRANSLATE(D3999,""PT"",""EN"")"),"Do not serve in a few situations.")</f>
        <v>Do not serve in a few situations.</v>
      </c>
    </row>
    <row r="4000" ht="14.25" customHeight="1">
      <c r="A4000" s="1">
        <v>100.0</v>
      </c>
      <c r="B4000" s="1" t="s">
        <v>1691</v>
      </c>
      <c r="C4000" s="1">
        <v>10.0</v>
      </c>
      <c r="D4000" s="2" t="s">
        <v>1772</v>
      </c>
      <c r="E4000" s="1" t="str">
        <f>IFERROR(__xludf.DUMMYFUNCTION("GOOGLETRANSLATE(D4000,""PT"",""EN"")"),"Service, agility is concerned with meeting our needs")</f>
        <v>Service, agility is concerned with meeting our needs</v>
      </c>
    </row>
    <row r="4001" ht="14.25" customHeight="1">
      <c r="A4001" s="1">
        <v>33.0</v>
      </c>
      <c r="B4001" s="1" t="s">
        <v>1691</v>
      </c>
      <c r="C4001" s="1">
        <v>0.0</v>
      </c>
      <c r="D4001" s="1" t="s">
        <v>6</v>
      </c>
      <c r="E4001" s="1"/>
    </row>
    <row r="4002" ht="14.25" customHeight="1">
      <c r="A4002" s="1">
        <v>66.0</v>
      </c>
      <c r="B4002" s="1" t="s">
        <v>1691</v>
      </c>
      <c r="C4002" s="1">
        <v>8.0</v>
      </c>
      <c r="D4002" s="2" t="s">
        <v>1773</v>
      </c>
      <c r="E4002" s="1" t="str">
        <f>IFERROR(__xludf.DUMMYFUNCTION("GOOGLETRANSLATE(D4002,""PT"",""EN"")"),"It is a good rate bank but has bureaucracy with the cooperative's own money")</f>
        <v>It is a good rate bank but has bureaucracy with the cooperative's own money</v>
      </c>
    </row>
    <row r="4003" ht="14.25" customHeight="1">
      <c r="A4003" s="1">
        <v>33.0</v>
      </c>
      <c r="B4003" s="1" t="s">
        <v>1691</v>
      </c>
      <c r="C4003" s="1">
        <v>5.0</v>
      </c>
      <c r="D4003" s="1" t="s">
        <v>1774</v>
      </c>
      <c r="E4003" s="1" t="str">
        <f>IFERROR(__xludf.DUMMYFUNCTION("GOOGLETRANSLATE(D4003,""PT"",""EN"")"),"Very slow the returns")</f>
        <v>Very slow the returns</v>
      </c>
    </row>
    <row r="4004" ht="14.25" customHeight="1">
      <c r="A4004" s="1">
        <v>100.0</v>
      </c>
      <c r="B4004" s="1" t="s">
        <v>1691</v>
      </c>
      <c r="C4004" s="1">
        <v>10.0</v>
      </c>
      <c r="D4004" s="1" t="s">
        <v>6</v>
      </c>
      <c r="E4004" s="1"/>
    </row>
    <row r="4005" ht="14.25" customHeight="1">
      <c r="A4005" s="1">
        <v>33.0</v>
      </c>
      <c r="B4005" s="1" t="s">
        <v>1691</v>
      </c>
      <c r="C4005" s="1">
        <v>3.0</v>
      </c>
      <c r="D4005" s="1" t="s">
        <v>6</v>
      </c>
      <c r="E4005" s="1"/>
    </row>
    <row r="4006" ht="14.25" customHeight="1">
      <c r="A4006" s="1">
        <v>33.0</v>
      </c>
      <c r="B4006" s="1" t="s">
        <v>1691</v>
      </c>
      <c r="C4006" s="1">
        <v>5.0</v>
      </c>
      <c r="D4006" s="2" t="s">
        <v>1775</v>
      </c>
      <c r="E4006" s="1" t="str">
        <f>IFERROR(__xludf.DUMMYFUNCTION("GOOGLETRANSLATE(D4006,""PT"",""EN"")"),"I had no product or service supply that added something beyond most banks, on the contrary, Sicoob did not verify registration or free or card (which would be the minimum)")</f>
        <v>I had no product or service supply that added something beyond most banks, on the contrary, Sicoob did not verify registration or free or card (which would be the minimum)</v>
      </c>
    </row>
    <row r="4007" ht="14.25" customHeight="1">
      <c r="A4007" s="1">
        <v>33.0</v>
      </c>
      <c r="B4007" s="1" t="s">
        <v>1691</v>
      </c>
      <c r="C4007" s="1">
        <v>0.0</v>
      </c>
      <c r="D4007" s="1" t="s">
        <v>6</v>
      </c>
      <c r="E4007" s="1"/>
    </row>
    <row r="4008" ht="14.25" customHeight="1">
      <c r="A4008" s="1">
        <v>100.0</v>
      </c>
      <c r="B4008" s="1" t="s">
        <v>1691</v>
      </c>
      <c r="C4008" s="1">
        <v>10.0</v>
      </c>
      <c r="D4008" s="1" t="s">
        <v>6</v>
      </c>
      <c r="E4008" s="1"/>
    </row>
    <row r="4009" ht="14.25" customHeight="1">
      <c r="A4009" s="1">
        <v>100.0</v>
      </c>
      <c r="B4009" s="1" t="s">
        <v>1691</v>
      </c>
      <c r="C4009" s="1">
        <v>10.0</v>
      </c>
      <c r="D4009" s="2" t="s">
        <v>1776</v>
      </c>
      <c r="E4009" s="1" t="str">
        <f>IFERROR(__xludf.DUMMYFUNCTION("GOOGLETRANSLATE(D4009,""PT"",""EN"")"),"Agility is suitable")</f>
        <v>Agility is suitable</v>
      </c>
    </row>
    <row r="4010" ht="14.25" customHeight="1">
      <c r="A4010" s="1">
        <v>100.0</v>
      </c>
      <c r="B4010" s="1" t="s">
        <v>1691</v>
      </c>
      <c r="C4010" s="1">
        <v>10.0</v>
      </c>
      <c r="D4010" s="1" t="s">
        <v>1777</v>
      </c>
      <c r="E4010" s="1" t="str">
        <f>IFERROR(__xludf.DUMMYFUNCTION("GOOGLETRANSLATE(D4010,""PT"",""EN"")"),"Excellent service.")</f>
        <v>Excellent service.</v>
      </c>
    </row>
    <row r="4011" ht="14.25" customHeight="1">
      <c r="A4011" s="1">
        <v>100.0</v>
      </c>
      <c r="B4011" s="1" t="s">
        <v>1691</v>
      </c>
      <c r="C4011" s="1">
        <v>10.0</v>
      </c>
      <c r="D4011" s="1" t="s">
        <v>6</v>
      </c>
      <c r="E4011" s="1"/>
    </row>
    <row r="4012" ht="14.25" customHeight="1">
      <c r="A4012" s="1">
        <v>33.0</v>
      </c>
      <c r="B4012" s="1" t="s">
        <v>1691</v>
      </c>
      <c r="C4012" s="1">
        <v>0.0</v>
      </c>
      <c r="D4012" s="1" t="s">
        <v>1778</v>
      </c>
      <c r="E4012" s="1" t="str">
        <f>IFERROR(__xludf.DUMMYFUNCTION("GOOGLETRANSLATE(D4012,""PT"",""EN"")"),"Many costs, only you want to win")</f>
        <v>Many costs, only you want to win</v>
      </c>
    </row>
    <row r="4013" ht="14.25" customHeight="1">
      <c r="A4013" s="1">
        <v>100.0</v>
      </c>
      <c r="B4013" s="1" t="s">
        <v>1691</v>
      </c>
      <c r="C4013" s="1">
        <v>10.0</v>
      </c>
      <c r="D4013" s="1" t="s">
        <v>6</v>
      </c>
      <c r="E4013" s="1"/>
    </row>
    <row r="4014" ht="14.25" customHeight="1">
      <c r="A4014" s="1">
        <v>100.0</v>
      </c>
      <c r="B4014" s="1" t="s">
        <v>1691</v>
      </c>
      <c r="C4014" s="1">
        <v>9.0</v>
      </c>
      <c r="D4014" s="1" t="s">
        <v>18</v>
      </c>
      <c r="E4014" s="1" t="str">
        <f>IFERROR(__xludf.DUMMYFUNCTION("GOOGLETRANSLATE(D4014,""PT"",""EN"")"),"Trust")</f>
        <v>Trust</v>
      </c>
    </row>
    <row r="4015" ht="14.25" customHeight="1">
      <c r="A4015" s="1">
        <v>100.0</v>
      </c>
      <c r="B4015" s="1" t="s">
        <v>1691</v>
      </c>
      <c r="C4015" s="1">
        <v>10.0</v>
      </c>
      <c r="D4015" s="1" t="s">
        <v>276</v>
      </c>
      <c r="E4015" s="1" t="str">
        <f>IFERROR(__xludf.DUMMYFUNCTION("GOOGLETRANSLATE(D4015,""PT"",""EN"")"),"Very good service")</f>
        <v>Very good service</v>
      </c>
    </row>
    <row r="4016" ht="14.25" customHeight="1">
      <c r="A4016" s="1">
        <v>100.0</v>
      </c>
      <c r="B4016" s="1" t="s">
        <v>1691</v>
      </c>
      <c r="C4016" s="1">
        <v>10.0</v>
      </c>
      <c r="D4016" s="1" t="s">
        <v>6</v>
      </c>
      <c r="E4016" s="1"/>
    </row>
    <row r="4017" ht="14.25" customHeight="1">
      <c r="A4017" s="1">
        <v>100.0</v>
      </c>
      <c r="B4017" s="1" t="s">
        <v>1691</v>
      </c>
      <c r="C4017" s="1">
        <v>10.0</v>
      </c>
      <c r="D4017" s="2" t="s">
        <v>1779</v>
      </c>
      <c r="E4017" s="1" t="str">
        <f>IFERROR(__xludf.DUMMYFUNCTION("GOOGLETRANSLATE(D4017,""PT"",""EN"")"),"A very serious bank is reliable")</f>
        <v>A very serious bank is reliable</v>
      </c>
    </row>
    <row r="4018" ht="14.25" customHeight="1">
      <c r="A4018" s="1">
        <v>100.0</v>
      </c>
      <c r="B4018" s="1" t="s">
        <v>1691</v>
      </c>
      <c r="C4018" s="1">
        <v>10.0</v>
      </c>
      <c r="D4018" s="1" t="s">
        <v>1780</v>
      </c>
      <c r="E4018" s="1" t="str">
        <f>IFERROR(__xludf.DUMMYFUNCTION("GOOGLETRANSLATE(D4018,""PT"",""EN"")"),"Easy access app, digital account without exaggerated tariffs.")</f>
        <v>Easy access app, digital account without exaggerated tariffs.</v>
      </c>
    </row>
    <row r="4019" ht="14.25" customHeight="1">
      <c r="A4019" s="1">
        <v>33.0</v>
      </c>
      <c r="B4019" s="1" t="s">
        <v>1691</v>
      </c>
      <c r="C4019" s="1">
        <v>4.0</v>
      </c>
      <c r="D4019" s="2" t="s">
        <v>1781</v>
      </c>
      <c r="E4019" s="1" t="str">
        <f>IFERROR(__xludf.DUMMYFUNCTION("GOOGLETRANSLATE(D4019,""PT"",""EN"")"),"Only a few associates are perceived is welcomed by managers. Lots of slowness in service due to bureaucracy. Managers have no full decision power. Employees do not decide anything for fear of reprisals.")</f>
        <v>Only a few associates are perceived is welcomed by managers. Lots of slowness in service due to bureaucracy. Managers have no full decision power. Employees do not decide anything for fear of reprisals.</v>
      </c>
    </row>
    <row r="4020" ht="14.25" customHeight="1">
      <c r="A4020" s="1">
        <v>100.0</v>
      </c>
      <c r="B4020" s="1" t="s">
        <v>1691</v>
      </c>
      <c r="C4020" s="1">
        <v>10.0</v>
      </c>
      <c r="D4020" s="1" t="s">
        <v>1782</v>
      </c>
      <c r="E4020" s="1" t="str">
        <f>IFERROR(__xludf.DUMMYFUNCTION("GOOGLETRANSLATE(D4020,""PT"",""EN"")"),"Managers always available for solutions! Easy -to -use app.")</f>
        <v>Managers always available for solutions! Easy -to -use app.</v>
      </c>
    </row>
    <row r="4021" ht="14.25" customHeight="1">
      <c r="A4021" s="1">
        <v>66.0</v>
      </c>
      <c r="B4021" s="1" t="s">
        <v>1691</v>
      </c>
      <c r="C4021" s="1">
        <v>8.0</v>
      </c>
      <c r="D4021" s="1" t="s">
        <v>1783</v>
      </c>
      <c r="E4021" s="1" t="str">
        <f>IFERROR(__xludf.DUMMYFUNCTION("GOOGLETRANSLATE(D4021,""PT"",""EN"")"),"Difficulty getting funding")</f>
        <v>Difficulty getting funding</v>
      </c>
    </row>
    <row r="4022" ht="14.25" customHeight="1">
      <c r="A4022" s="1">
        <v>100.0</v>
      </c>
      <c r="B4022" s="1" t="s">
        <v>1691</v>
      </c>
      <c r="C4022" s="1">
        <v>10.0</v>
      </c>
      <c r="D4022" s="1" t="s">
        <v>578</v>
      </c>
      <c r="E4022" s="1" t="str">
        <f>IFERROR(__xludf.DUMMYFUNCTION("GOOGLETRANSLATE(D4022,""PT"",""EN"")"),"Professionalism")</f>
        <v>Professionalism</v>
      </c>
    </row>
    <row r="4023" ht="14.25" customHeight="1">
      <c r="A4023" s="1">
        <v>33.0</v>
      </c>
      <c r="B4023" s="1" t="s">
        <v>1691</v>
      </c>
      <c r="C4023" s="1">
        <v>2.0</v>
      </c>
      <c r="D4023" s="2" t="s">
        <v>1784</v>
      </c>
      <c r="E4023" s="1" t="str">
        <f>IFERROR(__xludf.DUMMYFUNCTION("GOOGLETRANSLATE(D4023,""PT"",""EN"")"),"Very difficult to solve any problem with the account, everything has to go to the agency.")</f>
        <v>Very difficult to solve any problem with the account, everything has to go to the agency.</v>
      </c>
    </row>
    <row r="4024" ht="14.25" customHeight="1">
      <c r="A4024" s="1">
        <v>66.0</v>
      </c>
      <c r="B4024" s="1" t="s">
        <v>1691</v>
      </c>
      <c r="C4024" s="1">
        <v>7.0</v>
      </c>
      <c r="D4024" s="1" t="s">
        <v>1785</v>
      </c>
      <c r="E4024" s="1" t="str">
        <f>IFERROR(__xludf.DUMMYFUNCTION("GOOGLETRANSLATE(D4024,""PT"",""EN"")"),"Little structure for financing")</f>
        <v>Little structure for financing</v>
      </c>
    </row>
    <row r="4025" ht="14.25" customHeight="1">
      <c r="A4025" s="1">
        <v>100.0</v>
      </c>
      <c r="B4025" s="1" t="s">
        <v>1691</v>
      </c>
      <c r="C4025" s="1">
        <v>10.0</v>
      </c>
      <c r="D4025" s="1" t="s">
        <v>6</v>
      </c>
      <c r="E4025" s="1"/>
    </row>
    <row r="4026" ht="14.25" customHeight="1">
      <c r="A4026" s="1">
        <v>33.0</v>
      </c>
      <c r="B4026" s="1" t="s">
        <v>1691</v>
      </c>
      <c r="C4026" s="1">
        <v>5.0</v>
      </c>
      <c r="D4026" s="1" t="s">
        <v>6</v>
      </c>
      <c r="E4026" s="1"/>
    </row>
    <row r="4027" ht="14.25" customHeight="1">
      <c r="A4027" s="1">
        <v>100.0</v>
      </c>
      <c r="B4027" s="1" t="s">
        <v>1691</v>
      </c>
      <c r="C4027" s="1">
        <v>9.0</v>
      </c>
      <c r="D4027" s="2" t="s">
        <v>1786</v>
      </c>
      <c r="E4027" s="1" t="str">
        <f>IFERROR(__xludf.DUMMYFUNCTION("GOOGLETRANSLATE(D4027,""PT"",""EN"")"),"because it would indicate. It just is not better because I can never talk to someone. Only virtual. it's time consuming ..")</f>
        <v>because it would indicate. It just is not better because I can never talk to someone. Only virtual. it's time consuming ..</v>
      </c>
    </row>
    <row r="4028" ht="14.25" customHeight="1">
      <c r="A4028" s="1">
        <v>66.0</v>
      </c>
      <c r="B4028" s="1" t="s">
        <v>1691</v>
      </c>
      <c r="C4028" s="1">
        <v>7.0</v>
      </c>
      <c r="D4028" s="1" t="s">
        <v>1787</v>
      </c>
      <c r="E4028" s="1" t="str">
        <f>IFERROR(__xludf.DUMMYFUNCTION("GOOGLETRANSLATE(D4028,""PT"",""EN"")"),"Cheap rates, but little relationship interest")</f>
        <v>Cheap rates, but little relationship interest</v>
      </c>
    </row>
    <row r="4029" ht="14.25" customHeight="1">
      <c r="A4029" s="1">
        <v>33.0</v>
      </c>
      <c r="B4029" s="1" t="s">
        <v>1691</v>
      </c>
      <c r="C4029" s="1">
        <v>0.0</v>
      </c>
      <c r="D4029" s="1" t="s">
        <v>6</v>
      </c>
      <c r="E4029" s="1"/>
    </row>
    <row r="4030" ht="14.25" customHeight="1">
      <c r="A4030" s="1">
        <v>100.0</v>
      </c>
      <c r="B4030" s="1" t="s">
        <v>1691</v>
      </c>
      <c r="C4030" s="1">
        <v>10.0</v>
      </c>
      <c r="D4030" s="1" t="s">
        <v>6</v>
      </c>
      <c r="E4030" s="1"/>
    </row>
    <row r="4031" ht="14.25" customHeight="1">
      <c r="A4031" s="1">
        <v>33.0</v>
      </c>
      <c r="B4031" s="1" t="s">
        <v>1691</v>
      </c>
      <c r="C4031" s="1">
        <v>2.0</v>
      </c>
      <c r="D4031" s="2" t="s">
        <v>1788</v>
      </c>
      <c r="E4031" s="1" t="str">
        <f>IFERROR(__xludf.DUMMYFUNCTION("GOOGLETRANSLATE(D4031,""PT"",""EN"")"),"When selling the excellent product, but when it needs zero service")</f>
        <v>When selling the excellent product, but when it needs zero service</v>
      </c>
    </row>
    <row r="4032" ht="14.25" customHeight="1">
      <c r="A4032" s="1">
        <v>100.0</v>
      </c>
      <c r="B4032" s="1" t="s">
        <v>1691</v>
      </c>
      <c r="C4032" s="1">
        <v>10.0</v>
      </c>
      <c r="D4032" s="2" t="s">
        <v>1789</v>
      </c>
      <c r="E4032" s="1" t="str">
        <f>IFERROR(__xludf.DUMMYFUNCTION("GOOGLETRANSLATE(D4032,""PT"",""EN"")"),"The only ""bank"" that gives you back money! Wonderful service from my managers and assistants is beyond everything, with the best rates on the market for loan and overdraft")</f>
        <v>The only "bank" that gives you back money! Wonderful service from my managers and assistants is beyond everything, with the best rates on the market for loan and overdraft</v>
      </c>
    </row>
    <row r="4033" ht="14.25" customHeight="1">
      <c r="A4033" s="1">
        <v>100.0</v>
      </c>
      <c r="B4033" s="1" t="s">
        <v>1691</v>
      </c>
      <c r="C4033" s="1">
        <v>10.0</v>
      </c>
      <c r="D4033" s="1" t="s">
        <v>9</v>
      </c>
      <c r="E4033" s="1" t="str">
        <f>IFERROR(__xludf.DUMMYFUNCTION("GOOGLETRANSLATE(D4033,""PT"",""EN"")"),"10")</f>
        <v>10</v>
      </c>
    </row>
    <row r="4034" ht="14.25" customHeight="1">
      <c r="A4034" s="1">
        <v>100.0</v>
      </c>
      <c r="B4034" s="1" t="s">
        <v>1691</v>
      </c>
      <c r="C4034" s="1">
        <v>10.0</v>
      </c>
      <c r="D4034" s="1" t="s">
        <v>6</v>
      </c>
      <c r="E4034" s="1"/>
    </row>
    <row r="4035" ht="14.25" customHeight="1">
      <c r="A4035" s="1">
        <v>100.0</v>
      </c>
      <c r="B4035" s="1" t="s">
        <v>1691</v>
      </c>
      <c r="C4035" s="1">
        <v>10.0</v>
      </c>
      <c r="D4035" s="1" t="s">
        <v>6</v>
      </c>
      <c r="E4035" s="1"/>
    </row>
    <row r="4036" ht="14.25" customHeight="1">
      <c r="A4036" s="1">
        <v>100.0</v>
      </c>
      <c r="B4036" s="1" t="s">
        <v>1691</v>
      </c>
      <c r="C4036" s="1">
        <v>9.0</v>
      </c>
      <c r="D4036" s="1" t="s">
        <v>6</v>
      </c>
      <c r="E4036" s="1"/>
    </row>
    <row r="4037" ht="14.25" customHeight="1">
      <c r="A4037" s="1">
        <v>100.0</v>
      </c>
      <c r="B4037" s="1" t="s">
        <v>1691</v>
      </c>
      <c r="C4037" s="1">
        <v>10.0</v>
      </c>
      <c r="D4037" s="1" t="s">
        <v>6</v>
      </c>
      <c r="E4037" s="1"/>
    </row>
    <row r="4038" ht="14.25" customHeight="1">
      <c r="A4038" s="1">
        <v>100.0</v>
      </c>
      <c r="B4038" s="1" t="s">
        <v>1691</v>
      </c>
      <c r="C4038" s="1">
        <v>10.0</v>
      </c>
      <c r="D4038" s="1" t="s">
        <v>6</v>
      </c>
      <c r="E4038" s="1"/>
    </row>
    <row r="4039" ht="14.25" customHeight="1">
      <c r="A4039" s="1">
        <v>100.0</v>
      </c>
      <c r="B4039" s="1" t="s">
        <v>1691</v>
      </c>
      <c r="C4039" s="1">
        <v>10.0</v>
      </c>
      <c r="D4039" s="1" t="s">
        <v>1790</v>
      </c>
      <c r="E4039" s="1" t="str">
        <f>IFERROR(__xludf.DUMMYFUNCTION("GOOGLETRANSLATE(D4039,""PT"",""EN"")"),"Rates")</f>
        <v>Rates</v>
      </c>
    </row>
    <row r="4040" ht="14.25" customHeight="1">
      <c r="A4040" s="1">
        <v>100.0</v>
      </c>
      <c r="B4040" s="1" t="s">
        <v>1691</v>
      </c>
      <c r="C4040" s="1">
        <v>10.0</v>
      </c>
      <c r="D4040" s="1" t="s">
        <v>6</v>
      </c>
      <c r="E4040" s="1"/>
    </row>
    <row r="4041" ht="14.25" customHeight="1">
      <c r="A4041" s="1">
        <v>100.0</v>
      </c>
      <c r="B4041" s="1" t="s">
        <v>1691</v>
      </c>
      <c r="C4041" s="1">
        <v>9.0</v>
      </c>
      <c r="D4041" s="2" t="s">
        <v>1791</v>
      </c>
      <c r="E4041" s="1" t="str">
        <f>IFERROR(__xludf.DUMMYFUNCTION("GOOGLETRANSLATE(D4041,""PT"",""EN"")"),"Farme charging larger than conventional banks is reduced ATMs or exorbitant withdrawal rates")</f>
        <v>Farme charging larger than conventional banks is reduced ATMs or exorbitant withdrawal rates</v>
      </c>
    </row>
    <row r="4042" ht="14.25" customHeight="1">
      <c r="A4042" s="1">
        <v>100.0</v>
      </c>
      <c r="B4042" s="1" t="s">
        <v>1691</v>
      </c>
      <c r="C4042" s="1">
        <v>10.0</v>
      </c>
      <c r="D4042" s="1" t="s">
        <v>6</v>
      </c>
      <c r="E4042" s="1"/>
    </row>
    <row r="4043" ht="14.25" customHeight="1">
      <c r="A4043" s="1">
        <v>100.0</v>
      </c>
      <c r="B4043" s="1" t="s">
        <v>1691</v>
      </c>
      <c r="C4043" s="1">
        <v>10.0</v>
      </c>
      <c r="D4043" s="1" t="s">
        <v>6</v>
      </c>
      <c r="E4043" s="1"/>
    </row>
    <row r="4044" ht="14.25" customHeight="1">
      <c r="A4044" s="1">
        <v>33.0</v>
      </c>
      <c r="B4044" s="1" t="s">
        <v>1691</v>
      </c>
      <c r="C4044" s="1">
        <v>0.0</v>
      </c>
      <c r="D4044" s="2" t="s">
        <v>1792</v>
      </c>
      <c r="E4044" s="1" t="str">
        <f>IFERROR(__xludf.DUMMYFUNCTION("GOOGLETRANSLATE(D4044,""PT"",""EN"")"),"I have no advantage in being a customer. I was never sought by the manager, Sicoob was never interested in my account.")</f>
        <v>I have no advantage in being a customer. I was never sought by the manager, Sicoob was never interested in my account.</v>
      </c>
    </row>
    <row r="4045" ht="14.25" customHeight="1">
      <c r="A4045" s="1">
        <v>100.0</v>
      </c>
      <c r="B4045" s="1" t="s">
        <v>1691</v>
      </c>
      <c r="C4045" s="1">
        <v>10.0</v>
      </c>
      <c r="D4045" s="2" t="s">
        <v>1793</v>
      </c>
      <c r="E4045" s="1" t="str">
        <f>IFERROR(__xludf.DUMMYFUNCTION("GOOGLETRANSLATE(D4045,""PT"",""EN"")"),"Due to the service of the whole team, it is the good relationship we maintain in the commercial treatment, as well as in the positive answers we get for the growth of our business.")</f>
        <v>Due to the service of the whole team, it is the good relationship we maintain in the commercial treatment, as well as in the positive answers we get for the growth of our business.</v>
      </c>
    </row>
    <row r="4046" ht="14.25" customHeight="1">
      <c r="A4046" s="1">
        <v>100.0</v>
      </c>
      <c r="B4046" s="1" t="s">
        <v>1691</v>
      </c>
      <c r="C4046" s="1">
        <v>10.0</v>
      </c>
      <c r="D4046" s="2" t="s">
        <v>1794</v>
      </c>
      <c r="E4046" s="1" t="str">
        <f>IFERROR(__xludf.DUMMYFUNCTION("GOOGLETRANSLATE(D4046,""PT"",""EN"")"),"I am associated for over 20 years, I am an advice advisor of my cooperative, as such, all my financial movement is made in the cooperative.")</f>
        <v>I am associated for over 20 years, I am an advice advisor of my cooperative, as such, all my financial movement is made in the cooperative.</v>
      </c>
    </row>
    <row r="4047" ht="14.25" customHeight="1">
      <c r="A4047" s="1">
        <v>33.0</v>
      </c>
      <c r="B4047" s="1" t="s">
        <v>1691</v>
      </c>
      <c r="C4047" s="1">
        <v>4.0</v>
      </c>
      <c r="D4047" s="1" t="s">
        <v>6</v>
      </c>
      <c r="E4047" s="1"/>
    </row>
    <row r="4048" ht="14.25" customHeight="1">
      <c r="A4048" s="1">
        <v>100.0</v>
      </c>
      <c r="B4048" s="1" t="s">
        <v>1691</v>
      </c>
      <c r="C4048" s="1">
        <v>10.0</v>
      </c>
      <c r="D4048" s="1" t="s">
        <v>6</v>
      </c>
      <c r="E4048" s="1"/>
    </row>
    <row r="4049" ht="14.25" customHeight="1">
      <c r="A4049" s="1">
        <v>100.0</v>
      </c>
      <c r="B4049" s="1" t="s">
        <v>1691</v>
      </c>
      <c r="C4049" s="1">
        <v>10.0</v>
      </c>
      <c r="D4049" s="1" t="s">
        <v>6</v>
      </c>
      <c r="E4049" s="1"/>
    </row>
    <row r="4050" ht="14.25" customHeight="1">
      <c r="A4050" s="1">
        <v>33.0</v>
      </c>
      <c r="B4050" s="1" t="s">
        <v>1691</v>
      </c>
      <c r="C4050" s="1">
        <v>5.0</v>
      </c>
      <c r="D4050" s="2" t="s">
        <v>1795</v>
      </c>
      <c r="E4050" s="1" t="str">
        <f>IFERROR(__xludf.DUMMYFUNCTION("GOOGLETRANSLATE(D4050,""PT"",""EN"")"),"I had a hard time raising my capital on the way of Sicoob. The manager of my unit (Goiânia, Marist sector), called Fernanda Rocha, was not at all helpful and collaborative. I had to fight hard to make this survey. Who helped me was Valeria, always very po"&amp;"lite and kind.")</f>
        <v>I had a hard time raising my capital on the way of Sicoob. The manager of my unit (Goiânia, Marist sector), called Fernanda Rocha, was not at all helpful and collaborative. I had to fight hard to make this survey. Who helped me was Valeria, always very polite and kind.</v>
      </c>
    </row>
    <row r="4051" ht="14.25" customHeight="1">
      <c r="A4051" s="1">
        <v>33.0</v>
      </c>
      <c r="B4051" s="1" t="s">
        <v>1691</v>
      </c>
      <c r="C4051" s="1">
        <v>0.0</v>
      </c>
      <c r="D4051" s="2" t="s">
        <v>1796</v>
      </c>
      <c r="E4051" s="1" t="str">
        <f>IFERROR(__xludf.DUMMYFUNCTION("GOOGLETRANSLATE(D4051,""PT"",""EN"")"),"Everything very difficult with you guys, think we are all naughty, suspect customers")</f>
        <v>Everything very difficult with you guys, think we are all naughty, suspect customers</v>
      </c>
    </row>
    <row r="4052" ht="14.25" customHeight="1">
      <c r="A4052" s="1">
        <v>100.0</v>
      </c>
      <c r="B4052" s="1" t="s">
        <v>1691</v>
      </c>
      <c r="C4052" s="1">
        <v>10.0</v>
      </c>
      <c r="D4052" s="1" t="s">
        <v>6</v>
      </c>
      <c r="E4052" s="1"/>
    </row>
    <row r="4053" ht="14.25" customHeight="1">
      <c r="A4053" s="1">
        <v>66.0</v>
      </c>
      <c r="B4053" s="1" t="s">
        <v>1691</v>
      </c>
      <c r="C4053" s="1">
        <v>8.0</v>
      </c>
      <c r="D4053" s="1" t="s">
        <v>6</v>
      </c>
      <c r="E4053" s="1"/>
    </row>
    <row r="4054" ht="14.25" customHeight="1">
      <c r="A4054" s="1">
        <v>100.0</v>
      </c>
      <c r="B4054" s="1" t="s">
        <v>1691</v>
      </c>
      <c r="C4054" s="1">
        <v>10.0</v>
      </c>
      <c r="D4054" s="1" t="s">
        <v>22</v>
      </c>
      <c r="E4054" s="1" t="str">
        <f>IFERROR(__xludf.DUMMYFUNCTION("GOOGLETRANSLATE(D4054,""PT"",""EN"")"),"Excellent service")</f>
        <v>Excellent service</v>
      </c>
    </row>
    <row r="4055" ht="14.25" customHeight="1">
      <c r="A4055" s="1">
        <v>100.0</v>
      </c>
      <c r="B4055" s="1" t="s">
        <v>1691</v>
      </c>
      <c r="C4055" s="1">
        <v>10.0</v>
      </c>
      <c r="D4055" s="1" t="s">
        <v>352</v>
      </c>
      <c r="E4055" s="1" t="str">
        <f>IFERROR(__xludf.DUMMYFUNCTION("GOOGLETRANSLATE(D4055,""PT"",""EN"")"),"Top")</f>
        <v>Top</v>
      </c>
    </row>
    <row r="4056" ht="14.25" customHeight="1">
      <c r="A4056" s="1">
        <v>33.0</v>
      </c>
      <c r="B4056" s="1" t="s">
        <v>1691</v>
      </c>
      <c r="C4056" s="1">
        <v>0.0</v>
      </c>
      <c r="D4056" s="2" t="s">
        <v>1797</v>
      </c>
      <c r="E4056" s="1" t="str">
        <f>IFERROR(__xludf.DUMMYFUNCTION("GOOGLETRANSLATE(D4056,""PT"",""EN"")"),"Bad service, never received my integration, card collection even without valid card. General experience for pessima.")</f>
        <v>Bad service, never received my integration, card collection even without valid card. General experience for pessima.</v>
      </c>
    </row>
    <row r="4057" ht="14.25" customHeight="1">
      <c r="A4057" s="1">
        <v>100.0</v>
      </c>
      <c r="B4057" s="1" t="s">
        <v>1691</v>
      </c>
      <c r="C4057" s="1">
        <v>10.0</v>
      </c>
      <c r="D4057" s="1" t="s">
        <v>85</v>
      </c>
      <c r="E4057" s="1" t="str">
        <f>IFERROR(__xludf.DUMMYFUNCTION("GOOGLETRANSLATE(D4057,""PT"",""EN"")"),"Service")</f>
        <v>Service</v>
      </c>
    </row>
    <row r="4058" ht="14.25" customHeight="1">
      <c r="A4058" s="1">
        <v>100.0</v>
      </c>
      <c r="B4058" s="1" t="s">
        <v>1691</v>
      </c>
      <c r="C4058" s="1">
        <v>9.0</v>
      </c>
      <c r="D4058" s="1" t="s">
        <v>6</v>
      </c>
      <c r="E4058" s="1"/>
    </row>
    <row r="4059" ht="14.25" customHeight="1">
      <c r="A4059" s="1">
        <v>100.0</v>
      </c>
      <c r="B4059" s="1" t="s">
        <v>1691</v>
      </c>
      <c r="C4059" s="1">
        <v>9.0</v>
      </c>
      <c r="D4059" s="1" t="s">
        <v>6</v>
      </c>
      <c r="E4059" s="1"/>
    </row>
    <row r="4060" ht="14.25" customHeight="1">
      <c r="A4060" s="1">
        <v>33.0</v>
      </c>
      <c r="B4060" s="1" t="s">
        <v>1691</v>
      </c>
      <c r="C4060" s="1">
        <v>0.0</v>
      </c>
      <c r="D4060" s="1" t="s">
        <v>85</v>
      </c>
      <c r="E4060" s="1" t="str">
        <f>IFERROR(__xludf.DUMMYFUNCTION("GOOGLETRANSLATE(D4060,""PT"",""EN"")"),"Service")</f>
        <v>Service</v>
      </c>
    </row>
    <row r="4061" ht="14.25" customHeight="1">
      <c r="A4061" s="1">
        <v>100.0</v>
      </c>
      <c r="B4061" s="1" t="s">
        <v>1691</v>
      </c>
      <c r="C4061" s="1">
        <v>9.0</v>
      </c>
      <c r="D4061" s="2" t="s">
        <v>1798</v>
      </c>
      <c r="E4061" s="1" t="str">
        <f>IFERROR(__xludf.DUMMYFUNCTION("GOOGLETRANSLATE(D4061,""PT"",""EN"")"),"My reason is transparency agility is a very good bank 👍")</f>
        <v>My reason is transparency agility is a very good bank 👍</v>
      </c>
    </row>
    <row r="4062" ht="14.25" customHeight="1">
      <c r="A4062" s="1">
        <v>100.0</v>
      </c>
      <c r="B4062" s="1" t="s">
        <v>1691</v>
      </c>
      <c r="C4062" s="1">
        <v>10.0</v>
      </c>
      <c r="D4062" s="1" t="s">
        <v>1799</v>
      </c>
      <c r="E4062" s="1" t="str">
        <f>IFERROR(__xludf.DUMMYFUNCTION("GOOGLETRANSLATE(D4062,""PT"",""EN"")"),"Good work system, simplifies the relationship with the cooperative")</f>
        <v>Good work system, simplifies the relationship with the cooperative</v>
      </c>
    </row>
    <row r="4063" ht="14.25" customHeight="1">
      <c r="A4063" s="1">
        <v>100.0</v>
      </c>
      <c r="B4063" s="1" t="s">
        <v>1691</v>
      </c>
      <c r="C4063" s="1">
        <v>10.0</v>
      </c>
      <c r="D4063" s="1" t="s">
        <v>6</v>
      </c>
      <c r="E4063" s="1"/>
    </row>
    <row r="4064" ht="14.25" customHeight="1">
      <c r="A4064" s="1">
        <v>100.0</v>
      </c>
      <c r="B4064" s="1" t="s">
        <v>1691</v>
      </c>
      <c r="C4064" s="1">
        <v>9.0</v>
      </c>
      <c r="D4064" s="1" t="s">
        <v>6</v>
      </c>
      <c r="E4064" s="1"/>
    </row>
    <row r="4065" ht="14.25" customHeight="1">
      <c r="A4065" s="1">
        <v>66.0</v>
      </c>
      <c r="B4065" s="1" t="s">
        <v>1691</v>
      </c>
      <c r="C4065" s="1">
        <v>7.0</v>
      </c>
      <c r="D4065" s="1" t="s">
        <v>1800</v>
      </c>
      <c r="E4065" s="1" t="str">
        <f>IFERROR(__xludf.DUMMYFUNCTION("GOOGLETRANSLATE(D4065,""PT"",""EN"")"),"Cool")</f>
        <v>Cool</v>
      </c>
    </row>
    <row r="4066" ht="14.25" customHeight="1">
      <c r="A4066" s="1">
        <v>100.0</v>
      </c>
      <c r="B4066" s="1" t="s">
        <v>1691</v>
      </c>
      <c r="C4066" s="1">
        <v>9.0</v>
      </c>
      <c r="D4066" s="1" t="s">
        <v>6</v>
      </c>
      <c r="E4066" s="1"/>
    </row>
    <row r="4067" ht="14.25" customHeight="1">
      <c r="A4067" s="1">
        <v>33.0</v>
      </c>
      <c r="B4067" s="1" t="s">
        <v>1691</v>
      </c>
      <c r="C4067" s="1">
        <v>3.0</v>
      </c>
      <c r="D4067" s="2" t="s">
        <v>1801</v>
      </c>
      <c r="E4067" s="1" t="str">
        <f>IFERROR(__xludf.DUMMYFUNCTION("GOOGLETRANSLATE(D4067,""PT"",""EN"")"),"I don't know why but they cut my credit a lot, if I'm not able to have it, it was better or release. Obgdo")</f>
        <v>I don't know why but they cut my credit a lot, if I'm not able to have it, it was better or release. Obgdo</v>
      </c>
    </row>
    <row r="4068" ht="14.25" customHeight="1">
      <c r="A4068" s="1">
        <v>100.0</v>
      </c>
      <c r="B4068" s="1" t="s">
        <v>1691</v>
      </c>
      <c r="C4068" s="1">
        <v>10.0</v>
      </c>
      <c r="D4068" s="1" t="s">
        <v>6</v>
      </c>
      <c r="E4068" s="1"/>
    </row>
    <row r="4069" ht="14.25" customHeight="1">
      <c r="A4069" s="1">
        <v>66.0</v>
      </c>
      <c r="B4069" s="1" t="s">
        <v>1691</v>
      </c>
      <c r="C4069" s="1">
        <v>7.0</v>
      </c>
      <c r="D4069" s="1" t="s">
        <v>6</v>
      </c>
      <c r="E4069" s="1"/>
    </row>
    <row r="4070" ht="14.25" customHeight="1">
      <c r="A4070" s="1">
        <v>100.0</v>
      </c>
      <c r="B4070" s="1" t="s">
        <v>1691</v>
      </c>
      <c r="C4070" s="1">
        <v>10.0</v>
      </c>
      <c r="D4070" s="2" t="s">
        <v>1802</v>
      </c>
      <c r="E4070" s="1" t="str">
        <f>IFERROR(__xludf.DUMMYFUNCTION("GOOGLETRANSLATE(D4070,""PT"",""EN"")"),"Very good service of employees and managers.")</f>
        <v>Very good service of employees and managers.</v>
      </c>
    </row>
    <row r="4071" ht="14.25" customHeight="1">
      <c r="A4071" s="1">
        <v>100.0</v>
      </c>
      <c r="B4071" s="1" t="s">
        <v>1691</v>
      </c>
      <c r="C4071" s="1">
        <v>10.0</v>
      </c>
      <c r="D4071" s="1" t="s">
        <v>1803</v>
      </c>
      <c r="E4071" s="1" t="str">
        <f>IFERROR(__xludf.DUMMYFUNCTION("GOOGLETRANSLATE(D4071,""PT"",""EN"")"),"Being cooperative at 23 years, as it says in Brazil I was stung by the cooperativism animal.")</f>
        <v>Being cooperative at 23 years, as it says in Brazil I was stung by the cooperativism animal.</v>
      </c>
    </row>
    <row r="4072" ht="14.25" customHeight="1">
      <c r="A4072" s="1">
        <v>66.0</v>
      </c>
      <c r="B4072" s="1" t="s">
        <v>1691</v>
      </c>
      <c r="C4072" s="1">
        <v>8.0</v>
      </c>
      <c r="D4072" s="2" t="s">
        <v>1804</v>
      </c>
      <c r="E4072" s="1" t="str">
        <f>IFERROR(__xludf.DUMMYFUNCTION("GOOGLETRANSLATE(D4072,""PT"",""EN"")"),"easy access")</f>
        <v>easy access</v>
      </c>
    </row>
    <row r="4073" ht="14.25" customHeight="1">
      <c r="A4073" s="1">
        <v>100.0</v>
      </c>
      <c r="B4073" s="1" t="s">
        <v>1691</v>
      </c>
      <c r="C4073" s="1">
        <v>10.0</v>
      </c>
      <c r="D4073" s="1" t="s">
        <v>85</v>
      </c>
      <c r="E4073" s="1" t="str">
        <f>IFERROR(__xludf.DUMMYFUNCTION("GOOGLETRANSLATE(D4073,""PT"",""EN"")"),"Service")</f>
        <v>Service</v>
      </c>
    </row>
    <row r="4074" ht="14.25" customHeight="1">
      <c r="A4074" s="1">
        <v>33.0</v>
      </c>
      <c r="B4074" s="1" t="s">
        <v>1691</v>
      </c>
      <c r="C4074" s="1">
        <v>0.0</v>
      </c>
      <c r="D4074" s="1" t="s">
        <v>6</v>
      </c>
      <c r="E4074" s="1"/>
    </row>
    <row r="4075" ht="14.25" customHeight="1">
      <c r="A4075" s="1">
        <v>100.0</v>
      </c>
      <c r="B4075" s="1" t="s">
        <v>1691</v>
      </c>
      <c r="C4075" s="1">
        <v>10.0</v>
      </c>
      <c r="D4075" s="1" t="s">
        <v>1805</v>
      </c>
      <c r="E4075" s="1" t="str">
        <f>IFERROR(__xludf.DUMMYFUNCTION("GOOGLETRANSLATE(D4075,""PT"",""EN"")"),"Here, I'm part.")</f>
        <v>Here, I'm part.</v>
      </c>
    </row>
    <row r="4076" ht="14.25" customHeight="1">
      <c r="A4076" s="1">
        <v>33.0</v>
      </c>
      <c r="B4076" s="1" t="s">
        <v>1691</v>
      </c>
      <c r="C4076" s="1">
        <v>3.0</v>
      </c>
      <c r="D4076" s="2" t="s">
        <v>1806</v>
      </c>
      <c r="E4076" s="1" t="str">
        <f>IFERROR(__xludf.DUMMYFUNCTION("GOOGLETRANSLATE(D4076,""PT"",""EN"")"),"Worsened information from the extract applications, not doing pronamp")</f>
        <v>Worsened information from the extract applications, not doing pronamp</v>
      </c>
    </row>
    <row r="4077" ht="14.25" customHeight="1">
      <c r="A4077" s="1">
        <v>33.0</v>
      </c>
      <c r="B4077" s="1" t="s">
        <v>1691</v>
      </c>
      <c r="C4077" s="1">
        <v>0.0</v>
      </c>
      <c r="D4077" s="2" t="s">
        <v>1807</v>
      </c>
      <c r="E4077" s="1" t="str">
        <f>IFERROR(__xludf.DUMMYFUNCTION("GOOGLETRANSLATE(D4077,""PT"",""EN"")"),"Simply sold me something is then I found out that it was another")</f>
        <v>Simply sold me something is then I found out that it was another</v>
      </c>
    </row>
    <row r="4078" ht="14.25" customHeight="1">
      <c r="A4078" s="1">
        <v>33.0</v>
      </c>
      <c r="B4078" s="1" t="s">
        <v>1691</v>
      </c>
      <c r="C4078" s="1">
        <v>4.0</v>
      </c>
      <c r="D4078" s="1" t="s">
        <v>1808</v>
      </c>
      <c r="E4078" s="1" t="str">
        <f>IFERROR(__xludf.DUMMYFUNCTION("GOOGLETRANSLATE(D4078,""PT"",""EN"")"),"Relationship manager")</f>
        <v>Relationship manager</v>
      </c>
    </row>
    <row r="4079" ht="14.25" customHeight="1">
      <c r="A4079" s="1">
        <v>33.0</v>
      </c>
      <c r="B4079" s="1" t="s">
        <v>1691</v>
      </c>
      <c r="C4079" s="1">
        <v>0.0</v>
      </c>
      <c r="D4079" s="2" t="s">
        <v>1809</v>
      </c>
      <c r="E4079" s="1" t="str">
        <f>IFERROR(__xludf.DUMMYFUNCTION("GOOGLETRANSLATE(D4079,""PT"",""EN"")"),"Pessimal service on the part of management, no attempt to solve the problems, unless, realizing that you don't have much money, tell you to cancel the account.")</f>
        <v>Pessimal service on the part of management, no attempt to solve the problems, unless, realizing that you don't have much money, tell you to cancel the account.</v>
      </c>
    </row>
    <row r="4080" ht="14.25" customHeight="1">
      <c r="A4080" s="1">
        <v>100.0</v>
      </c>
      <c r="B4080" s="1" t="s">
        <v>1691</v>
      </c>
      <c r="C4080" s="1">
        <v>10.0</v>
      </c>
      <c r="D4080" s="1" t="s">
        <v>6</v>
      </c>
      <c r="E4080" s="1"/>
    </row>
    <row r="4081" ht="14.25" customHeight="1">
      <c r="A4081" s="1">
        <v>100.0</v>
      </c>
      <c r="B4081" s="1" t="s">
        <v>1691</v>
      </c>
      <c r="C4081" s="1">
        <v>10.0</v>
      </c>
      <c r="D4081" s="1" t="s">
        <v>6</v>
      </c>
      <c r="E4081" s="1"/>
    </row>
    <row r="4082" ht="14.25" customHeight="1">
      <c r="A4082" s="1">
        <v>100.0</v>
      </c>
      <c r="B4082" s="1" t="s">
        <v>1691</v>
      </c>
      <c r="C4082" s="1">
        <v>10.0</v>
      </c>
      <c r="D4082" s="1" t="s">
        <v>85</v>
      </c>
      <c r="E4082" s="1" t="str">
        <f>IFERROR(__xludf.DUMMYFUNCTION("GOOGLETRANSLATE(D4082,""PT"",""EN"")"),"Service")</f>
        <v>Service</v>
      </c>
    </row>
    <row r="4083" ht="14.25" customHeight="1">
      <c r="A4083" s="1">
        <v>100.0</v>
      </c>
      <c r="B4083" s="1" t="s">
        <v>1691</v>
      </c>
      <c r="C4083" s="1">
        <v>10.0</v>
      </c>
      <c r="D4083" s="1" t="s">
        <v>1810</v>
      </c>
      <c r="E4083" s="1" t="str">
        <f>IFERROR(__xludf.DUMMYFUNCTION("GOOGLETRANSLATE(D4083,""PT"",""EN"")"),"Good excellent")</f>
        <v>Good excellent</v>
      </c>
    </row>
    <row r="4084" ht="14.25" customHeight="1">
      <c r="A4084" s="1">
        <v>66.0</v>
      </c>
      <c r="B4084" s="1" t="s">
        <v>1691</v>
      </c>
      <c r="C4084" s="1">
        <v>7.0</v>
      </c>
      <c r="D4084" s="2" t="s">
        <v>1811</v>
      </c>
      <c r="E4084" s="1" t="str">
        <f>IFERROR(__xludf.DUMMYFUNCTION("GOOGLETRANSLATE(D4084,""PT"",""EN"")"),"It's almost there")</f>
        <v>It's almost there</v>
      </c>
    </row>
    <row r="4085" ht="14.25" customHeight="1">
      <c r="A4085" s="1">
        <v>100.0</v>
      </c>
      <c r="B4085" s="1" t="s">
        <v>1691</v>
      </c>
      <c r="C4085" s="1">
        <v>9.0</v>
      </c>
      <c r="D4085" s="1" t="s">
        <v>6</v>
      </c>
      <c r="E4085" s="1"/>
    </row>
    <row r="4086" ht="14.25" customHeight="1">
      <c r="A4086" s="1">
        <v>33.0</v>
      </c>
      <c r="B4086" s="1" t="s">
        <v>1691</v>
      </c>
      <c r="C4086" s="1">
        <v>2.0</v>
      </c>
      <c r="D4086" s="1" t="s">
        <v>6</v>
      </c>
      <c r="E4086" s="1"/>
    </row>
    <row r="4087" ht="14.25" customHeight="1">
      <c r="A4087" s="1">
        <v>100.0</v>
      </c>
      <c r="B4087" s="1" t="s">
        <v>1691</v>
      </c>
      <c r="C4087" s="1">
        <v>9.0</v>
      </c>
      <c r="D4087" s="1" t="s">
        <v>1812</v>
      </c>
      <c r="E4087" s="1" t="str">
        <f>IFERROR(__xludf.DUMMYFUNCTION("GOOGLETRANSLATE(D4087,""PT"",""EN"")"),"Facilities")</f>
        <v>Facilities</v>
      </c>
    </row>
    <row r="4088" ht="14.25" customHeight="1">
      <c r="A4088" s="1">
        <v>100.0</v>
      </c>
      <c r="B4088" s="1" t="s">
        <v>1691</v>
      </c>
      <c r="C4088" s="1">
        <v>10.0</v>
      </c>
      <c r="D4088" s="1" t="s">
        <v>1813</v>
      </c>
      <c r="E4088" s="1" t="str">
        <f>IFERROR(__xludf.DUMMYFUNCTION("GOOGLETRANSLATE(D4088,""PT"",""EN"")"),"Because in practice it is a private bank of yours.")</f>
        <v>Because in practice it is a private bank of yours.</v>
      </c>
    </row>
    <row r="4089" ht="14.25" customHeight="1">
      <c r="A4089" s="1">
        <v>100.0</v>
      </c>
      <c r="B4089" s="1" t="s">
        <v>1691</v>
      </c>
      <c r="C4089" s="1">
        <v>10.0</v>
      </c>
      <c r="D4089" s="1" t="s">
        <v>6</v>
      </c>
      <c r="E4089" s="1"/>
    </row>
    <row r="4090" ht="14.25" customHeight="1">
      <c r="A4090" s="1">
        <v>33.0</v>
      </c>
      <c r="B4090" s="1" t="s">
        <v>1691</v>
      </c>
      <c r="C4090" s="1">
        <v>5.0</v>
      </c>
      <c r="D4090" s="2" t="s">
        <v>1814</v>
      </c>
      <c r="E4090" s="1" t="str">
        <f>IFERROR(__xludf.DUMMYFUNCTION("GOOGLETRANSLATE(D4090,""PT"",""EN"")"),"Difficulty for credit. No feedback from requests")</f>
        <v>Difficulty for credit. No feedback from requests</v>
      </c>
    </row>
    <row r="4091" ht="14.25" customHeight="1">
      <c r="A4091" s="1">
        <v>100.0</v>
      </c>
      <c r="B4091" s="1" t="s">
        <v>1691</v>
      </c>
      <c r="C4091" s="1">
        <v>10.0</v>
      </c>
      <c r="D4091" s="1" t="s">
        <v>1815</v>
      </c>
      <c r="E4091" s="1" t="str">
        <f>IFERROR(__xludf.DUMMYFUNCTION("GOOGLETRANSLATE(D4091,""PT"",""EN"")"),"Great service from the relationship manager.")</f>
        <v>Great service from the relationship manager.</v>
      </c>
    </row>
    <row r="4092" ht="14.25" customHeight="1">
      <c r="A4092" s="1">
        <v>33.0</v>
      </c>
      <c r="B4092" s="1" t="s">
        <v>1691</v>
      </c>
      <c r="C4092" s="1">
        <v>4.0</v>
      </c>
      <c r="D4092" s="1" t="s">
        <v>6</v>
      </c>
      <c r="E4092" s="1"/>
    </row>
    <row r="4093" ht="14.25" customHeight="1">
      <c r="A4093" s="1">
        <v>100.0</v>
      </c>
      <c r="B4093" s="1" t="s">
        <v>1691</v>
      </c>
      <c r="C4093" s="1">
        <v>9.0</v>
      </c>
      <c r="D4093" s="1" t="s">
        <v>6</v>
      </c>
      <c r="E4093" s="1"/>
    </row>
    <row r="4094" ht="14.25" customHeight="1">
      <c r="A4094" s="1">
        <v>100.0</v>
      </c>
      <c r="B4094" s="1" t="s">
        <v>1691</v>
      </c>
      <c r="C4094" s="1">
        <v>10.0</v>
      </c>
      <c r="D4094" s="1" t="s">
        <v>6</v>
      </c>
      <c r="E4094" s="1"/>
    </row>
    <row r="4095" ht="14.25" customHeight="1">
      <c r="A4095" s="1">
        <v>66.0</v>
      </c>
      <c r="B4095" s="1" t="s">
        <v>1691</v>
      </c>
      <c r="C4095" s="1">
        <v>7.0</v>
      </c>
      <c r="D4095" s="1" t="s">
        <v>6</v>
      </c>
      <c r="E4095" s="1"/>
    </row>
    <row r="4096" ht="14.25" customHeight="1">
      <c r="A4096" s="1">
        <v>100.0</v>
      </c>
      <c r="B4096" s="1" t="s">
        <v>1691</v>
      </c>
      <c r="C4096" s="1">
        <v>10.0</v>
      </c>
      <c r="D4096" s="1" t="s">
        <v>6</v>
      </c>
      <c r="E4096" s="1"/>
    </row>
    <row r="4097" ht="14.25" customHeight="1">
      <c r="A4097" s="1">
        <v>66.0</v>
      </c>
      <c r="B4097" s="1" t="s">
        <v>1691</v>
      </c>
      <c r="C4097" s="1">
        <v>8.0</v>
      </c>
      <c r="D4097" s="1" t="s">
        <v>6</v>
      </c>
      <c r="E4097" s="1"/>
    </row>
    <row r="4098" ht="14.25" customHeight="1">
      <c r="A4098" s="1">
        <v>100.0</v>
      </c>
      <c r="B4098" s="1" t="s">
        <v>1691</v>
      </c>
      <c r="C4098" s="1">
        <v>10.0</v>
      </c>
      <c r="D4098" s="1" t="s">
        <v>6</v>
      </c>
      <c r="E4098" s="1"/>
    </row>
    <row r="4099" ht="14.25" customHeight="1">
      <c r="A4099" s="1">
        <v>33.0</v>
      </c>
      <c r="B4099" s="1" t="s">
        <v>1691</v>
      </c>
      <c r="C4099" s="1">
        <v>2.0</v>
      </c>
      <c r="D4099" s="1" t="s">
        <v>6</v>
      </c>
      <c r="E4099" s="1"/>
    </row>
    <row r="4100" ht="14.25" customHeight="1">
      <c r="A4100" s="1">
        <v>33.0</v>
      </c>
      <c r="B4100" s="1" t="s">
        <v>1691</v>
      </c>
      <c r="C4100" s="1">
        <v>0.0</v>
      </c>
      <c r="D4100" s="1" t="s">
        <v>1816</v>
      </c>
      <c r="E4100" s="1" t="str">
        <f>IFERROR(__xludf.DUMMYFUNCTION("GOOGLETRANSLATE(D4100,""PT"",""EN"")"),"Difficulty of negotiation")</f>
        <v>Difficulty of negotiation</v>
      </c>
    </row>
    <row r="4101" ht="14.25" customHeight="1">
      <c r="A4101" s="1">
        <v>100.0</v>
      </c>
      <c r="B4101" s="1" t="s">
        <v>1691</v>
      </c>
      <c r="C4101" s="1">
        <v>10.0</v>
      </c>
      <c r="D4101" s="1" t="s">
        <v>6</v>
      </c>
      <c r="E4101" s="1"/>
    </row>
    <row r="4102" ht="14.25" customHeight="1">
      <c r="A4102" s="1">
        <v>100.0</v>
      </c>
      <c r="B4102" s="1" t="s">
        <v>1691</v>
      </c>
      <c r="C4102" s="1">
        <v>10.0</v>
      </c>
      <c r="D4102" s="1" t="s">
        <v>6</v>
      </c>
      <c r="E4102" s="1"/>
    </row>
    <row r="4103" ht="14.25" customHeight="1">
      <c r="A4103" s="1">
        <v>33.0</v>
      </c>
      <c r="B4103" s="1" t="s">
        <v>1691</v>
      </c>
      <c r="C4103" s="1">
        <v>4.0</v>
      </c>
      <c r="D4103" s="1" t="s">
        <v>1817</v>
      </c>
      <c r="E4103" s="1" t="str">
        <f>IFERROR(__xludf.DUMMYFUNCTION("GOOGLETRANSLATE(D4103,""PT"",""EN"")"),"Care delay")</f>
        <v>Care delay</v>
      </c>
    </row>
    <row r="4104" ht="14.25" customHeight="1">
      <c r="A4104" s="1">
        <v>100.0</v>
      </c>
      <c r="B4104" s="1" t="s">
        <v>1691</v>
      </c>
      <c r="C4104" s="1">
        <v>10.0</v>
      </c>
      <c r="D4104" s="1" t="s">
        <v>6</v>
      </c>
      <c r="E4104" s="1"/>
    </row>
    <row r="4105" ht="14.25" customHeight="1">
      <c r="A4105" s="1">
        <v>100.0</v>
      </c>
      <c r="B4105" s="1" t="s">
        <v>1691</v>
      </c>
      <c r="C4105" s="1">
        <v>10.0</v>
      </c>
      <c r="D4105" s="1" t="s">
        <v>6</v>
      </c>
      <c r="E4105" s="1"/>
    </row>
    <row r="4106" ht="14.25" customHeight="1">
      <c r="A4106" s="1">
        <v>33.0</v>
      </c>
      <c r="B4106" s="1" t="s">
        <v>1691</v>
      </c>
      <c r="C4106" s="1">
        <v>0.0</v>
      </c>
      <c r="D4106" s="2" t="s">
        <v>1818</v>
      </c>
      <c r="E4106" s="1" t="str">
        <f>IFERROR(__xludf.DUMMYFUNCTION("GOOGLETRANSLATE(D4106,""PT"",""EN"")"),"Pessimal management. I combined a machine rate is when I received the machine were charging me another fee. They didn't notify me that it would be another rate after months using the machine that I realized that the rate was totally different.")</f>
        <v>Pessimal management. I combined a machine rate is when I received the machine were charging me another fee. They didn't notify me that it would be another rate after months using the machine that I realized that the rate was totally different.</v>
      </c>
    </row>
    <row r="4107" ht="14.25" customHeight="1">
      <c r="A4107" s="1">
        <v>33.0</v>
      </c>
      <c r="B4107" s="1" t="s">
        <v>1691</v>
      </c>
      <c r="C4107" s="1">
        <v>6.0</v>
      </c>
      <c r="D4107" s="2" t="s">
        <v>1819</v>
      </c>
      <c r="E4107" s="1" t="str">
        <f>IFERROR(__xludf.DUMMYFUNCTION("GOOGLETRANSLATE(D4107,""PT"",""EN"")"),"You guys didn't give me anything limit, it's Banco Inter is Nubank gave me!")</f>
        <v>You guys didn't give me anything limit, it's Banco Inter is Nubank gave me!</v>
      </c>
    </row>
    <row r="4108" ht="14.25" customHeight="1">
      <c r="A4108" s="1">
        <v>33.0</v>
      </c>
      <c r="B4108" s="1" t="s">
        <v>1691</v>
      </c>
      <c r="C4108" s="1">
        <v>0.0</v>
      </c>
      <c r="D4108" s="1" t="s">
        <v>6</v>
      </c>
      <c r="E4108" s="1"/>
    </row>
    <row r="4109" ht="14.25" customHeight="1">
      <c r="A4109" s="1">
        <v>100.0</v>
      </c>
      <c r="B4109" s="1" t="s">
        <v>1691</v>
      </c>
      <c r="C4109" s="1">
        <v>10.0</v>
      </c>
      <c r="D4109" s="1" t="s">
        <v>6</v>
      </c>
      <c r="E4109" s="1"/>
    </row>
    <row r="4110" ht="14.25" customHeight="1">
      <c r="A4110" s="1">
        <v>100.0</v>
      </c>
      <c r="B4110" s="1" t="s">
        <v>1691</v>
      </c>
      <c r="C4110" s="1">
        <v>10.0</v>
      </c>
      <c r="D4110" s="1" t="s">
        <v>1820</v>
      </c>
      <c r="E4110" s="1" t="str">
        <f>IFERROR(__xludf.DUMMYFUNCTION("GOOGLETRANSLATE(D4110,""PT"",""EN"")"),"very efficient")</f>
        <v>very efficient</v>
      </c>
    </row>
    <row r="4111" ht="14.25" customHeight="1">
      <c r="A4111" s="1">
        <v>33.0</v>
      </c>
      <c r="B4111" s="1" t="s">
        <v>1691</v>
      </c>
      <c r="C4111" s="1">
        <v>0.0</v>
      </c>
      <c r="D4111" s="1" t="s">
        <v>6</v>
      </c>
      <c r="E4111" s="1"/>
    </row>
    <row r="4112" ht="14.25" customHeight="1">
      <c r="A4112" s="1">
        <v>100.0</v>
      </c>
      <c r="B4112" s="1" t="s">
        <v>1691</v>
      </c>
      <c r="C4112" s="1">
        <v>9.0</v>
      </c>
      <c r="D4112" s="1" t="s">
        <v>6</v>
      </c>
      <c r="E4112" s="1"/>
    </row>
    <row r="4113" ht="14.25" customHeight="1">
      <c r="A4113" s="1">
        <v>100.0</v>
      </c>
      <c r="B4113" s="1" t="s">
        <v>1691</v>
      </c>
      <c r="C4113" s="1">
        <v>10.0</v>
      </c>
      <c r="D4113" s="1" t="s">
        <v>6</v>
      </c>
      <c r="E4113" s="1"/>
    </row>
    <row r="4114" ht="14.25" customHeight="1">
      <c r="A4114" s="1">
        <v>33.0</v>
      </c>
      <c r="B4114" s="1" t="s">
        <v>1691</v>
      </c>
      <c r="C4114" s="1">
        <v>0.0</v>
      </c>
      <c r="D4114" s="2" t="s">
        <v>1821</v>
      </c>
      <c r="E4114" s="1" t="str">
        <f>IFERROR(__xludf.DUMMYFUNCTION("GOOGLETRANSLATE(D4114,""PT"",""EN"")"),"Pessimal service, when I needed it did not help me")</f>
        <v>Pessimal service, when I needed it did not help me</v>
      </c>
    </row>
    <row r="4115" ht="14.25" customHeight="1">
      <c r="A4115" s="1">
        <v>66.0</v>
      </c>
      <c r="B4115" s="1" t="s">
        <v>1691</v>
      </c>
      <c r="C4115" s="1">
        <v>8.0</v>
      </c>
      <c r="D4115" s="1" t="s">
        <v>6</v>
      </c>
      <c r="E4115" s="1"/>
    </row>
    <row r="4116" ht="14.25" customHeight="1">
      <c r="A4116" s="1">
        <v>100.0</v>
      </c>
      <c r="B4116" s="1" t="s">
        <v>1691</v>
      </c>
      <c r="C4116" s="1">
        <v>10.0</v>
      </c>
      <c r="D4116" s="1" t="s">
        <v>6</v>
      </c>
      <c r="E4116" s="1"/>
    </row>
    <row r="4117" ht="14.25" customHeight="1">
      <c r="A4117" s="1">
        <v>33.0</v>
      </c>
      <c r="B4117" s="1" t="s">
        <v>1691</v>
      </c>
      <c r="C4117" s="1">
        <v>5.0</v>
      </c>
      <c r="D4117" s="1" t="s">
        <v>6</v>
      </c>
      <c r="E4117" s="1"/>
    </row>
    <row r="4118" ht="14.25" customHeight="1">
      <c r="A4118" s="1">
        <v>100.0</v>
      </c>
      <c r="B4118" s="1" t="s">
        <v>1691</v>
      </c>
      <c r="C4118" s="1">
        <v>9.0</v>
      </c>
      <c r="D4118" s="1" t="s">
        <v>6</v>
      </c>
      <c r="E4118" s="1"/>
    </row>
    <row r="4119" ht="14.25" customHeight="1">
      <c r="A4119" s="1">
        <v>100.0</v>
      </c>
      <c r="B4119" s="1" t="s">
        <v>1691</v>
      </c>
      <c r="C4119" s="1">
        <v>10.0</v>
      </c>
      <c r="D4119" s="1" t="s">
        <v>1822</v>
      </c>
      <c r="E4119" s="1" t="str">
        <f>IFERROR(__xludf.DUMMYFUNCTION("GOOGLETRANSLATE(D4119,""PT"",""EN"")"),"Good cooperative")</f>
        <v>Good cooperative</v>
      </c>
    </row>
    <row r="4120" ht="14.25" customHeight="1">
      <c r="A4120" s="1">
        <v>100.0</v>
      </c>
      <c r="B4120" s="1" t="s">
        <v>1691</v>
      </c>
      <c r="C4120" s="1">
        <v>10.0</v>
      </c>
      <c r="D4120" s="1" t="s">
        <v>6</v>
      </c>
      <c r="E4120" s="1"/>
    </row>
    <row r="4121" ht="14.25" customHeight="1">
      <c r="A4121" s="1">
        <v>100.0</v>
      </c>
      <c r="B4121" s="1" t="s">
        <v>1691</v>
      </c>
      <c r="C4121" s="1">
        <v>10.0</v>
      </c>
      <c r="D4121" s="1" t="s">
        <v>1823</v>
      </c>
      <c r="E4121" s="1" t="str">
        <f>IFERROR(__xludf.DUMMYFUNCTION("GOOGLETRANSLATE(D4121,""PT"",""EN"")"),"Solution")</f>
        <v>Solution</v>
      </c>
    </row>
    <row r="4122" ht="14.25" customHeight="1">
      <c r="A4122" s="1">
        <v>66.0</v>
      </c>
      <c r="B4122" s="1" t="s">
        <v>1691</v>
      </c>
      <c r="C4122" s="1">
        <v>8.0</v>
      </c>
      <c r="D4122" s="1" t="s">
        <v>6</v>
      </c>
      <c r="E4122" s="1"/>
    </row>
    <row r="4123" ht="14.25" customHeight="1">
      <c r="A4123" s="1">
        <v>33.0</v>
      </c>
      <c r="B4123" s="1" t="s">
        <v>1691</v>
      </c>
      <c r="C4123" s="1">
        <v>5.0</v>
      </c>
      <c r="D4123" s="1" t="s">
        <v>6</v>
      </c>
      <c r="E4123" s="1"/>
    </row>
    <row r="4124" ht="14.25" customHeight="1">
      <c r="A4124" s="1">
        <v>100.0</v>
      </c>
      <c r="B4124" s="1" t="s">
        <v>1691</v>
      </c>
      <c r="C4124" s="1">
        <v>10.0</v>
      </c>
      <c r="D4124" s="1" t="s">
        <v>1824</v>
      </c>
      <c r="E4124" s="1" t="str">
        <f>IFERROR(__xludf.DUMMYFUNCTION("GOOGLETRANSLATE(D4124,""PT"",""EN"")"),"The dynamics of service.")</f>
        <v>The dynamics of service.</v>
      </c>
    </row>
    <row r="4125" ht="14.25" customHeight="1">
      <c r="A4125" s="1">
        <v>66.0</v>
      </c>
      <c r="B4125" s="1" t="s">
        <v>1691</v>
      </c>
      <c r="C4125" s="1">
        <v>8.0</v>
      </c>
      <c r="D4125" s="1" t="s">
        <v>6</v>
      </c>
      <c r="E4125" s="1"/>
    </row>
    <row r="4126" ht="14.25" customHeight="1">
      <c r="A4126" s="1">
        <v>66.0</v>
      </c>
      <c r="B4126" s="1" t="s">
        <v>1691</v>
      </c>
      <c r="C4126" s="1">
        <v>8.0</v>
      </c>
      <c r="D4126" s="1" t="s">
        <v>1825</v>
      </c>
      <c r="E4126" s="1" t="str">
        <f>IFERROR(__xludf.DUMMYFUNCTION("GOOGLETRANSLATE(D4126,""PT"",""EN"")"),"The service is a little weak")</f>
        <v>The service is a little weak</v>
      </c>
    </row>
    <row r="4127" ht="14.25" customHeight="1">
      <c r="A4127" s="1">
        <v>33.0</v>
      </c>
      <c r="B4127" s="1" t="s">
        <v>1691</v>
      </c>
      <c r="C4127" s="1">
        <v>5.0</v>
      </c>
      <c r="D4127" s="1" t="s">
        <v>6</v>
      </c>
      <c r="E4127" s="1"/>
    </row>
    <row r="4128" ht="14.25" customHeight="1">
      <c r="A4128" s="1">
        <v>66.0</v>
      </c>
      <c r="B4128" s="1" t="s">
        <v>1826</v>
      </c>
      <c r="C4128" s="1">
        <v>8.0</v>
      </c>
      <c r="D4128" s="2" t="s">
        <v>1827</v>
      </c>
      <c r="E4128" s="1" t="str">
        <f>IFERROR(__xludf.DUMMYFUNCTION("GOOGLETRANSLATE(D4128,""PT"",""EN"")"),"Lack more release of credit")</f>
        <v>Lack more release of credit</v>
      </c>
    </row>
    <row r="4129" ht="14.25" customHeight="1">
      <c r="A4129" s="1">
        <v>33.0</v>
      </c>
      <c r="B4129" s="1" t="s">
        <v>1691</v>
      </c>
      <c r="C4129" s="1">
        <v>0.0</v>
      </c>
      <c r="D4129" s="2" t="s">
        <v>1828</v>
      </c>
      <c r="E4129" s="1" t="str">
        <f>IFERROR(__xludf.DUMMYFUNCTION("GOOGLETRANSLATE(D4129,""PT"",""EN"")"),"Agency exchange without warning, the employees changes, does not meet the needs")</f>
        <v>Agency exchange without warning, the employees changes, does not meet the needs</v>
      </c>
    </row>
    <row r="4130" ht="14.25" customHeight="1">
      <c r="A4130" s="1">
        <v>33.0</v>
      </c>
      <c r="B4130" s="1" t="s">
        <v>1826</v>
      </c>
      <c r="C4130" s="1">
        <v>0.0</v>
      </c>
      <c r="D4130" s="2" t="s">
        <v>1829</v>
      </c>
      <c r="E4130" s="1" t="str">
        <f>IFERROR(__xludf.DUMMYFUNCTION("GOOGLETRANSLATE(D4130,""PT"",""EN"")"),"Pessimo attended")</f>
        <v>Pessimo attended</v>
      </c>
    </row>
    <row r="4131" ht="14.25" customHeight="1">
      <c r="A4131" s="1">
        <v>100.0</v>
      </c>
      <c r="B4131" s="1" t="s">
        <v>1826</v>
      </c>
      <c r="C4131" s="1">
        <v>10.0</v>
      </c>
      <c r="D4131" s="2" t="s">
        <v>1830</v>
      </c>
      <c r="E4131" s="1" t="str">
        <f>IFERROR(__xludf.DUMMYFUNCTION("GOOGLETRANSLATE(D4131,""PT"",""EN"")"),"The credit line that Sicoob provides to its customers.")</f>
        <v>The credit line that Sicoob provides to its customers.</v>
      </c>
    </row>
    <row r="4132" ht="14.25" customHeight="1">
      <c r="A4132" s="1">
        <v>33.0</v>
      </c>
      <c r="B4132" s="1" t="s">
        <v>1826</v>
      </c>
      <c r="C4132" s="1">
        <v>3.0</v>
      </c>
      <c r="D4132" s="1" t="s">
        <v>6</v>
      </c>
      <c r="E4132" s="1"/>
    </row>
    <row r="4133" ht="14.25" customHeight="1">
      <c r="A4133" s="1">
        <v>100.0</v>
      </c>
      <c r="B4133" s="1" t="s">
        <v>1826</v>
      </c>
      <c r="C4133" s="1">
        <v>9.0</v>
      </c>
      <c r="D4133" s="2" t="s">
        <v>1831</v>
      </c>
      <c r="E4133" s="1" t="str">
        <f>IFERROR(__xludf.DUMMYFUNCTION("GOOGLETRANSLATE(D4133,""PT"",""EN"")"),"Great service and financial solutions.")</f>
        <v>Great service and financial solutions.</v>
      </c>
    </row>
    <row r="4134" ht="14.25" customHeight="1">
      <c r="A4134" s="1">
        <v>66.0</v>
      </c>
      <c r="B4134" s="1" t="s">
        <v>1826</v>
      </c>
      <c r="C4134" s="1">
        <v>8.0</v>
      </c>
      <c r="D4134" s="1" t="s">
        <v>6</v>
      </c>
      <c r="E4134" s="1"/>
    </row>
    <row r="4135" ht="14.25" customHeight="1">
      <c r="A4135" s="1">
        <v>100.0</v>
      </c>
      <c r="B4135" s="1" t="s">
        <v>1826</v>
      </c>
      <c r="C4135" s="1">
        <v>10.0</v>
      </c>
      <c r="D4135" s="1" t="s">
        <v>6</v>
      </c>
      <c r="E4135" s="1"/>
    </row>
    <row r="4136" ht="14.25" customHeight="1">
      <c r="A4136" s="1">
        <v>33.0</v>
      </c>
      <c r="B4136" s="1" t="s">
        <v>1826</v>
      </c>
      <c r="C4136" s="1">
        <v>5.0</v>
      </c>
      <c r="D4136" s="2" t="s">
        <v>1832</v>
      </c>
      <c r="E4136" s="1" t="str">
        <f>IFERROR(__xludf.DUMMYFUNCTION("GOOGLETRANSLATE(D4136,""PT"",""EN"")"),"It has been very bureaucratic is difficult to relationship. Quite different from what you see with the treatment given by BRB, to the GDF servers. I hope it gets better in the coming months, so that I keep keeping my account in this cooperative.")</f>
        <v>It has been very bureaucratic is difficult to relationship. Quite different from what you see with the treatment given by BRB, to the GDF servers. I hope it gets better in the coming months, so that I keep keeping my account in this cooperative.</v>
      </c>
    </row>
    <row r="4137" ht="14.25" customHeight="1">
      <c r="A4137" s="1">
        <v>66.0</v>
      </c>
      <c r="B4137" s="1" t="s">
        <v>1826</v>
      </c>
      <c r="C4137" s="1">
        <v>8.0</v>
      </c>
      <c r="D4137" s="2" t="s">
        <v>1833</v>
      </c>
      <c r="E4137" s="1" t="str">
        <f>IFERROR(__xludf.DUMMYFUNCTION("GOOGLETRANSLATE(D4137,""PT"",""EN"")"),"I found the credit offer very limited even after transferring the salary to the institution")</f>
        <v>I found the credit offer very limited even after transferring the salary to the institution</v>
      </c>
    </row>
    <row r="4138" ht="14.25" customHeight="1">
      <c r="A4138" s="1">
        <v>100.0</v>
      </c>
      <c r="B4138" s="1" t="s">
        <v>1826</v>
      </c>
      <c r="C4138" s="1">
        <v>10.0</v>
      </c>
      <c r="D4138" s="1" t="s">
        <v>1834</v>
      </c>
      <c r="E4138" s="1" t="str">
        <f>IFERROR(__xludf.DUMMYFUNCTION("GOOGLETRANSLATE(D4138,""PT"",""EN"")"),"Security...")</f>
        <v>Security...</v>
      </c>
    </row>
    <row r="4139" ht="14.25" customHeight="1">
      <c r="A4139" s="1">
        <v>100.0</v>
      </c>
      <c r="B4139" s="1" t="s">
        <v>1826</v>
      </c>
      <c r="C4139" s="1">
        <v>10.0</v>
      </c>
      <c r="D4139" s="1" t="s">
        <v>1835</v>
      </c>
      <c r="E4139" s="1" t="str">
        <f>IFERROR(__xludf.DUMMYFUNCTION("GOOGLETRANSLATE(D4139,""PT"",""EN"")"),"Customer Cordiality")</f>
        <v>Customer Cordiality</v>
      </c>
    </row>
    <row r="4140" ht="14.25" customHeight="1">
      <c r="A4140" s="1">
        <v>100.0</v>
      </c>
      <c r="B4140" s="1" t="s">
        <v>1826</v>
      </c>
      <c r="C4140" s="1">
        <v>10.0</v>
      </c>
      <c r="D4140" s="1" t="s">
        <v>6</v>
      </c>
      <c r="E4140" s="1"/>
    </row>
    <row r="4141" ht="14.25" customHeight="1">
      <c r="A4141" s="1">
        <v>66.0</v>
      </c>
      <c r="B4141" s="1" t="s">
        <v>1826</v>
      </c>
      <c r="C4141" s="1">
        <v>7.0</v>
      </c>
      <c r="D4141" s="1" t="s">
        <v>6</v>
      </c>
      <c r="E4141" s="1"/>
    </row>
    <row r="4142" ht="14.25" customHeight="1">
      <c r="A4142" s="1">
        <v>100.0</v>
      </c>
      <c r="B4142" s="1" t="s">
        <v>1826</v>
      </c>
      <c r="C4142" s="1">
        <v>10.0</v>
      </c>
      <c r="D4142" s="1" t="s">
        <v>6</v>
      </c>
      <c r="E4142" s="1"/>
    </row>
    <row r="4143" ht="14.25" customHeight="1">
      <c r="A4143" s="1">
        <v>100.0</v>
      </c>
      <c r="B4143" s="1" t="s">
        <v>1826</v>
      </c>
      <c r="C4143" s="1">
        <v>9.0</v>
      </c>
      <c r="D4143" s="1" t="s">
        <v>42</v>
      </c>
      <c r="E4143" s="1" t="str">
        <f>IFERROR(__xludf.DUMMYFUNCTION("GOOGLETRANSLATE(D4143,""PT"",""EN"")"),"good service")</f>
        <v>good service</v>
      </c>
    </row>
    <row r="4144" ht="14.25" customHeight="1">
      <c r="A4144" s="1">
        <v>33.0</v>
      </c>
      <c r="B4144" s="1" t="s">
        <v>1826</v>
      </c>
      <c r="C4144" s="1">
        <v>2.0</v>
      </c>
      <c r="D4144" s="2" t="s">
        <v>1836</v>
      </c>
      <c r="E4144" s="1" t="str">
        <f>IFERROR(__xludf.DUMMYFUNCTION("GOOGLETRANSLATE(D4144,""PT"",""EN"")"),"Service with mismatched information is incomplete, do not inform what will be charged is how much they charge do not return (tariffs is a mandatory consortium of the cooperative)!… Among other errors! For me it is total dissatisfaction!")</f>
        <v>Service with mismatched information is incomplete, do not inform what will be charged is how much they charge do not return (tariffs is a mandatory consortium of the cooperative)!… Among other errors! For me it is total dissatisfaction!</v>
      </c>
    </row>
    <row r="4145" ht="14.25" customHeight="1">
      <c r="A4145" s="1">
        <v>100.0</v>
      </c>
      <c r="B4145" s="1" t="s">
        <v>1826</v>
      </c>
      <c r="C4145" s="1">
        <v>10.0</v>
      </c>
      <c r="D4145" s="1" t="s">
        <v>6</v>
      </c>
      <c r="E4145" s="1"/>
    </row>
    <row r="4146" ht="14.25" customHeight="1">
      <c r="A4146" s="1">
        <v>100.0</v>
      </c>
      <c r="B4146" s="1" t="s">
        <v>1826</v>
      </c>
      <c r="C4146" s="1">
        <v>10.0</v>
      </c>
      <c r="D4146" s="1" t="s">
        <v>6</v>
      </c>
      <c r="E4146" s="1"/>
    </row>
    <row r="4147" ht="14.25" customHeight="1">
      <c r="A4147" s="1">
        <v>66.0</v>
      </c>
      <c r="B4147" s="1" t="s">
        <v>1826</v>
      </c>
      <c r="C4147" s="1">
        <v>7.0</v>
      </c>
      <c r="D4147" s="1" t="s">
        <v>6</v>
      </c>
      <c r="E4147" s="1"/>
    </row>
    <row r="4148" ht="14.25" customHeight="1">
      <c r="A4148" s="1">
        <v>100.0</v>
      </c>
      <c r="B4148" s="1" t="s">
        <v>1826</v>
      </c>
      <c r="C4148" s="1">
        <v>10.0</v>
      </c>
      <c r="D4148" s="1" t="s">
        <v>1837</v>
      </c>
      <c r="E4148" s="1" t="str">
        <f>IFERROR(__xludf.DUMMYFUNCTION("GOOGLETRANSLATE(D4148,""PT"",""EN"")"),"Sicoob meets all my banking needs.")</f>
        <v>Sicoob meets all my banking needs.</v>
      </c>
    </row>
    <row r="4149" ht="14.25" customHeight="1">
      <c r="A4149" s="1">
        <v>100.0</v>
      </c>
      <c r="B4149" s="1" t="s">
        <v>1826</v>
      </c>
      <c r="C4149" s="1">
        <v>10.0</v>
      </c>
      <c r="D4149" s="1" t="s">
        <v>1838</v>
      </c>
      <c r="E4149" s="1" t="str">
        <f>IFERROR(__xludf.DUMMYFUNCTION("GOOGLETRANSLATE(D4149,""PT"",""EN"")"),"The excellent service")</f>
        <v>The excellent service</v>
      </c>
    </row>
    <row r="4150" ht="14.25" customHeight="1">
      <c r="A4150" s="1">
        <v>66.0</v>
      </c>
      <c r="B4150" s="1" t="s">
        <v>1826</v>
      </c>
      <c r="C4150" s="1">
        <v>7.0</v>
      </c>
      <c r="D4150" s="1" t="s">
        <v>6</v>
      </c>
      <c r="E4150" s="1"/>
    </row>
    <row r="4151" ht="14.25" customHeight="1">
      <c r="A4151" s="1">
        <v>33.0</v>
      </c>
      <c r="B4151" s="1" t="s">
        <v>1826</v>
      </c>
      <c r="C4151" s="1">
        <v>0.0</v>
      </c>
      <c r="D4151" s="1" t="s">
        <v>6</v>
      </c>
      <c r="E4151" s="1"/>
    </row>
    <row r="4152" ht="14.25" customHeight="1">
      <c r="A4152" s="1">
        <v>33.0</v>
      </c>
      <c r="B4152" s="1" t="s">
        <v>1826</v>
      </c>
      <c r="C4152" s="1">
        <v>6.0</v>
      </c>
      <c r="D4152" s="2" t="s">
        <v>1839</v>
      </c>
      <c r="E4152" s="1" t="str">
        <f>IFERROR(__xludf.DUMMYFUNCTION("GOOGLETRANSLATE(D4152,""PT"",""EN"")"),"Lack of broker. Low visibility scoring program")</f>
        <v>Lack of broker. Low visibility scoring program</v>
      </c>
    </row>
    <row r="4153" ht="14.25" customHeight="1">
      <c r="A4153" s="1">
        <v>33.0</v>
      </c>
      <c r="B4153" s="1" t="s">
        <v>1826</v>
      </c>
      <c r="C4153" s="1">
        <v>0.0</v>
      </c>
      <c r="D4153" s="1" t="s">
        <v>1840</v>
      </c>
      <c r="E4153" s="1" t="str">
        <f>IFERROR(__xludf.DUMMYFUNCTION("GOOGLETRANSLATE(D4153,""PT"",""EN"")"),"Nothing I requested was answered, I will end my account.")</f>
        <v>Nothing I requested was answered, I will end my account.</v>
      </c>
    </row>
    <row r="4154" ht="14.25" customHeight="1">
      <c r="A4154" s="1">
        <v>100.0</v>
      </c>
      <c r="B4154" s="1" t="s">
        <v>1826</v>
      </c>
      <c r="C4154" s="1">
        <v>10.0</v>
      </c>
      <c r="D4154" s="1" t="s">
        <v>6</v>
      </c>
      <c r="E4154" s="1"/>
    </row>
    <row r="4155" ht="14.25" customHeight="1">
      <c r="A4155" s="1">
        <v>66.0</v>
      </c>
      <c r="B4155" s="1" t="s">
        <v>1826</v>
      </c>
      <c r="C4155" s="1">
        <v>8.0</v>
      </c>
      <c r="D4155" s="1" t="s">
        <v>6</v>
      </c>
      <c r="E4155" s="1"/>
    </row>
    <row r="4156" ht="14.25" customHeight="1">
      <c r="A4156" s="1">
        <v>100.0</v>
      </c>
      <c r="B4156" s="1" t="s">
        <v>1826</v>
      </c>
      <c r="C4156" s="1">
        <v>10.0</v>
      </c>
      <c r="D4156" s="1" t="s">
        <v>1841</v>
      </c>
      <c r="E4156" s="1" t="str">
        <f>IFERROR(__xludf.DUMMYFUNCTION("GOOGLETRANSLATE(D4156,""PT"",""EN"")"),"Wonderful place, with purpose of financial justice.")</f>
        <v>Wonderful place, with purpose of financial justice.</v>
      </c>
    </row>
    <row r="4157" ht="14.25" customHeight="1">
      <c r="A4157" s="1">
        <v>100.0</v>
      </c>
      <c r="B4157" s="1" t="s">
        <v>1826</v>
      </c>
      <c r="C4157" s="1">
        <v>10.0</v>
      </c>
      <c r="D4157" s="2" t="s">
        <v>1842</v>
      </c>
      <c r="E4157" s="1" t="str">
        <f>IFERROR(__xludf.DUMMYFUNCTION("GOOGLETRANSLATE(D4157,""PT"",""EN"")"),"Services, services is TXS")</f>
        <v>Services, services is TXS</v>
      </c>
    </row>
    <row r="4158" ht="14.25" customHeight="1">
      <c r="A4158" s="1">
        <v>100.0</v>
      </c>
      <c r="B4158" s="1" t="s">
        <v>1826</v>
      </c>
      <c r="C4158" s="1">
        <v>10.0</v>
      </c>
      <c r="D4158" s="1" t="s">
        <v>1843</v>
      </c>
      <c r="E4158" s="1" t="str">
        <f>IFERROR(__xludf.DUMMYFUNCTION("GOOGLETRANSLATE(D4158,""PT"",""EN"")"),"More affordable rates, capital account")</f>
        <v>More affordable rates, capital account</v>
      </c>
    </row>
    <row r="4159" ht="14.25" customHeight="1">
      <c r="A4159" s="1">
        <v>100.0</v>
      </c>
      <c r="B4159" s="1" t="s">
        <v>1826</v>
      </c>
      <c r="C4159" s="1">
        <v>10.0</v>
      </c>
      <c r="D4159" s="1" t="s">
        <v>1844</v>
      </c>
      <c r="E4159" s="1" t="str">
        <f>IFERROR(__xludf.DUMMYFUNCTION("GOOGLETRANSLATE(D4159,""PT"",""EN"")"),"The humanized deal with the members.")</f>
        <v>The humanized deal with the members.</v>
      </c>
    </row>
    <row r="4160" ht="14.25" customHeight="1">
      <c r="A4160" s="1">
        <v>100.0</v>
      </c>
      <c r="B4160" s="1" t="s">
        <v>1826</v>
      </c>
      <c r="C4160" s="1">
        <v>10.0</v>
      </c>
      <c r="D4160" s="2" t="s">
        <v>1845</v>
      </c>
      <c r="E4160" s="1" t="str">
        <f>IFERROR(__xludf.DUMMYFUNCTION("GOOGLETRANSLATE(D4160,""PT"",""EN"")"),"Ease in the application, is to solve situations without having to go to the bank")</f>
        <v>Ease in the application, is to solve situations without having to go to the bank</v>
      </c>
    </row>
    <row r="4161" ht="14.25" customHeight="1">
      <c r="A4161" s="1">
        <v>100.0</v>
      </c>
      <c r="B4161" s="1" t="s">
        <v>1826</v>
      </c>
      <c r="C4161" s="1">
        <v>10.0</v>
      </c>
      <c r="D4161" s="1" t="s">
        <v>6</v>
      </c>
      <c r="E4161" s="1"/>
    </row>
    <row r="4162" ht="14.25" customHeight="1">
      <c r="A4162" s="1">
        <v>33.0</v>
      </c>
      <c r="B4162" s="1" t="s">
        <v>1826</v>
      </c>
      <c r="C4162" s="1">
        <v>5.0</v>
      </c>
      <c r="D4162" s="2" t="s">
        <v>1846</v>
      </c>
      <c r="E4162" s="1" t="str">
        <f>IFERROR(__xludf.DUMMYFUNCTION("GOOGLETRANSLATE(D4162,""PT"",""EN"")"),"The difficulties encountered to use the ATM or cashier of other Sicoob's own cooperatives. Not all cooperatives have ATM availability, now it has a second authentication factor with QR Code that only makes it difficult for the customer. This choice was pe"&amp;"ssimal.")</f>
        <v>The difficulties encountered to use the ATM or cashier of other Sicoob's own cooperatives. Not all cooperatives have ATM availability, now it has a second authentication factor with QR Code that only makes it difficult for the customer. This choice was pessimal.</v>
      </c>
    </row>
    <row r="4163" ht="14.25" customHeight="1">
      <c r="A4163" s="1">
        <v>100.0</v>
      </c>
      <c r="B4163" s="1" t="s">
        <v>1826</v>
      </c>
      <c r="C4163" s="1">
        <v>10.0</v>
      </c>
      <c r="D4163" s="2" t="s">
        <v>1847</v>
      </c>
      <c r="E4163" s="1" t="str">
        <f>IFERROR(__xludf.DUMMYFUNCTION("GOOGLETRANSLATE(D4163,""PT"",""EN"")"),"I believe it is a closer bank that has direct customer service when necessary.")</f>
        <v>I believe it is a closer bank that has direct customer service when necessary.</v>
      </c>
    </row>
    <row r="4164" ht="14.25" customHeight="1">
      <c r="A4164" s="1">
        <v>100.0</v>
      </c>
      <c r="B4164" s="1" t="s">
        <v>1826</v>
      </c>
      <c r="C4164" s="1">
        <v>10.0</v>
      </c>
      <c r="D4164" s="1" t="s">
        <v>6</v>
      </c>
      <c r="E4164" s="1"/>
    </row>
    <row r="4165" ht="14.25" customHeight="1">
      <c r="A4165" s="1">
        <v>100.0</v>
      </c>
      <c r="B4165" s="1" t="s">
        <v>1826</v>
      </c>
      <c r="C4165" s="1">
        <v>10.0</v>
      </c>
      <c r="D4165" s="1" t="s">
        <v>6</v>
      </c>
      <c r="E4165" s="1"/>
    </row>
    <row r="4166" ht="14.25" customHeight="1">
      <c r="A4166" s="1">
        <v>100.0</v>
      </c>
      <c r="B4166" s="1" t="s">
        <v>1826</v>
      </c>
      <c r="C4166" s="1">
        <v>10.0</v>
      </c>
      <c r="D4166" s="2" t="s">
        <v>1848</v>
      </c>
      <c r="E4166" s="1" t="str">
        <f>IFERROR(__xludf.DUMMYFUNCTION("GOOGLETRANSLATE(D4166,""PT"",""EN"")"),"ease of access to managers and facilitators")</f>
        <v>ease of access to managers and facilitators</v>
      </c>
    </row>
    <row r="4167" ht="14.25" customHeight="1">
      <c r="A4167" s="1">
        <v>100.0</v>
      </c>
      <c r="B4167" s="1" t="s">
        <v>1826</v>
      </c>
      <c r="C4167" s="1">
        <v>10.0</v>
      </c>
      <c r="D4167" s="1" t="s">
        <v>6</v>
      </c>
      <c r="E4167" s="1"/>
    </row>
    <row r="4168" ht="14.25" customHeight="1">
      <c r="A4168" s="1">
        <v>66.0</v>
      </c>
      <c r="B4168" s="1" t="s">
        <v>1826</v>
      </c>
      <c r="C4168" s="1">
        <v>8.0</v>
      </c>
      <c r="D4168" s="1" t="s">
        <v>6</v>
      </c>
      <c r="E4168" s="1"/>
    </row>
    <row r="4169" ht="14.25" customHeight="1">
      <c r="A4169" s="1">
        <v>100.0</v>
      </c>
      <c r="B4169" s="1" t="s">
        <v>1826</v>
      </c>
      <c r="C4169" s="1">
        <v>10.0</v>
      </c>
      <c r="D4169" s="1" t="s">
        <v>6</v>
      </c>
      <c r="E4169" s="1"/>
    </row>
    <row r="4170" ht="14.25" customHeight="1">
      <c r="A4170" s="1">
        <v>66.0</v>
      </c>
      <c r="B4170" s="1" t="s">
        <v>1826</v>
      </c>
      <c r="C4170" s="1">
        <v>8.0</v>
      </c>
      <c r="D4170" s="1" t="s">
        <v>6</v>
      </c>
      <c r="E4170" s="1"/>
    </row>
    <row r="4171" ht="14.25" customHeight="1">
      <c r="A4171" s="1">
        <v>100.0</v>
      </c>
      <c r="B4171" s="1" t="s">
        <v>1826</v>
      </c>
      <c r="C4171" s="1">
        <v>9.0</v>
      </c>
      <c r="D4171" s="1" t="s">
        <v>6</v>
      </c>
      <c r="E4171" s="1"/>
    </row>
    <row r="4172" ht="14.25" customHeight="1">
      <c r="A4172" s="1">
        <v>100.0</v>
      </c>
      <c r="B4172" s="1" t="s">
        <v>1826</v>
      </c>
      <c r="C4172" s="1">
        <v>10.0</v>
      </c>
      <c r="D4172" s="1" t="s">
        <v>6</v>
      </c>
      <c r="E4172" s="1"/>
    </row>
    <row r="4173" ht="14.25" customHeight="1">
      <c r="A4173" s="1">
        <v>100.0</v>
      </c>
      <c r="B4173" s="1" t="s">
        <v>1826</v>
      </c>
      <c r="C4173" s="1">
        <v>10.0</v>
      </c>
      <c r="D4173" s="2" t="s">
        <v>1849</v>
      </c>
      <c r="E4173" s="1" t="str">
        <f>IFERROR(__xludf.DUMMYFUNCTION("GOOGLETRANSLATE(D4173,""PT"",""EN"")"),"The service is at fees.")</f>
        <v>The service is at fees.</v>
      </c>
    </row>
    <row r="4174" ht="14.25" customHeight="1">
      <c r="A4174" s="1">
        <v>66.0</v>
      </c>
      <c r="B4174" s="1" t="s">
        <v>1826</v>
      </c>
      <c r="C4174" s="1">
        <v>8.0</v>
      </c>
      <c r="D4174" s="1" t="s">
        <v>1850</v>
      </c>
      <c r="E4174" s="1" t="str">
        <f>IFERROR(__xludf.DUMMYFUNCTION("GOOGLETRANSLATE(D4174,""PT"",""EN"")"),"Lengthy service")</f>
        <v>Lengthy service</v>
      </c>
    </row>
    <row r="4175" ht="14.25" customHeight="1">
      <c r="A4175" s="1">
        <v>66.0</v>
      </c>
      <c r="B4175" s="1" t="s">
        <v>1826</v>
      </c>
      <c r="C4175" s="1">
        <v>8.0</v>
      </c>
      <c r="D4175" s="1" t="s">
        <v>6</v>
      </c>
      <c r="E4175" s="1"/>
    </row>
    <row r="4176" ht="14.25" customHeight="1">
      <c r="A4176" s="1">
        <v>100.0</v>
      </c>
      <c r="B4176" s="1" t="s">
        <v>1826</v>
      </c>
      <c r="C4176" s="1">
        <v>9.0</v>
      </c>
      <c r="D4176" s="1" t="s">
        <v>6</v>
      </c>
      <c r="E4176" s="1"/>
    </row>
    <row r="4177" ht="14.25" customHeight="1">
      <c r="A4177" s="1">
        <v>100.0</v>
      </c>
      <c r="B4177" s="1" t="s">
        <v>1826</v>
      </c>
      <c r="C4177" s="1">
        <v>9.0</v>
      </c>
      <c r="D4177" s="2" t="s">
        <v>1851</v>
      </c>
      <c r="E4177" s="1" t="str">
        <f>IFERROR(__xludf.DUMMYFUNCTION("GOOGLETRANSLATE(D4177,""PT"",""EN"")"),"Ease and agility of the application is credit.")</f>
        <v>Ease and agility of the application is credit.</v>
      </c>
    </row>
    <row r="4178" ht="14.25" customHeight="1">
      <c r="A4178" s="1">
        <v>33.0</v>
      </c>
      <c r="B4178" s="1" t="s">
        <v>1826</v>
      </c>
      <c r="C4178" s="1">
        <v>2.0</v>
      </c>
      <c r="D4178" s="2" t="s">
        <v>1852</v>
      </c>
      <c r="E4178" s="1" t="str">
        <f>IFERROR(__xludf.DUMMYFUNCTION("GOOGLETRANSLATE(D4178,""PT"",""EN"")"),"Many situations have been causing serious inconvenience to account holders (before, I could feel as members), unfortunately, treatments today is not by name is by the number of the CPF or the account, there is no more humanized service, it is, cold is dis"&amp;"criminatory. In addition to other attitudes if they deserve to adopt measures I will not expose in this channel what I have already suffered, but today this institution no longer allows us to remember how we were treated while coominagri.")</f>
        <v>Many situations have been causing serious inconvenience to account holders (before, I could feel as members), unfortunately, treatments today is not by name is by the number of the CPF or the account, there is no more humanized service, it is, cold is discriminatory. In addition to other attitudes if they deserve to adopt measures I will not expose in this channel what I have already suffered, but today this institution no longer allows us to remember how we were treated while coominagri.</v>
      </c>
    </row>
    <row r="4179" ht="14.25" customHeight="1">
      <c r="A4179" s="1">
        <v>100.0</v>
      </c>
      <c r="B4179" s="1" t="s">
        <v>1826</v>
      </c>
      <c r="C4179" s="1">
        <v>10.0</v>
      </c>
      <c r="D4179" s="1" t="s">
        <v>1853</v>
      </c>
      <c r="E4179" s="1" t="str">
        <f>IFERROR(__xludf.DUMMYFUNCTION("GOOGLETRANSLATE(D4179,""PT"",""EN"")"),"The very good service")</f>
        <v>The very good service</v>
      </c>
    </row>
    <row r="4180" ht="14.25" customHeight="1">
      <c r="A4180" s="1">
        <v>33.0</v>
      </c>
      <c r="B4180" s="1" t="s">
        <v>1826</v>
      </c>
      <c r="C4180" s="1">
        <v>5.0</v>
      </c>
      <c r="D4180" s="2" t="s">
        <v>1854</v>
      </c>
      <c r="E4180" s="1" t="str">
        <f>IFERROR(__xludf.DUMMYFUNCTION("GOOGLETRANSLATE(D4180,""PT"",""EN"")"),"I have no support from the bank in which to have capital of more than 6 thousand reais is to receive my salary for it")</f>
        <v>I have no support from the bank in which to have capital of more than 6 thousand reais is to receive my salary for it</v>
      </c>
    </row>
    <row r="4181" ht="14.25" customHeight="1">
      <c r="A4181" s="1">
        <v>100.0</v>
      </c>
      <c r="B4181" s="1" t="s">
        <v>1826</v>
      </c>
      <c r="C4181" s="1">
        <v>10.0</v>
      </c>
      <c r="D4181" s="2" t="s">
        <v>1855</v>
      </c>
      <c r="E4181" s="1" t="str">
        <f>IFERROR(__xludf.DUMMYFUNCTION("GOOGLETRANSLATE(D4181,""PT"",""EN"")"),"It is of great satisfaction is working with you is indicate for anyone. Great bank.")</f>
        <v>It is of great satisfaction is working with you is indicate for anyone. Great bank.</v>
      </c>
    </row>
    <row r="4182" ht="14.25" customHeight="1">
      <c r="A4182" s="1">
        <v>100.0</v>
      </c>
      <c r="B4182" s="1" t="s">
        <v>1826</v>
      </c>
      <c r="C4182" s="1">
        <v>10.0</v>
      </c>
      <c r="D4182" s="1" t="s">
        <v>6</v>
      </c>
      <c r="E4182" s="1"/>
    </row>
    <row r="4183" ht="14.25" customHeight="1">
      <c r="A4183" s="1">
        <v>100.0</v>
      </c>
      <c r="B4183" s="1" t="s">
        <v>1826</v>
      </c>
      <c r="C4183" s="1">
        <v>10.0</v>
      </c>
      <c r="D4183" s="1" t="s">
        <v>67</v>
      </c>
      <c r="E4183" s="1"/>
    </row>
    <row r="4184" ht="14.25" customHeight="1">
      <c r="A4184" s="1">
        <v>100.0</v>
      </c>
      <c r="B4184" s="1" t="s">
        <v>1826</v>
      </c>
      <c r="C4184" s="1">
        <v>10.0</v>
      </c>
      <c r="D4184" s="1" t="s">
        <v>6</v>
      </c>
      <c r="E4184" s="1"/>
    </row>
    <row r="4185" ht="14.25" customHeight="1">
      <c r="A4185" s="1">
        <v>100.0</v>
      </c>
      <c r="B4185" s="1" t="s">
        <v>1826</v>
      </c>
      <c r="C4185" s="1">
        <v>10.0</v>
      </c>
      <c r="D4185" s="2" t="s">
        <v>1856</v>
      </c>
      <c r="E4185" s="1" t="str">
        <f>IFERROR(__xludf.DUMMYFUNCTION("GOOGLETRANSLATE(D4185,""PT"",""EN"")"),"Very well attended, face -to -face, by telephone or via application. congratulations.")</f>
        <v>Very well attended, face -to -face, by telephone or via application. congratulations.</v>
      </c>
    </row>
    <row r="4186" ht="14.25" customHeight="1">
      <c r="A4186" s="1">
        <v>33.0</v>
      </c>
      <c r="B4186" s="1" t="s">
        <v>1826</v>
      </c>
      <c r="C4186" s="1">
        <v>4.0</v>
      </c>
      <c r="D4186" s="2" t="s">
        <v>1857</v>
      </c>
      <c r="E4186" s="1" t="str">
        <f>IFERROR(__xludf.DUMMYFUNCTION("GOOGLETRANSLATE(D4186,""PT"",""EN"")"),"I had no movement of this account")</f>
        <v>I had no movement of this account</v>
      </c>
    </row>
    <row r="4187" ht="14.25" customHeight="1">
      <c r="A4187" s="1">
        <v>33.0</v>
      </c>
      <c r="B4187" s="1" t="s">
        <v>1826</v>
      </c>
      <c r="C4187" s="1">
        <v>1.0</v>
      </c>
      <c r="D4187" s="1" t="s">
        <v>1858</v>
      </c>
      <c r="E4187" s="1" t="str">
        <f>IFERROR(__xludf.DUMMYFUNCTION("GOOGLETRANSLATE(D4187,""PT"",""EN"")"),"Very bureaucratic.")</f>
        <v>Very bureaucratic.</v>
      </c>
    </row>
    <row r="4188" ht="14.25" customHeight="1">
      <c r="A4188" s="1">
        <v>100.0</v>
      </c>
      <c r="B4188" s="1" t="s">
        <v>1826</v>
      </c>
      <c r="C4188" s="1">
        <v>10.0</v>
      </c>
      <c r="D4188" s="2" t="s">
        <v>1859</v>
      </c>
      <c r="E4188" s="1" t="str">
        <f>IFERROR(__xludf.DUMMYFUNCTION("GOOGLETRANSLATE(D4188,""PT"",""EN"")"),"SATISFACTION TO PRODUCTS AND SERVICE WITH PARAZ!")</f>
        <v>SATISFACTION TO PRODUCTS AND SERVICE WITH PARAZ!</v>
      </c>
    </row>
    <row r="4189" ht="14.25" customHeight="1">
      <c r="A4189" s="1">
        <v>100.0</v>
      </c>
      <c r="B4189" s="1" t="s">
        <v>1826</v>
      </c>
      <c r="C4189" s="1">
        <v>10.0</v>
      </c>
      <c r="D4189" s="1" t="s">
        <v>6</v>
      </c>
      <c r="E4189" s="1"/>
    </row>
    <row r="4190" ht="14.25" customHeight="1">
      <c r="A4190" s="1">
        <v>100.0</v>
      </c>
      <c r="B4190" s="1" t="s">
        <v>1826</v>
      </c>
      <c r="C4190" s="1">
        <v>10.0</v>
      </c>
      <c r="D4190" s="1" t="s">
        <v>1860</v>
      </c>
      <c r="E4190" s="1" t="str">
        <f>IFERROR(__xludf.DUMMYFUNCTION("GOOGLETRANSLATE(D4190,""PT"",""EN"")"),"Very good, excellent.")</f>
        <v>Very good, excellent.</v>
      </c>
    </row>
    <row r="4191" ht="14.25" customHeight="1">
      <c r="A4191" s="1">
        <v>100.0</v>
      </c>
      <c r="B4191" s="1" t="s">
        <v>1826</v>
      </c>
      <c r="C4191" s="1">
        <v>10.0</v>
      </c>
      <c r="D4191" s="1" t="s">
        <v>221</v>
      </c>
      <c r="E4191" s="1" t="str">
        <f>IFERROR(__xludf.DUMMYFUNCTION("GOOGLETRANSLATE(D4191,""PT"",""EN"")"),"Wonderful Bank")</f>
        <v>Wonderful Bank</v>
      </c>
    </row>
    <row r="4192" ht="14.25" customHeight="1">
      <c r="A4192" s="1">
        <v>66.0</v>
      </c>
      <c r="B4192" s="1" t="s">
        <v>1826</v>
      </c>
      <c r="C4192" s="1">
        <v>8.0</v>
      </c>
      <c r="D4192" s="1" t="s">
        <v>1861</v>
      </c>
      <c r="E4192" s="1" t="str">
        <f>IFERROR(__xludf.DUMMYFUNCTION("GOOGLETRANSLATE(D4192,""PT"",""EN"")"),"Problem with service")</f>
        <v>Problem with service</v>
      </c>
    </row>
    <row r="4193" ht="14.25" customHeight="1">
      <c r="A4193" s="1">
        <v>100.0</v>
      </c>
      <c r="B4193" s="1" t="s">
        <v>1826</v>
      </c>
      <c r="C4193" s="1">
        <v>10.0</v>
      </c>
      <c r="D4193" s="1" t="s">
        <v>1862</v>
      </c>
      <c r="E4193" s="1" t="str">
        <f>IFERROR(__xludf.DUMMYFUNCTION("GOOGLETRANSLATE(D4193,""PT"",""EN"")"),"Always very well until Dida")</f>
        <v>Always very well until Dida</v>
      </c>
    </row>
    <row r="4194" ht="14.25" customHeight="1">
      <c r="A4194" s="1">
        <v>100.0</v>
      </c>
      <c r="B4194" s="1" t="s">
        <v>1826</v>
      </c>
      <c r="C4194" s="1">
        <v>9.0</v>
      </c>
      <c r="D4194" s="1" t="s">
        <v>6</v>
      </c>
      <c r="E4194" s="1"/>
    </row>
    <row r="4195" ht="14.25" customHeight="1">
      <c r="A4195" s="1">
        <v>100.0</v>
      </c>
      <c r="B4195" s="1" t="s">
        <v>1826</v>
      </c>
      <c r="C4195" s="1">
        <v>9.0</v>
      </c>
      <c r="D4195" s="2" t="s">
        <v>1863</v>
      </c>
      <c r="E4195" s="1" t="str">
        <f>IFERROR(__xludf.DUMMYFUNCTION("GOOGLETRANSLATE(D4195,""PT"",""EN"")"),"There are some things that leave something to be desired. Especially when they release account rates without informing the member. Hard to talk to manager.")</f>
        <v>There are some things that leave something to be desired. Especially when they release account rates without informing the member. Hard to talk to manager.</v>
      </c>
    </row>
    <row r="4196" ht="14.25" customHeight="1">
      <c r="A4196" s="1">
        <v>33.0</v>
      </c>
      <c r="B4196" s="1" t="s">
        <v>1826</v>
      </c>
      <c r="C4196" s="1">
        <v>0.0</v>
      </c>
      <c r="D4196" s="2" t="s">
        <v>1864</v>
      </c>
      <c r="E4196" s="1" t="str">
        <f>IFERROR(__xludf.DUMMYFUNCTION("GOOGLETRANSLATE(D4196,""PT"",""EN"")"),"A terrible annoyance. Call me charging. Since I owe the cooperative at all.")</f>
        <v>A terrible annoyance. Call me charging. Since I owe the cooperative at all.</v>
      </c>
    </row>
    <row r="4197" ht="14.25" customHeight="1">
      <c r="A4197" s="1">
        <v>100.0</v>
      </c>
      <c r="B4197" s="1" t="s">
        <v>1826</v>
      </c>
      <c r="C4197" s="1">
        <v>9.0</v>
      </c>
      <c r="D4197" s="1" t="s">
        <v>505</v>
      </c>
      <c r="E4197" s="1" t="str">
        <f>IFERROR(__xludf.DUMMYFUNCTION("GOOGLETRANSLATE(D4197,""PT"",""EN"")"),"9")</f>
        <v>9</v>
      </c>
    </row>
    <row r="4198" ht="14.25" customHeight="1">
      <c r="A4198" s="1">
        <v>100.0</v>
      </c>
      <c r="B4198" s="1" t="s">
        <v>1826</v>
      </c>
      <c r="C4198" s="1">
        <v>10.0</v>
      </c>
      <c r="D4198" s="1" t="s">
        <v>1865</v>
      </c>
      <c r="E4198" s="1" t="str">
        <f>IFERROR(__xludf.DUMMYFUNCTION("GOOGLETRANSLATE(D4198,""PT"",""EN"")"),"Very good all the bank services")</f>
        <v>Very good all the bank services</v>
      </c>
    </row>
    <row r="4199" ht="14.25" customHeight="1">
      <c r="A4199" s="1">
        <v>100.0</v>
      </c>
      <c r="B4199" s="1" t="s">
        <v>1826</v>
      </c>
      <c r="C4199" s="1">
        <v>10.0</v>
      </c>
      <c r="D4199" s="1" t="s">
        <v>6</v>
      </c>
      <c r="E4199" s="1"/>
    </row>
    <row r="4200" ht="14.25" customHeight="1">
      <c r="A4200" s="1">
        <v>100.0</v>
      </c>
      <c r="B4200" s="1" t="s">
        <v>1826</v>
      </c>
      <c r="C4200" s="1">
        <v>10.0</v>
      </c>
      <c r="D4200" s="1" t="s">
        <v>6</v>
      </c>
      <c r="E4200" s="1"/>
    </row>
    <row r="4201" ht="14.25" customHeight="1">
      <c r="A4201" s="1">
        <v>33.0</v>
      </c>
      <c r="B4201" s="1" t="s">
        <v>1826</v>
      </c>
      <c r="C4201" s="1">
        <v>5.0</v>
      </c>
      <c r="D4201" s="2" t="s">
        <v>1866</v>
      </c>
      <c r="E4201" s="1" t="str">
        <f>IFERROR(__xludf.DUMMYFUNCTION("GOOGLETRANSLATE(D4201,""PT"",""EN"")"),"I don't have access to any kind of credit")</f>
        <v>I don't have access to any kind of credit</v>
      </c>
    </row>
    <row r="4202" ht="14.25" customHeight="1">
      <c r="A4202" s="1">
        <v>33.0</v>
      </c>
      <c r="B4202" s="1" t="s">
        <v>1826</v>
      </c>
      <c r="C4202" s="1">
        <v>0.0</v>
      </c>
      <c r="D4202" s="2" t="s">
        <v>1867</v>
      </c>
      <c r="E4202" s="1" t="str">
        <f>IFERROR(__xludf.DUMMYFUNCTION("GOOGLETRANSLATE(D4202,""PT"",""EN"")"),"Worst Card of all, disorganized is very complicated")</f>
        <v>Worst Card of all, disorganized is very complicated</v>
      </c>
    </row>
    <row r="4203" ht="14.25" customHeight="1">
      <c r="A4203" s="1">
        <v>100.0</v>
      </c>
      <c r="B4203" s="1" t="s">
        <v>1826</v>
      </c>
      <c r="C4203" s="1">
        <v>10.0</v>
      </c>
      <c r="D4203" s="2" t="s">
        <v>1868</v>
      </c>
      <c r="E4203" s="1" t="str">
        <f>IFERROR(__xludf.DUMMYFUNCTION("GOOGLETRANSLATE(D4203,""PT"",""EN"")"),"service is information")</f>
        <v>service is information</v>
      </c>
    </row>
    <row r="4204" ht="14.25" customHeight="1">
      <c r="A4204" s="1">
        <v>100.0</v>
      </c>
      <c r="B4204" s="1" t="s">
        <v>1826</v>
      </c>
      <c r="C4204" s="1">
        <v>9.0</v>
      </c>
      <c r="D4204" s="2" t="s">
        <v>1869</v>
      </c>
      <c r="E4204" s="1" t="str">
        <f>IFERROR(__xludf.DUMMYFUNCTION("GOOGLETRANSLATE(D4204,""PT"",""EN"")"),"Because it's not 8 or 10 ... Atte., Carlos")</f>
        <v>Because it's not 8 or 10 ... Atte., Carlos</v>
      </c>
    </row>
    <row r="4205" ht="14.25" customHeight="1">
      <c r="A4205" s="1">
        <v>100.0</v>
      </c>
      <c r="B4205" s="1" t="s">
        <v>1826</v>
      </c>
      <c r="C4205" s="1">
        <v>10.0</v>
      </c>
      <c r="D4205" s="1" t="s">
        <v>6</v>
      </c>
      <c r="E4205" s="1"/>
    </row>
    <row r="4206" ht="14.25" customHeight="1">
      <c r="A4206" s="1">
        <v>100.0</v>
      </c>
      <c r="B4206" s="1" t="s">
        <v>1826</v>
      </c>
      <c r="C4206" s="1">
        <v>10.0</v>
      </c>
      <c r="D4206" s="2" t="s">
        <v>1870</v>
      </c>
      <c r="E4206" s="1" t="str">
        <f>IFERROR(__xludf.DUMMYFUNCTION("GOOGLETRANSLATE(D4206,""PT"",""EN"")"),"Good service is low interest rates in favor of customers")</f>
        <v>Good service is low interest rates in favor of customers</v>
      </c>
    </row>
    <row r="4207" ht="14.25" customHeight="1">
      <c r="A4207" s="1">
        <v>66.0</v>
      </c>
      <c r="B4207" s="1" t="s">
        <v>1826</v>
      </c>
      <c r="C4207" s="1">
        <v>8.0</v>
      </c>
      <c r="D4207" s="2" t="s">
        <v>1871</v>
      </c>
      <c r="E4207" s="1" t="str">
        <f>IFERROR(__xludf.DUMMYFUNCTION("GOOGLETRANSLATE(D4207,""PT"",""EN"")"),"Alternative form is safe to apply money you will need to make a project in the future.")</f>
        <v>Alternative form is safe to apply money you will need to make a project in the future.</v>
      </c>
    </row>
    <row r="4208" ht="14.25" customHeight="1">
      <c r="A4208" s="1">
        <v>100.0</v>
      </c>
      <c r="B4208" s="1" t="s">
        <v>1826</v>
      </c>
      <c r="C4208" s="1">
        <v>10.0</v>
      </c>
      <c r="D4208" s="1" t="s">
        <v>6</v>
      </c>
      <c r="E4208" s="1"/>
    </row>
    <row r="4209" ht="14.25" customHeight="1">
      <c r="A4209" s="1">
        <v>33.0</v>
      </c>
      <c r="B4209" s="1" t="s">
        <v>1826</v>
      </c>
      <c r="C4209" s="1">
        <v>0.0</v>
      </c>
      <c r="D4209" s="2" t="s">
        <v>1872</v>
      </c>
      <c r="E4209" s="1" t="str">
        <f>IFERROR(__xludf.DUMMYFUNCTION("GOOGLETRANSLATE(D4209,""PT"",""EN"")"),"It did not meet my expectations in general, I am about to leave this bank.")</f>
        <v>It did not meet my expectations in general, I am about to leave this bank.</v>
      </c>
    </row>
    <row r="4210" ht="14.25" customHeight="1">
      <c r="A4210" s="1">
        <v>100.0</v>
      </c>
      <c r="B4210" s="1" t="s">
        <v>1826</v>
      </c>
      <c r="C4210" s="1">
        <v>9.0</v>
      </c>
      <c r="D4210" s="1" t="s">
        <v>1873</v>
      </c>
      <c r="E4210" s="1" t="str">
        <f>IFERROR(__xludf.DUMMYFUNCTION("GOOGLETRANSLATE(D4210,""PT"",""EN"")"),"The applications available on the site.")</f>
        <v>The applications available on the site.</v>
      </c>
    </row>
    <row r="4211" ht="14.25" customHeight="1">
      <c r="A4211" s="1">
        <v>100.0</v>
      </c>
      <c r="B4211" s="1" t="s">
        <v>1826</v>
      </c>
      <c r="C4211" s="1">
        <v>9.0</v>
      </c>
      <c r="D4211" s="1" t="s">
        <v>6</v>
      </c>
      <c r="E4211" s="1"/>
    </row>
    <row r="4212" ht="14.25" customHeight="1">
      <c r="A4212" s="1">
        <v>33.0</v>
      </c>
      <c r="B4212" s="1" t="s">
        <v>1826</v>
      </c>
      <c r="C4212" s="1">
        <v>6.0</v>
      </c>
      <c r="D4212" s="2" t="s">
        <v>1874</v>
      </c>
      <c r="E4212" s="1" t="str">
        <f>IFERROR(__xludf.DUMMYFUNCTION("GOOGLETRANSLATE(D4212,""PT"",""EN"")"),"I want more limit on the credit card")</f>
        <v>I want more limit on the credit card</v>
      </c>
    </row>
    <row r="4213" ht="14.25" customHeight="1">
      <c r="A4213" s="1">
        <v>100.0</v>
      </c>
      <c r="B4213" s="1" t="s">
        <v>1826</v>
      </c>
      <c r="C4213" s="1">
        <v>9.0</v>
      </c>
      <c r="D4213" s="1" t="s">
        <v>1875</v>
      </c>
      <c r="E4213" s="1" t="str">
        <f>IFERROR(__xludf.DUMMYFUNCTION("GOOGLETRANSLATE(D4213,""PT"",""EN"")"),"Efficiency, competence, personalized service, well organized application")</f>
        <v>Efficiency, competence, personalized service, well organized application</v>
      </c>
    </row>
    <row r="4214" ht="14.25" customHeight="1">
      <c r="A4214" s="1">
        <v>66.0</v>
      </c>
      <c r="B4214" s="1" t="s">
        <v>1826</v>
      </c>
      <c r="C4214" s="1">
        <v>8.0</v>
      </c>
      <c r="D4214" s="1" t="s">
        <v>1876</v>
      </c>
      <c r="E4214" s="1" t="str">
        <f>IFERROR(__xludf.DUMMYFUNCTION("GOOGLETRANSLATE(D4214,""PT"",""EN"")"),"I recommend")</f>
        <v>I recommend</v>
      </c>
    </row>
    <row r="4215" ht="14.25" customHeight="1">
      <c r="A4215" s="1">
        <v>100.0</v>
      </c>
      <c r="B4215" s="1" t="s">
        <v>1826</v>
      </c>
      <c r="C4215" s="1">
        <v>10.0</v>
      </c>
      <c r="D4215" s="1" t="s">
        <v>6</v>
      </c>
      <c r="E4215" s="1"/>
    </row>
    <row r="4216" ht="14.25" customHeight="1">
      <c r="A4216" s="1">
        <v>33.0</v>
      </c>
      <c r="B4216" s="1" t="s">
        <v>1826</v>
      </c>
      <c r="C4216" s="1">
        <v>0.0</v>
      </c>
      <c r="D4216" s="2" t="s">
        <v>1877</v>
      </c>
      <c r="E4216" s="1" t="str">
        <f>IFERROR(__xludf.DUMMYFUNCTION("GOOGLETRANSLATE(D4216,""PT"",""EN"")"),"Cancel our card without warning. It's still I have to break down every month to have the card ticket to pay. terrible attendance")</f>
        <v>Cancel our card without warning. It's still I have to break down every month to have the card ticket to pay. terrible attendance</v>
      </c>
    </row>
    <row r="4217" ht="14.25" customHeight="1">
      <c r="A4217" s="1">
        <v>33.0</v>
      </c>
      <c r="B4217" s="1" t="s">
        <v>1826</v>
      </c>
      <c r="C4217" s="1">
        <v>0.0</v>
      </c>
      <c r="D4217" s="1" t="s">
        <v>6</v>
      </c>
      <c r="E4217" s="1"/>
    </row>
    <row r="4218" ht="14.25" customHeight="1">
      <c r="A4218" s="1">
        <v>33.0</v>
      </c>
      <c r="B4218" s="1" t="s">
        <v>1826</v>
      </c>
      <c r="C4218" s="1">
        <v>0.0</v>
      </c>
      <c r="D4218" s="2" t="s">
        <v>1878</v>
      </c>
      <c r="E4218" s="1" t="str">
        <f>IFERROR(__xludf.DUMMYFUNCTION("GOOGLETRANSLATE(D4218,""PT"",""EN"")"),"The card application does not work, says it can return after 24 hours to redo the registration but never works")</f>
        <v>The card application does not work, says it can return after 24 hours to redo the registration but never works</v>
      </c>
    </row>
    <row r="4219" ht="14.25" customHeight="1">
      <c r="A4219" s="1">
        <v>100.0</v>
      </c>
      <c r="B4219" s="1" t="s">
        <v>1826</v>
      </c>
      <c r="C4219" s="1">
        <v>10.0</v>
      </c>
      <c r="D4219" s="2" t="s">
        <v>1879</v>
      </c>
      <c r="E4219" s="1" t="str">
        <f>IFERROR(__xludf.DUMMYFUNCTION("GOOGLETRANSLATE(D4219,""PT"",""EN"")"),"Great service is flexible TXS")</f>
        <v>Great service is flexible TXS</v>
      </c>
    </row>
    <row r="4220" ht="14.25" customHeight="1">
      <c r="A4220" s="1">
        <v>100.0</v>
      </c>
      <c r="B4220" s="1" t="s">
        <v>1826</v>
      </c>
      <c r="C4220" s="1">
        <v>10.0</v>
      </c>
      <c r="D4220" s="1" t="s">
        <v>6</v>
      </c>
      <c r="E4220" s="1"/>
    </row>
    <row r="4221" ht="14.25" customHeight="1">
      <c r="A4221" s="1">
        <v>66.0</v>
      </c>
      <c r="B4221" s="1" t="s">
        <v>1826</v>
      </c>
      <c r="C4221" s="1">
        <v>7.0</v>
      </c>
      <c r="D4221" s="1" t="s">
        <v>6</v>
      </c>
      <c r="E4221" s="1"/>
    </row>
    <row r="4222" ht="14.25" customHeight="1">
      <c r="A4222" s="1">
        <v>100.0</v>
      </c>
      <c r="B4222" s="1" t="s">
        <v>1826</v>
      </c>
      <c r="C4222" s="1">
        <v>10.0</v>
      </c>
      <c r="D4222" s="1" t="s">
        <v>1880</v>
      </c>
      <c r="E4222" s="1" t="str">
        <f>IFERROR(__xludf.DUMMYFUNCTION("GOOGLETRANSLATE(D4222,""PT"",""EN"")"),"Quality of service")</f>
        <v>Quality of service</v>
      </c>
    </row>
    <row r="4223" ht="14.25" customHeight="1">
      <c r="A4223" s="1">
        <v>100.0</v>
      </c>
      <c r="B4223" s="1" t="s">
        <v>1826</v>
      </c>
      <c r="C4223" s="1">
        <v>10.0</v>
      </c>
      <c r="D4223" s="1" t="s">
        <v>192</v>
      </c>
      <c r="E4223" s="1" t="str">
        <f>IFERROR(__xludf.DUMMYFUNCTION("GOOGLETRANSLATE(D4223,""PT"",""EN"")"),"Great")</f>
        <v>Great</v>
      </c>
    </row>
    <row r="4224" ht="14.25" customHeight="1">
      <c r="A4224" s="1">
        <v>100.0</v>
      </c>
      <c r="B4224" s="1" t="s">
        <v>1826</v>
      </c>
      <c r="C4224" s="1">
        <v>9.0</v>
      </c>
      <c r="D4224" s="1" t="s">
        <v>6</v>
      </c>
      <c r="E4224" s="1"/>
    </row>
    <row r="4225" ht="14.25" customHeight="1">
      <c r="A4225" s="1">
        <v>33.0</v>
      </c>
      <c r="B4225" s="1" t="s">
        <v>1826</v>
      </c>
      <c r="C4225" s="1">
        <v>3.0</v>
      </c>
      <c r="D4225" s="2" t="s">
        <v>1881</v>
      </c>
      <c r="E4225" s="1" t="str">
        <f>IFERROR(__xludf.DUMMYFUNCTION("GOOGLETRANSLATE(D4225,""PT"",""EN"")"),"Does not transfer account between the agencies. Does not release capitalization in case of closing accounts. Social discrimination with the account holder")</f>
        <v>Does not transfer account between the agencies. Does not release capitalization in case of closing accounts. Social discrimination with the account holder</v>
      </c>
    </row>
    <row r="4226" ht="14.25" customHeight="1">
      <c r="A4226" s="1">
        <v>100.0</v>
      </c>
      <c r="B4226" s="1" t="s">
        <v>1826</v>
      </c>
      <c r="C4226" s="1">
        <v>10.0</v>
      </c>
      <c r="D4226" s="1" t="s">
        <v>6</v>
      </c>
      <c r="E4226" s="1"/>
    </row>
    <row r="4227" ht="14.25" customHeight="1">
      <c r="A4227" s="1">
        <v>66.0</v>
      </c>
      <c r="B4227" s="1" t="s">
        <v>1826</v>
      </c>
      <c r="C4227" s="1">
        <v>8.0</v>
      </c>
      <c r="D4227" s="2" t="s">
        <v>1882</v>
      </c>
      <c r="E4227" s="1" t="str">
        <f>IFERROR(__xludf.DUMMYFUNCTION("GOOGLETRANSLATE(D4227,""PT"",""EN"")"),"Yes I recommend it! I like Sicoob's service but it needs to reduce interest is to improve the forms of loan")</f>
        <v>Yes I recommend it! I like Sicoob's service but it needs to reduce interest is to improve the forms of loan</v>
      </c>
    </row>
    <row r="4228" ht="14.25" customHeight="1">
      <c r="A4228" s="1">
        <v>33.0</v>
      </c>
      <c r="B4228" s="1" t="s">
        <v>1826</v>
      </c>
      <c r="C4228" s="1">
        <v>0.0</v>
      </c>
      <c r="D4228" s="2" t="s">
        <v>1883</v>
      </c>
      <c r="E4228" s="1" t="str">
        <f>IFERROR(__xludf.DUMMYFUNCTION("GOOGLETRANSLATE(D4228,""PT"",""EN"")"),"I went to my 509 south agency is service is pessimal, I was 10 min waiting the beautiful to serve me with a closed face, not even good afternoon I received.")</f>
        <v>I went to my 509 south agency is service is pessimal, I was 10 min waiting the beautiful to serve me with a closed face, not even good afternoon I received.</v>
      </c>
    </row>
    <row r="4229" ht="14.25" customHeight="1">
      <c r="A4229" s="1">
        <v>33.0</v>
      </c>
      <c r="B4229" s="1" t="s">
        <v>1826</v>
      </c>
      <c r="C4229" s="1">
        <v>0.0</v>
      </c>
      <c r="D4229" s="2" t="s">
        <v>1884</v>
      </c>
      <c r="E4229" s="1" t="str">
        <f>IFERROR(__xludf.DUMMYFUNCTION("GOOGLETRANSLATE(D4229,""PT"",""EN"")"),"I tried several times service by chat is nobody answers me.")</f>
        <v>I tried several times service by chat is nobody answers me.</v>
      </c>
    </row>
    <row r="4230" ht="14.25" customHeight="1">
      <c r="A4230" s="1">
        <v>100.0</v>
      </c>
      <c r="B4230" s="1" t="s">
        <v>1826</v>
      </c>
      <c r="C4230" s="1">
        <v>10.0</v>
      </c>
      <c r="D4230" s="1" t="s">
        <v>6</v>
      </c>
      <c r="E4230" s="1"/>
    </row>
    <row r="4231" ht="14.25" customHeight="1">
      <c r="A4231" s="1">
        <v>33.0</v>
      </c>
      <c r="B4231" s="1" t="s">
        <v>1826</v>
      </c>
      <c r="C4231" s="1">
        <v>0.0</v>
      </c>
      <c r="D4231" s="1" t="s">
        <v>901</v>
      </c>
      <c r="E4231" s="1"/>
    </row>
    <row r="4232" ht="14.25" customHeight="1">
      <c r="A4232" s="1">
        <v>33.0</v>
      </c>
      <c r="B4232" s="1" t="s">
        <v>1826</v>
      </c>
      <c r="C4232" s="1">
        <v>1.0</v>
      </c>
      <c r="D4232" s="1" t="s">
        <v>6</v>
      </c>
      <c r="E4232" s="1"/>
    </row>
    <row r="4233" ht="14.25" customHeight="1">
      <c r="A4233" s="1">
        <v>33.0</v>
      </c>
      <c r="B4233" s="1" t="s">
        <v>1826</v>
      </c>
      <c r="C4233" s="1">
        <v>0.0</v>
      </c>
      <c r="D4233" s="1" t="s">
        <v>1885</v>
      </c>
      <c r="E4233" s="1" t="str">
        <f>IFERROR(__xludf.DUMMYFUNCTION("GOOGLETRANSLATE(D4233,""PT"",""EN"")"),"Bad bank")</f>
        <v>Bad bank</v>
      </c>
    </row>
    <row r="4234" ht="14.25" customHeight="1">
      <c r="A4234" s="1">
        <v>100.0</v>
      </c>
      <c r="B4234" s="1" t="s">
        <v>1826</v>
      </c>
      <c r="C4234" s="1">
        <v>10.0</v>
      </c>
      <c r="D4234" s="1" t="s">
        <v>6</v>
      </c>
      <c r="E4234" s="1"/>
    </row>
    <row r="4235" ht="14.25" customHeight="1">
      <c r="A4235" s="1">
        <v>100.0</v>
      </c>
      <c r="B4235" s="1" t="s">
        <v>1826</v>
      </c>
      <c r="C4235" s="1">
        <v>10.0</v>
      </c>
      <c r="D4235" s="2" t="s">
        <v>1886</v>
      </c>
      <c r="E4235" s="1" t="str">
        <f>IFERROR(__xludf.DUMMYFUNCTION("GOOGLETRANSLATE(D4235,""PT"",""EN"")"),"There was no opportunity to use the services of this cooperative despite being an account holder since 2011 to contribute monthly I can not evaluate")</f>
        <v>There was no opportunity to use the services of this cooperative despite being an account holder since 2011 to contribute monthly I can not evaluate</v>
      </c>
    </row>
    <row r="4236" ht="14.25" customHeight="1">
      <c r="A4236" s="1">
        <v>66.0</v>
      </c>
      <c r="B4236" s="1" t="s">
        <v>1826</v>
      </c>
      <c r="C4236" s="1">
        <v>8.0</v>
      </c>
      <c r="D4236" s="1" t="s">
        <v>6</v>
      </c>
      <c r="E4236" s="1"/>
    </row>
    <row r="4237" ht="14.25" customHeight="1">
      <c r="A4237" s="1">
        <v>100.0</v>
      </c>
      <c r="B4237" s="1" t="s">
        <v>1826</v>
      </c>
      <c r="C4237" s="1">
        <v>10.0</v>
      </c>
      <c r="D4237" s="1" t="s">
        <v>6</v>
      </c>
      <c r="E4237" s="1"/>
    </row>
    <row r="4238" ht="14.25" customHeight="1">
      <c r="A4238" s="1">
        <v>33.0</v>
      </c>
      <c r="B4238" s="1" t="s">
        <v>1826</v>
      </c>
      <c r="C4238" s="1">
        <v>0.0</v>
      </c>
      <c r="D4238" s="2" t="s">
        <v>1887</v>
      </c>
      <c r="E4238" s="1" t="str">
        <f>IFERROR(__xludf.DUMMYFUNCTION("GOOGLETRANSLATE(D4238,""PT"",""EN"")"),"Pessimal Credit Analysis Policy. There is no transparency")</f>
        <v>Pessimal Credit Analysis Policy. There is no transparency</v>
      </c>
    </row>
    <row r="4239" ht="14.25" customHeight="1">
      <c r="A4239" s="1">
        <v>100.0</v>
      </c>
      <c r="B4239" s="1" t="s">
        <v>1826</v>
      </c>
      <c r="C4239" s="1">
        <v>10.0</v>
      </c>
      <c r="D4239" s="1" t="s">
        <v>6</v>
      </c>
      <c r="E4239" s="1"/>
    </row>
    <row r="4240" ht="14.25" customHeight="1">
      <c r="A4240" s="1">
        <v>100.0</v>
      </c>
      <c r="B4240" s="1" t="s">
        <v>1826</v>
      </c>
      <c r="C4240" s="1">
        <v>10.0</v>
      </c>
      <c r="D4240" s="1" t="s">
        <v>22</v>
      </c>
      <c r="E4240" s="1" t="str">
        <f>IFERROR(__xludf.DUMMYFUNCTION("GOOGLETRANSLATE(D4240,""PT"",""EN"")"),"Excellent service")</f>
        <v>Excellent service</v>
      </c>
    </row>
    <row r="4241" ht="14.25" customHeight="1">
      <c r="A4241" s="1">
        <v>100.0</v>
      </c>
      <c r="B4241" s="1" t="s">
        <v>1826</v>
      </c>
      <c r="C4241" s="1">
        <v>10.0</v>
      </c>
      <c r="D4241" s="1" t="s">
        <v>1888</v>
      </c>
      <c r="E4241" s="1" t="str">
        <f>IFERROR(__xludf.DUMMYFUNCTION("GOOGLETRANSLATE(D4241,""PT"",""EN"")"),"Efficiency in service. Lower interest rates.")</f>
        <v>Efficiency in service. Lower interest rates.</v>
      </c>
    </row>
    <row r="4242" ht="14.25" customHeight="1">
      <c r="A4242" s="1">
        <v>100.0</v>
      </c>
      <c r="B4242" s="1" t="s">
        <v>1826</v>
      </c>
      <c r="C4242" s="1">
        <v>10.0</v>
      </c>
      <c r="D4242" s="1" t="s">
        <v>415</v>
      </c>
      <c r="E4242" s="1" t="str">
        <f>IFERROR(__xludf.DUMMYFUNCTION("GOOGLETRANSLATE(D4242,""PT"",""EN"")"),"practicality")</f>
        <v>practicality</v>
      </c>
    </row>
    <row r="4243" ht="14.25" customHeight="1">
      <c r="A4243" s="1">
        <v>100.0</v>
      </c>
      <c r="B4243" s="1" t="s">
        <v>1826</v>
      </c>
      <c r="C4243" s="1">
        <v>10.0</v>
      </c>
      <c r="D4243" s="1" t="s">
        <v>6</v>
      </c>
      <c r="E4243" s="1"/>
    </row>
    <row r="4244" ht="14.25" customHeight="1">
      <c r="A4244" s="1">
        <v>100.0</v>
      </c>
      <c r="B4244" s="1" t="s">
        <v>1826</v>
      </c>
      <c r="C4244" s="1">
        <v>10.0</v>
      </c>
      <c r="D4244" s="1" t="s">
        <v>6</v>
      </c>
      <c r="E4244" s="1"/>
    </row>
    <row r="4245" ht="14.25" customHeight="1">
      <c r="A4245" s="1">
        <v>100.0</v>
      </c>
      <c r="B4245" s="1" t="s">
        <v>1826</v>
      </c>
      <c r="C4245" s="1">
        <v>10.0</v>
      </c>
      <c r="D4245" s="1" t="s">
        <v>6</v>
      </c>
      <c r="E4245" s="1"/>
    </row>
    <row r="4246" ht="14.25" customHeight="1">
      <c r="A4246" s="1">
        <v>100.0</v>
      </c>
      <c r="B4246" s="1" t="s">
        <v>1826</v>
      </c>
      <c r="C4246" s="1">
        <v>10.0</v>
      </c>
      <c r="D4246" s="2" t="s">
        <v>1889</v>
      </c>
      <c r="E4246" s="1" t="str">
        <f>IFERROR(__xludf.DUMMYFUNCTION("GOOGLETRANSLATE(D4246,""PT"",""EN"")"),"The efficiency of the system, reliability is service celere")</f>
        <v>The efficiency of the system, reliability is service celere</v>
      </c>
    </row>
    <row r="4247" ht="14.25" customHeight="1">
      <c r="A4247" s="1">
        <v>33.0</v>
      </c>
      <c r="B4247" s="1" t="s">
        <v>1826</v>
      </c>
      <c r="C4247" s="1">
        <v>2.0</v>
      </c>
      <c r="D4247" s="2" t="s">
        <v>1890</v>
      </c>
      <c r="E4247" s="1" t="str">
        <f>IFERROR(__xludf.DUMMYFUNCTION("GOOGLETRANSLATE(D4247,""PT"",""EN"")"),"Does not honor agreements, changes rates without signaling breaking agreements is pessimal service of the consultant.")</f>
        <v>Does not honor agreements, changes rates without signaling breaking agreements is pessimal service of the consultant.</v>
      </c>
    </row>
    <row r="4248" ht="14.25" customHeight="1">
      <c r="A4248" s="1">
        <v>33.0</v>
      </c>
      <c r="B4248" s="1" t="s">
        <v>1826</v>
      </c>
      <c r="C4248" s="1">
        <v>3.0</v>
      </c>
      <c r="D4248" s="1" t="s">
        <v>6</v>
      </c>
      <c r="E4248" s="1"/>
    </row>
    <row r="4249" ht="14.25" customHeight="1">
      <c r="A4249" s="1">
        <v>100.0</v>
      </c>
      <c r="B4249" s="1" t="s">
        <v>1826</v>
      </c>
      <c r="C4249" s="1">
        <v>10.0</v>
      </c>
      <c r="D4249" s="1" t="s">
        <v>1891</v>
      </c>
      <c r="E4249" s="1" t="str">
        <f>IFERROR(__xludf.DUMMYFUNCTION("GOOGLETRANSLATE(D4249,""PT"",""EN"")"),"Exceptional.")</f>
        <v>Exceptional.</v>
      </c>
    </row>
    <row r="4250" ht="14.25" customHeight="1">
      <c r="A4250" s="1">
        <v>100.0</v>
      </c>
      <c r="B4250" s="1" t="s">
        <v>1826</v>
      </c>
      <c r="C4250" s="1">
        <v>9.0</v>
      </c>
      <c r="D4250" s="1" t="s">
        <v>6</v>
      </c>
      <c r="E4250" s="1"/>
    </row>
    <row r="4251" ht="14.25" customHeight="1">
      <c r="A4251" s="1">
        <v>66.0</v>
      </c>
      <c r="B4251" s="1" t="s">
        <v>1826</v>
      </c>
      <c r="C4251" s="1">
        <v>7.0</v>
      </c>
      <c r="D4251" s="1" t="s">
        <v>1892</v>
      </c>
      <c r="E4251" s="1" t="str">
        <f>IFERROR(__xludf.DUMMYFUNCTION("GOOGLETRANSLATE(D4251,""PT"",""EN"")"),"It is a long time to present solution/explanation for the divergence of income in account with application. App with little friendly interface.")</f>
        <v>It is a long time to present solution/explanation for the divergence of income in account with application. App with little friendly interface.</v>
      </c>
    </row>
    <row r="4252" ht="14.25" customHeight="1">
      <c r="A4252" s="1">
        <v>66.0</v>
      </c>
      <c r="B4252" s="1" t="s">
        <v>1826</v>
      </c>
      <c r="C4252" s="1">
        <v>8.0</v>
      </c>
      <c r="D4252" s="1" t="s">
        <v>6</v>
      </c>
      <c r="E4252" s="1"/>
    </row>
    <row r="4253" ht="14.25" customHeight="1">
      <c r="A4253" s="1">
        <v>100.0</v>
      </c>
      <c r="B4253" s="1" t="s">
        <v>1826</v>
      </c>
      <c r="C4253" s="1">
        <v>9.0</v>
      </c>
      <c r="D4253" s="1" t="s">
        <v>1893</v>
      </c>
      <c r="E4253" s="1" t="str">
        <f>IFERROR(__xludf.DUMMYFUNCTION("GOOGLETRANSLATE(D4253,""PT"",""EN"")"),"Excellence in banking care. From the agency to the application.")</f>
        <v>Excellence in banking care. From the agency to the application.</v>
      </c>
    </row>
    <row r="4254" ht="14.25" customHeight="1">
      <c r="A4254" s="1">
        <v>66.0</v>
      </c>
      <c r="B4254" s="1" t="s">
        <v>1826</v>
      </c>
      <c r="C4254" s="1">
        <v>7.0</v>
      </c>
      <c r="D4254" s="1" t="s">
        <v>6</v>
      </c>
      <c r="E4254" s="1"/>
    </row>
    <row r="4255" ht="14.25" customHeight="1">
      <c r="A4255" s="1">
        <v>33.0</v>
      </c>
      <c r="B4255" s="1" t="s">
        <v>1826</v>
      </c>
      <c r="C4255" s="1">
        <v>6.0</v>
      </c>
      <c r="D4255" s="2" t="s">
        <v>1894</v>
      </c>
      <c r="E4255" s="1" t="str">
        <f>IFERROR(__xludf.DUMMYFUNCTION("GOOGLETRANSLATE(D4255,""PT"",""EN"")"),"There is little return and monitoring of managers with the PJ accounts")</f>
        <v>There is little return and monitoring of managers with the PJ accounts</v>
      </c>
    </row>
    <row r="4256" ht="14.25" customHeight="1">
      <c r="A4256" s="1">
        <v>33.0</v>
      </c>
      <c r="B4256" s="1" t="s">
        <v>1826</v>
      </c>
      <c r="C4256" s="1">
        <v>0.0</v>
      </c>
      <c r="D4256" s="1" t="s">
        <v>6</v>
      </c>
      <c r="E4256" s="1"/>
    </row>
    <row r="4257" ht="14.25" customHeight="1">
      <c r="A4257" s="1">
        <v>100.0</v>
      </c>
      <c r="B4257" s="1" t="s">
        <v>1826</v>
      </c>
      <c r="C4257" s="1">
        <v>10.0</v>
      </c>
      <c r="D4257" s="1" t="s">
        <v>6</v>
      </c>
      <c r="E4257" s="1"/>
    </row>
    <row r="4258" ht="14.25" customHeight="1">
      <c r="A4258" s="1">
        <v>100.0</v>
      </c>
      <c r="B4258" s="1" t="s">
        <v>1826</v>
      </c>
      <c r="C4258" s="1">
        <v>10.0</v>
      </c>
      <c r="D4258" s="2" t="s">
        <v>1895</v>
      </c>
      <c r="E4258" s="1" t="str">
        <f>IFERROR(__xludf.DUMMYFUNCTION("GOOGLETRANSLATE(D4258,""PT"",""EN"")"),"For your efficiency and training")</f>
        <v>For your efficiency and training</v>
      </c>
    </row>
    <row r="4259" ht="14.25" customHeight="1">
      <c r="A4259" s="1">
        <v>66.0</v>
      </c>
      <c r="B4259" s="1" t="s">
        <v>1826</v>
      </c>
      <c r="C4259" s="1">
        <v>7.0</v>
      </c>
      <c r="D4259" s="1" t="s">
        <v>6</v>
      </c>
      <c r="E4259" s="1"/>
    </row>
    <row r="4260" ht="14.25" customHeight="1">
      <c r="A4260" s="1">
        <v>100.0</v>
      </c>
      <c r="B4260" s="1" t="s">
        <v>1826</v>
      </c>
      <c r="C4260" s="1">
        <v>10.0</v>
      </c>
      <c r="D4260" s="1" t="s">
        <v>97</v>
      </c>
      <c r="E4260" s="1" t="str">
        <f>IFERROR(__xludf.DUMMYFUNCTION("GOOGLETRANSLATE(D4260,""PT"",""EN"")"),"Excellent")</f>
        <v>Excellent</v>
      </c>
    </row>
    <row r="4261" ht="14.25" customHeight="1">
      <c r="A4261" s="1">
        <v>33.0</v>
      </c>
      <c r="B4261" s="1" t="s">
        <v>1826</v>
      </c>
      <c r="C4261" s="1">
        <v>0.0</v>
      </c>
      <c r="D4261" s="1" t="s">
        <v>6</v>
      </c>
      <c r="E4261" s="1"/>
    </row>
    <row r="4262" ht="14.25" customHeight="1">
      <c r="A4262" s="1">
        <v>33.0</v>
      </c>
      <c r="B4262" s="1" t="s">
        <v>1826</v>
      </c>
      <c r="C4262" s="1">
        <v>3.0</v>
      </c>
      <c r="D4262" s="1" t="s">
        <v>6</v>
      </c>
      <c r="E4262" s="1"/>
    </row>
    <row r="4263" ht="14.25" customHeight="1">
      <c r="A4263" s="1">
        <v>33.0</v>
      </c>
      <c r="B4263" s="1" t="s">
        <v>1826</v>
      </c>
      <c r="C4263" s="1">
        <v>4.0</v>
      </c>
      <c r="D4263" s="2" t="s">
        <v>1896</v>
      </c>
      <c r="E4263" s="1" t="str">
        <f>IFERROR(__xludf.DUMMYFUNCTION("GOOGLETRANSLATE(D4263,""PT"",""EN"")"),"Waiting for long service, app does not solve the demands, the service by WhatsApp is bad is the attendants show not have patience ...")</f>
        <v>Waiting for long service, app does not solve the demands, the service by WhatsApp is bad is the attendants show not have patience ...</v>
      </c>
    </row>
    <row r="4264" ht="14.25" customHeight="1">
      <c r="A4264" s="1">
        <v>100.0</v>
      </c>
      <c r="B4264" s="1" t="s">
        <v>1826</v>
      </c>
      <c r="C4264" s="1">
        <v>10.0</v>
      </c>
      <c r="D4264" s="1" t="s">
        <v>412</v>
      </c>
      <c r="E4264" s="1" t="str">
        <f>IFERROR(__xludf.DUMMYFUNCTION("GOOGLETRANSLATE(D4264,""PT"",""EN"")"),"Efficiency")</f>
        <v>Efficiency</v>
      </c>
    </row>
    <row r="4265" ht="14.25" customHeight="1">
      <c r="A4265" s="1">
        <v>33.0</v>
      </c>
      <c r="B4265" s="1" t="s">
        <v>1826</v>
      </c>
      <c r="C4265" s="1">
        <v>2.0</v>
      </c>
      <c r="D4265" s="1" t="s">
        <v>1897</v>
      </c>
      <c r="E4265" s="1" t="str">
        <f>IFERROR(__xludf.DUMMYFUNCTION("GOOGLETRANSLATE(D4265,""PT"",""EN"")"),"My account manager takes a long time with the returns.")</f>
        <v>My account manager takes a long time with the returns.</v>
      </c>
    </row>
    <row r="4266" ht="14.25" customHeight="1">
      <c r="A4266" s="1">
        <v>100.0</v>
      </c>
      <c r="B4266" s="1" t="s">
        <v>1826</v>
      </c>
      <c r="C4266" s="1">
        <v>10.0</v>
      </c>
      <c r="D4266" s="1" t="s">
        <v>6</v>
      </c>
      <c r="E4266" s="1"/>
    </row>
    <row r="4267" ht="14.25" customHeight="1">
      <c r="A4267" s="1">
        <v>100.0</v>
      </c>
      <c r="B4267" s="1" t="s">
        <v>1826</v>
      </c>
      <c r="C4267" s="1">
        <v>10.0</v>
      </c>
      <c r="D4267" s="2" t="s">
        <v>1898</v>
      </c>
      <c r="E4267" s="1" t="str">
        <f>IFERROR(__xludf.DUMMYFUNCTION("GOOGLETRANSLATE(D4267,""PT"",""EN"")"),"Sicoob is top")</f>
        <v>Sicoob is top</v>
      </c>
    </row>
    <row r="4268" ht="14.25" customHeight="1">
      <c r="A4268" s="1">
        <v>100.0</v>
      </c>
      <c r="B4268" s="1" t="s">
        <v>1826</v>
      </c>
      <c r="C4268" s="1">
        <v>10.0</v>
      </c>
      <c r="D4268" s="1" t="s">
        <v>6</v>
      </c>
      <c r="E4268" s="1"/>
    </row>
    <row r="4269" ht="14.25" customHeight="1">
      <c r="A4269" s="1">
        <v>100.0</v>
      </c>
      <c r="B4269" s="1" t="s">
        <v>1826</v>
      </c>
      <c r="C4269" s="1">
        <v>10.0</v>
      </c>
      <c r="D4269" s="1" t="s">
        <v>1899</v>
      </c>
      <c r="E4269" s="1" t="str">
        <f>IFERROR(__xludf.DUMMYFUNCTION("GOOGLETRANSLATE(D4269,""PT"",""EN"")"),"Best financial institution!")</f>
        <v>Best financial institution!</v>
      </c>
    </row>
    <row r="4270" ht="14.25" customHeight="1">
      <c r="A4270" s="1">
        <v>66.0</v>
      </c>
      <c r="B4270" s="1" t="s">
        <v>1826</v>
      </c>
      <c r="C4270" s="1">
        <v>8.0</v>
      </c>
      <c r="D4270" s="1" t="s">
        <v>6</v>
      </c>
      <c r="E4270" s="1"/>
    </row>
    <row r="4271" ht="14.25" customHeight="1">
      <c r="A4271" s="1">
        <v>100.0</v>
      </c>
      <c r="B4271" s="1" t="s">
        <v>1826</v>
      </c>
      <c r="C4271" s="1">
        <v>10.0</v>
      </c>
      <c r="D4271" s="1" t="s">
        <v>6</v>
      </c>
      <c r="E4271" s="1"/>
    </row>
    <row r="4272" ht="14.25" customHeight="1">
      <c r="A4272" s="1">
        <v>100.0</v>
      </c>
      <c r="B4272" s="1" t="s">
        <v>1826</v>
      </c>
      <c r="C4272" s="1">
        <v>10.0</v>
      </c>
      <c r="D4272" s="1" t="s">
        <v>6</v>
      </c>
      <c r="E4272" s="1"/>
    </row>
    <row r="4273" ht="14.25" customHeight="1">
      <c r="A4273" s="1">
        <v>100.0</v>
      </c>
      <c r="B4273" s="1" t="s">
        <v>1826</v>
      </c>
      <c r="C4273" s="1">
        <v>9.0</v>
      </c>
      <c r="D4273" s="1" t="s">
        <v>6</v>
      </c>
      <c r="E4273" s="1"/>
    </row>
    <row r="4274" ht="14.25" customHeight="1">
      <c r="A4274" s="1">
        <v>100.0</v>
      </c>
      <c r="B4274" s="1" t="s">
        <v>1826</v>
      </c>
      <c r="C4274" s="1">
        <v>10.0</v>
      </c>
      <c r="D4274" s="2" t="s">
        <v>1900</v>
      </c>
      <c r="E4274" s="1" t="str">
        <f>IFERROR(__xludf.DUMMYFUNCTION("GOOGLETRANSLATE(D4274,""PT"",""EN"")"),"Service quality and availability of Heloísa managers is Murilo. Besides the attention provided by President Lesse")</f>
        <v>Service quality and availability of Heloísa managers is Murilo. Besides the attention provided by President Lesse</v>
      </c>
    </row>
    <row r="4275" ht="14.25" customHeight="1">
      <c r="A4275" s="1">
        <v>100.0</v>
      </c>
      <c r="B4275" s="1" t="s">
        <v>1826</v>
      </c>
      <c r="C4275" s="1">
        <v>10.0</v>
      </c>
      <c r="D4275" s="1" t="s">
        <v>6</v>
      </c>
      <c r="E4275" s="1"/>
    </row>
    <row r="4276" ht="14.25" customHeight="1">
      <c r="A4276" s="1">
        <v>33.0</v>
      </c>
      <c r="B4276" s="1" t="s">
        <v>1826</v>
      </c>
      <c r="C4276" s="1">
        <v>0.0</v>
      </c>
      <c r="D4276" s="1" t="s">
        <v>6</v>
      </c>
      <c r="E4276" s="1"/>
    </row>
    <row r="4277" ht="14.25" customHeight="1">
      <c r="A4277" s="1">
        <v>100.0</v>
      </c>
      <c r="B4277" s="1" t="s">
        <v>1826</v>
      </c>
      <c r="C4277" s="1">
        <v>9.0</v>
      </c>
      <c r="D4277" s="1" t="s">
        <v>6</v>
      </c>
      <c r="E4277" s="1"/>
    </row>
    <row r="4278" ht="14.25" customHeight="1">
      <c r="A4278" s="1">
        <v>33.0</v>
      </c>
      <c r="B4278" s="1" t="s">
        <v>1826</v>
      </c>
      <c r="C4278" s="1">
        <v>0.0</v>
      </c>
      <c r="D4278" s="2" t="s">
        <v>1901</v>
      </c>
      <c r="E4278" s="1" t="str">
        <f>IFERROR(__xludf.DUMMYFUNCTION("GOOGLETRANSLATE(D4278,""PT"",""EN"")"),"I can't contact you don't answer me")</f>
        <v>I can't contact you don't answer me</v>
      </c>
    </row>
    <row r="4279" ht="14.25" customHeight="1">
      <c r="A4279" s="1">
        <v>66.0</v>
      </c>
      <c r="B4279" s="1" t="s">
        <v>1826</v>
      </c>
      <c r="C4279" s="1">
        <v>8.0</v>
      </c>
      <c r="D4279" s="2" t="s">
        <v>1902</v>
      </c>
      <c r="E4279" s="1" t="str">
        <f>IFERROR(__xludf.DUMMYFUNCTION("GOOGLETRANSLATE(D4279,""PT"",""EN"")"),"Although it cannot use the application, the service at the agency or by WhatsApp is satisfactory")</f>
        <v>Although it cannot use the application, the service at the agency or by WhatsApp is satisfactory</v>
      </c>
    </row>
    <row r="4280" ht="14.25" customHeight="1">
      <c r="A4280" s="1">
        <v>100.0</v>
      </c>
      <c r="B4280" s="1" t="s">
        <v>1826</v>
      </c>
      <c r="C4280" s="1">
        <v>10.0</v>
      </c>
      <c r="D4280" s="1" t="s">
        <v>6</v>
      </c>
      <c r="E4280" s="1"/>
    </row>
    <row r="4281" ht="14.25" customHeight="1">
      <c r="A4281" s="1">
        <v>100.0</v>
      </c>
      <c r="B4281" s="1" t="s">
        <v>1826</v>
      </c>
      <c r="C4281" s="1">
        <v>9.0</v>
      </c>
      <c r="D4281" s="1" t="s">
        <v>1903</v>
      </c>
      <c r="E4281" s="1" t="str">
        <f>IFERROR(__xludf.DUMMYFUNCTION("GOOGLETRANSLATE(D4281,""PT"",""EN"")"),"Promptness in service")</f>
        <v>Promptness in service</v>
      </c>
    </row>
    <row r="4282" ht="14.25" customHeight="1">
      <c r="A4282" s="1">
        <v>100.0</v>
      </c>
      <c r="B4282" s="1" t="s">
        <v>1826</v>
      </c>
      <c r="C4282" s="1">
        <v>10.0</v>
      </c>
      <c r="D4282" s="1" t="s">
        <v>6</v>
      </c>
      <c r="E4282" s="1"/>
    </row>
    <row r="4283" ht="14.25" customHeight="1">
      <c r="A4283" s="1">
        <v>33.0</v>
      </c>
      <c r="B4283" s="1" t="s">
        <v>1826</v>
      </c>
      <c r="C4283" s="1">
        <v>0.0</v>
      </c>
      <c r="D4283" s="1" t="s">
        <v>6</v>
      </c>
      <c r="E4283" s="1"/>
    </row>
    <row r="4284" ht="14.25" customHeight="1">
      <c r="A4284" s="1">
        <v>33.0</v>
      </c>
      <c r="B4284" s="1" t="s">
        <v>1826</v>
      </c>
      <c r="C4284" s="1">
        <v>5.0</v>
      </c>
      <c r="D4284" s="1" t="s">
        <v>6</v>
      </c>
      <c r="E4284" s="1"/>
    </row>
    <row r="4285" ht="14.25" customHeight="1">
      <c r="A4285" s="1">
        <v>100.0</v>
      </c>
      <c r="B4285" s="1" t="s">
        <v>1826</v>
      </c>
      <c r="C4285" s="1">
        <v>10.0</v>
      </c>
      <c r="D4285" s="1" t="s">
        <v>6</v>
      </c>
      <c r="E4285" s="1"/>
    </row>
    <row r="4286" ht="14.25" customHeight="1">
      <c r="A4286" s="1">
        <v>66.0</v>
      </c>
      <c r="B4286" s="1" t="s">
        <v>1826</v>
      </c>
      <c r="C4286" s="1">
        <v>7.0</v>
      </c>
      <c r="D4286" s="1" t="s">
        <v>412</v>
      </c>
      <c r="E4286" s="1" t="str">
        <f>IFERROR(__xludf.DUMMYFUNCTION("GOOGLETRANSLATE(D4286,""PT"",""EN"")"),"Efficiency")</f>
        <v>Efficiency</v>
      </c>
    </row>
    <row r="4287" ht="14.25" customHeight="1">
      <c r="A4287" s="1">
        <v>100.0</v>
      </c>
      <c r="B4287" s="1" t="s">
        <v>1826</v>
      </c>
      <c r="C4287" s="1">
        <v>10.0</v>
      </c>
      <c r="D4287" s="1" t="s">
        <v>6</v>
      </c>
      <c r="E4287" s="1"/>
    </row>
    <row r="4288" ht="14.25" customHeight="1">
      <c r="A4288" s="1">
        <v>66.0</v>
      </c>
      <c r="B4288" s="1" t="s">
        <v>1826</v>
      </c>
      <c r="C4288" s="1">
        <v>8.0</v>
      </c>
      <c r="D4288" s="1" t="s">
        <v>6</v>
      </c>
      <c r="E4288" s="1"/>
    </row>
    <row r="4289" ht="14.25" customHeight="1">
      <c r="A4289" s="1">
        <v>33.0</v>
      </c>
      <c r="B4289" s="1" t="s">
        <v>1826</v>
      </c>
      <c r="C4289" s="1">
        <v>0.0</v>
      </c>
      <c r="D4289" s="2" t="s">
        <v>1904</v>
      </c>
      <c r="E4289" s="1" t="str">
        <f>IFERROR(__xludf.DUMMYFUNCTION("GOOGLETRANSLATE(D4289,""PT"",""EN"")"),"I can not speak")</f>
        <v>I can not speak</v>
      </c>
    </row>
    <row r="4290" ht="14.25" customHeight="1">
      <c r="A4290" s="1">
        <v>100.0</v>
      </c>
      <c r="B4290" s="1" t="s">
        <v>1826</v>
      </c>
      <c r="C4290" s="1">
        <v>10.0</v>
      </c>
      <c r="D4290" s="1" t="s">
        <v>62</v>
      </c>
      <c r="E4290" s="1" t="str">
        <f>IFERROR(__xludf.DUMMYFUNCTION("GOOGLETRANSLATE(D4290,""PT"",""EN"")"),"Good service")</f>
        <v>Good service</v>
      </c>
    </row>
    <row r="4291" ht="14.25" customHeight="1">
      <c r="A4291" s="1">
        <v>100.0</v>
      </c>
      <c r="B4291" s="1" t="s">
        <v>1826</v>
      </c>
      <c r="C4291" s="1">
        <v>10.0</v>
      </c>
      <c r="D4291" s="1" t="s">
        <v>6</v>
      </c>
      <c r="E4291" s="1"/>
    </row>
    <row r="4292" ht="14.25" customHeight="1">
      <c r="A4292" s="1">
        <v>33.0</v>
      </c>
      <c r="B4292" s="1" t="s">
        <v>1826</v>
      </c>
      <c r="C4292" s="1">
        <v>6.0</v>
      </c>
      <c r="D4292" s="2" t="s">
        <v>1905</v>
      </c>
      <c r="E4292" s="1" t="str">
        <f>IFERROR(__xludf.DUMMYFUNCTION("GOOGLETRANSLATE(D4292,""PT"",""EN"")"),"Virtual service very slow, it is without resolution")</f>
        <v>Virtual service very slow, it is without resolution</v>
      </c>
    </row>
    <row r="4293" ht="14.25" customHeight="1">
      <c r="A4293" s="1">
        <v>100.0</v>
      </c>
      <c r="B4293" s="1" t="s">
        <v>1826</v>
      </c>
      <c r="C4293" s="1">
        <v>10.0</v>
      </c>
      <c r="D4293" s="1" t="s">
        <v>659</v>
      </c>
      <c r="E4293" s="1" t="str">
        <f>IFERROR(__xludf.DUMMYFUNCTION("GOOGLETRANSLATE(D4293,""PT"",""EN"")"),"Good service.")</f>
        <v>Good service.</v>
      </c>
    </row>
    <row r="4294" ht="14.25" customHeight="1">
      <c r="A4294" s="1">
        <v>100.0</v>
      </c>
      <c r="B4294" s="1" t="s">
        <v>1826</v>
      </c>
      <c r="C4294" s="1">
        <v>10.0</v>
      </c>
      <c r="D4294" s="1" t="s">
        <v>6</v>
      </c>
      <c r="E4294" s="1"/>
    </row>
    <row r="4295" ht="14.25" customHeight="1">
      <c r="A4295" s="1">
        <v>66.0</v>
      </c>
      <c r="B4295" s="1" t="s">
        <v>1826</v>
      </c>
      <c r="C4295" s="1">
        <v>7.0</v>
      </c>
      <c r="D4295" s="1" t="s">
        <v>6</v>
      </c>
      <c r="E4295" s="1"/>
    </row>
    <row r="4296" ht="14.25" customHeight="1">
      <c r="A4296" s="1">
        <v>100.0</v>
      </c>
      <c r="B4296" s="1" t="s">
        <v>1826</v>
      </c>
      <c r="C4296" s="1">
        <v>10.0</v>
      </c>
      <c r="D4296" s="2" t="s">
        <v>1906</v>
      </c>
      <c r="E4296" s="1" t="str">
        <f>IFERROR(__xludf.DUMMYFUNCTION("GOOGLETRANSLATE(D4296,""PT"",""EN"")"),"It could list several reasons, besides being a bank client for the cordiality of employees.")</f>
        <v>It could list several reasons, besides being a bank client for the cordiality of employees.</v>
      </c>
    </row>
    <row r="4297" ht="14.25" customHeight="1">
      <c r="A4297" s="1">
        <v>100.0</v>
      </c>
      <c r="B4297" s="1" t="s">
        <v>1826</v>
      </c>
      <c r="C4297" s="1">
        <v>10.0</v>
      </c>
      <c r="D4297" s="1" t="s">
        <v>6</v>
      </c>
      <c r="E4297" s="1"/>
    </row>
    <row r="4298" ht="14.25" customHeight="1">
      <c r="A4298" s="1">
        <v>66.0</v>
      </c>
      <c r="B4298" s="1" t="s">
        <v>1826</v>
      </c>
      <c r="C4298" s="1">
        <v>8.0</v>
      </c>
      <c r="D4298" s="1" t="s">
        <v>6</v>
      </c>
      <c r="E4298" s="1"/>
    </row>
    <row r="4299" ht="14.25" customHeight="1">
      <c r="A4299" s="1">
        <v>33.0</v>
      </c>
      <c r="B4299" s="1" t="s">
        <v>1826</v>
      </c>
      <c r="C4299" s="1">
        <v>0.0</v>
      </c>
      <c r="D4299" s="1" t="s">
        <v>6</v>
      </c>
      <c r="E4299" s="1"/>
    </row>
    <row r="4300" ht="14.25" customHeight="1">
      <c r="A4300" s="1">
        <v>100.0</v>
      </c>
      <c r="B4300" s="1" t="s">
        <v>1826</v>
      </c>
      <c r="C4300" s="1">
        <v>10.0</v>
      </c>
      <c r="D4300" s="1" t="s">
        <v>1907</v>
      </c>
      <c r="E4300" s="1" t="str">
        <f>IFERROR(__xludf.DUMMYFUNCTION("GOOGLETRANSLATE(D4300,""PT"",""EN"")"),"Service provided")</f>
        <v>Service provided</v>
      </c>
    </row>
    <row r="4301" ht="14.25" customHeight="1">
      <c r="A4301" s="1">
        <v>33.0</v>
      </c>
      <c r="B4301" s="1" t="s">
        <v>1826</v>
      </c>
      <c r="C4301" s="1">
        <v>3.0</v>
      </c>
      <c r="D4301" s="1" t="s">
        <v>1908</v>
      </c>
      <c r="E4301" s="1" t="str">
        <f>IFERROR(__xludf.DUMMYFUNCTION("GOOGLETRANSLATE(D4301,""PT"",""EN"")"),"Interest rate can improve")</f>
        <v>Interest rate can improve</v>
      </c>
    </row>
    <row r="4302" ht="14.25" customHeight="1">
      <c r="A4302" s="1">
        <v>100.0</v>
      </c>
      <c r="B4302" s="1" t="s">
        <v>1826</v>
      </c>
      <c r="C4302" s="1">
        <v>10.0</v>
      </c>
      <c r="D4302" s="1" t="s">
        <v>6</v>
      </c>
      <c r="E4302" s="1"/>
    </row>
    <row r="4303" ht="14.25" customHeight="1">
      <c r="A4303" s="1">
        <v>100.0</v>
      </c>
      <c r="B4303" s="1" t="s">
        <v>1826</v>
      </c>
      <c r="C4303" s="1">
        <v>10.0</v>
      </c>
      <c r="D4303" s="1" t="s">
        <v>1909</v>
      </c>
      <c r="E4303" s="1" t="str">
        <f>IFERROR(__xludf.DUMMYFUNCTION("GOOGLETRANSLATE(D4303,""PT"",""EN"")"),"I am satisfied")</f>
        <v>I am satisfied</v>
      </c>
    </row>
    <row r="4304" ht="14.25" customHeight="1">
      <c r="A4304" s="1">
        <v>100.0</v>
      </c>
      <c r="B4304" s="1" t="s">
        <v>1826</v>
      </c>
      <c r="C4304" s="1">
        <v>9.0</v>
      </c>
      <c r="D4304" s="1" t="s">
        <v>164</v>
      </c>
      <c r="E4304" s="1" t="str">
        <f>IFERROR(__xludf.DUMMYFUNCTION("GOOGLETRANSLATE(D4304,""PT"",""EN"")"),"Great bank")</f>
        <v>Great bank</v>
      </c>
    </row>
    <row r="4305" ht="14.25" customHeight="1">
      <c r="A4305" s="1">
        <v>100.0</v>
      </c>
      <c r="B4305" s="1" t="s">
        <v>1826</v>
      </c>
      <c r="C4305" s="1">
        <v>10.0</v>
      </c>
      <c r="D4305" s="1" t="s">
        <v>6</v>
      </c>
      <c r="E4305" s="1"/>
    </row>
    <row r="4306" ht="14.25" customHeight="1">
      <c r="A4306" s="1">
        <v>100.0</v>
      </c>
      <c r="B4306" s="1" t="s">
        <v>1826</v>
      </c>
      <c r="C4306" s="1">
        <v>10.0</v>
      </c>
      <c r="D4306" s="2" t="s">
        <v>1910</v>
      </c>
      <c r="E4306" s="1" t="str">
        <f>IFERROR(__xludf.DUMMYFUNCTION("GOOGLETRANSLATE(D4306,""PT"",""EN"")"),"Being a cooperative offers extra advantages that other banks")</f>
        <v>Being a cooperative offers extra advantages that other banks</v>
      </c>
    </row>
    <row r="4307" ht="14.25" customHeight="1">
      <c r="A4307" s="1">
        <v>100.0</v>
      </c>
      <c r="B4307" s="1" t="s">
        <v>1826</v>
      </c>
      <c r="C4307" s="1">
        <v>9.0</v>
      </c>
      <c r="D4307" s="1" t="s">
        <v>6</v>
      </c>
      <c r="E4307" s="1"/>
    </row>
    <row r="4308" ht="14.25" customHeight="1">
      <c r="A4308" s="1">
        <v>100.0</v>
      </c>
      <c r="B4308" s="1" t="s">
        <v>1826</v>
      </c>
      <c r="C4308" s="1">
        <v>10.0</v>
      </c>
      <c r="D4308" s="2" t="s">
        <v>1911</v>
      </c>
      <c r="E4308" s="1" t="str">
        <f>IFERROR(__xludf.DUMMYFUNCTION("GOOGLETRANSLATE(D4308,""PT"",""EN"")"),"speed and efficiency in service")</f>
        <v>speed and efficiency in service</v>
      </c>
    </row>
    <row r="4309" ht="14.25" customHeight="1">
      <c r="A4309" s="1">
        <v>100.0</v>
      </c>
      <c r="B4309" s="1" t="s">
        <v>1826</v>
      </c>
      <c r="C4309" s="1">
        <v>9.0</v>
      </c>
      <c r="D4309" s="1" t="s">
        <v>6</v>
      </c>
      <c r="E4309" s="1"/>
    </row>
    <row r="4310" ht="14.25" customHeight="1">
      <c r="A4310" s="1">
        <v>100.0</v>
      </c>
      <c r="B4310" s="1" t="s">
        <v>1826</v>
      </c>
      <c r="C4310" s="1">
        <v>10.0</v>
      </c>
      <c r="D4310" s="2" t="s">
        <v>1912</v>
      </c>
      <c r="E4310" s="1" t="str">
        <f>IFERROR(__xludf.DUMMYFUNCTION("GOOGLETRANSLATE(D4310,""PT"",""EN"")"),"I am very well attended is respected by the employees, because he strives as much as possible to meet my requests is to solve them. Congratulations to the Sicoob/Map team")</f>
        <v>I am very well attended is respected by the employees, because he strives as much as possible to meet my requests is to solve them. Congratulations to the Sicoob/Map team</v>
      </c>
    </row>
    <row r="4311" ht="14.25" customHeight="1">
      <c r="A4311" s="1">
        <v>33.0</v>
      </c>
      <c r="B4311" s="1" t="s">
        <v>1826</v>
      </c>
      <c r="C4311" s="1">
        <v>6.0</v>
      </c>
      <c r="D4311" s="2" t="s">
        <v>1913</v>
      </c>
      <c r="E4311" s="1" t="str">
        <f>IFERROR(__xludf.DUMMYFUNCTION("GOOGLETRANSLATE(D4311,""PT"",""EN"")"),"Because the service of is pessimal I need to talk about my cooperative for days I try is not I can return from anyone")</f>
        <v>Because the service of is pessimal I need to talk about my cooperative for days I try is not I can return from anyone</v>
      </c>
    </row>
    <row r="4312" ht="14.25" customHeight="1">
      <c r="A4312" s="1">
        <v>100.0</v>
      </c>
      <c r="B4312" s="1" t="s">
        <v>1826</v>
      </c>
      <c r="C4312" s="1">
        <v>9.0</v>
      </c>
      <c r="D4312" s="2" t="s">
        <v>1914</v>
      </c>
      <c r="E4312" s="1" t="str">
        <f>IFERROR(__xludf.DUMMYFUNCTION("GOOGLETRANSLATE(D4312,""PT"",""EN"")"),"Sicoob was much better, now that it has to have a cell phone is very difficult. I can't make a transaction says I am, also the owner of Sicoob. That is why I do not give grade 10. It is nine is for the services that one day I was served.")</f>
        <v>Sicoob was much better, now that it has to have a cell phone is very difficult. I can't make a transaction says I am, also the owner of Sicoob. That is why I do not give grade 10. It is nine is for the services that one day I was served.</v>
      </c>
    </row>
    <row r="4313" ht="14.25" customHeight="1">
      <c r="A4313" s="1">
        <v>100.0</v>
      </c>
      <c r="B4313" s="1" t="s">
        <v>1826</v>
      </c>
      <c r="C4313" s="1">
        <v>10.0</v>
      </c>
      <c r="D4313" s="1" t="s">
        <v>1915</v>
      </c>
      <c r="E4313" s="1" t="str">
        <f>IFERROR(__xludf.DUMMYFUNCTION("GOOGLETRANSLATE(D4313,""PT"",""EN"")"),"Great service from the account manager.")</f>
        <v>Great service from the account manager.</v>
      </c>
    </row>
    <row r="4314" ht="14.25" customHeight="1">
      <c r="A4314" s="1">
        <v>33.0</v>
      </c>
      <c r="B4314" s="1" t="s">
        <v>1826</v>
      </c>
      <c r="C4314" s="1">
        <v>1.0</v>
      </c>
      <c r="D4314" s="2" t="s">
        <v>1916</v>
      </c>
      <c r="E4314" s="1" t="str">
        <f>IFERROR(__xludf.DUMMYFUNCTION("GOOGLETRANSLATE(D4314,""PT"",""EN"")"),"Sicoob offers nothing, absolutely nothing to the cooperative")</f>
        <v>Sicoob offers nothing, absolutely nothing to the cooperative</v>
      </c>
    </row>
    <row r="4315" ht="14.25" customHeight="1">
      <c r="A4315" s="1">
        <v>33.0</v>
      </c>
      <c r="B4315" s="1" t="s">
        <v>1826</v>
      </c>
      <c r="C4315" s="1">
        <v>2.0</v>
      </c>
      <c r="D4315" s="1" t="s">
        <v>6</v>
      </c>
      <c r="E4315" s="1"/>
    </row>
    <row r="4316" ht="14.25" customHeight="1">
      <c r="A4316" s="1">
        <v>100.0</v>
      </c>
      <c r="B4316" s="1" t="s">
        <v>1826</v>
      </c>
      <c r="C4316" s="1">
        <v>10.0</v>
      </c>
      <c r="D4316" s="1" t="s">
        <v>6</v>
      </c>
      <c r="E4316" s="1"/>
    </row>
    <row r="4317" ht="14.25" customHeight="1">
      <c r="A4317" s="1">
        <v>100.0</v>
      </c>
      <c r="B4317" s="1" t="s">
        <v>1826</v>
      </c>
      <c r="C4317" s="1">
        <v>9.0</v>
      </c>
      <c r="D4317" s="1" t="s">
        <v>6</v>
      </c>
      <c r="E4317" s="1"/>
    </row>
    <row r="4318" ht="14.25" customHeight="1">
      <c r="A4318" s="1">
        <v>100.0</v>
      </c>
      <c r="B4318" s="1" t="s">
        <v>1826</v>
      </c>
      <c r="C4318" s="1">
        <v>10.0</v>
      </c>
      <c r="D4318" s="1" t="s">
        <v>6</v>
      </c>
      <c r="E4318" s="1"/>
    </row>
    <row r="4319" ht="14.25" customHeight="1">
      <c r="A4319" s="1">
        <v>33.0</v>
      </c>
      <c r="B4319" s="1" t="s">
        <v>1826</v>
      </c>
      <c r="C4319" s="1">
        <v>0.0</v>
      </c>
      <c r="D4319" s="1" t="s">
        <v>9</v>
      </c>
      <c r="E4319" s="1" t="str">
        <f>IFERROR(__xludf.DUMMYFUNCTION("GOOGLETRANSLATE(D4319,""PT"",""EN"")"),"10")</f>
        <v>10</v>
      </c>
    </row>
    <row r="4320" ht="14.25" customHeight="1">
      <c r="A4320" s="1">
        <v>33.0</v>
      </c>
      <c r="B4320" s="1" t="s">
        <v>1826</v>
      </c>
      <c r="C4320" s="1">
        <v>0.0</v>
      </c>
      <c r="D4320" s="1" t="s">
        <v>6</v>
      </c>
      <c r="E4320" s="1"/>
    </row>
    <row r="4321" ht="14.25" customHeight="1">
      <c r="A4321" s="1">
        <v>66.0</v>
      </c>
      <c r="B4321" s="1" t="s">
        <v>1826</v>
      </c>
      <c r="C4321" s="1">
        <v>7.0</v>
      </c>
      <c r="D4321" s="2" t="s">
        <v>1917</v>
      </c>
      <c r="E4321" s="1" t="str">
        <f>IFERROR(__xludf.DUMMYFUNCTION("GOOGLETRANSLATE(D4321,""PT"",""EN"")"),"I couldn't get any credit limit")</f>
        <v>I couldn't get any credit limit</v>
      </c>
    </row>
    <row r="4322" ht="14.25" customHeight="1">
      <c r="A4322" s="1">
        <v>100.0</v>
      </c>
      <c r="B4322" s="1" t="s">
        <v>1826</v>
      </c>
      <c r="C4322" s="1">
        <v>9.0</v>
      </c>
      <c r="D4322" s="1" t="s">
        <v>6</v>
      </c>
      <c r="E4322" s="1"/>
    </row>
    <row r="4323" ht="14.25" customHeight="1">
      <c r="A4323" s="1">
        <v>33.0</v>
      </c>
      <c r="B4323" s="1" t="s">
        <v>1826</v>
      </c>
      <c r="C4323" s="1">
        <v>3.0</v>
      </c>
      <c r="D4323" s="1" t="s">
        <v>1918</v>
      </c>
      <c r="E4323" s="1" t="str">
        <f>IFERROR(__xludf.DUMMYFUNCTION("GOOGLETRANSLATE(D4323,""PT"",""EN"")"),"Lack of opportunities")</f>
        <v>Lack of opportunities</v>
      </c>
    </row>
    <row r="4324" ht="14.25" customHeight="1">
      <c r="A4324" s="1">
        <v>33.0</v>
      </c>
      <c r="B4324" s="1" t="s">
        <v>1826</v>
      </c>
      <c r="C4324" s="1">
        <v>3.0</v>
      </c>
      <c r="D4324" s="1" t="s">
        <v>6</v>
      </c>
      <c r="E4324" s="1"/>
    </row>
    <row r="4325" ht="14.25" customHeight="1">
      <c r="A4325" s="1">
        <v>33.0</v>
      </c>
      <c r="B4325" s="1" t="s">
        <v>1826</v>
      </c>
      <c r="C4325" s="1">
        <v>5.0</v>
      </c>
      <c r="D4325" s="2" t="s">
        <v>1919</v>
      </c>
      <c r="E4325" s="1" t="str">
        <f>IFERROR(__xludf.DUMMYFUNCTION("GOOGLETRANSLATE(D4325,""PT"",""EN"")"),"Difficult communication with the agency.")</f>
        <v>Difficult communication with the agency.</v>
      </c>
    </row>
    <row r="4326" ht="14.25" customHeight="1">
      <c r="A4326" s="1">
        <v>100.0</v>
      </c>
      <c r="B4326" s="1" t="s">
        <v>1826</v>
      </c>
      <c r="C4326" s="1">
        <v>10.0</v>
      </c>
      <c r="D4326" s="1" t="s">
        <v>6</v>
      </c>
      <c r="E4326" s="1"/>
    </row>
    <row r="4327" ht="14.25" customHeight="1">
      <c r="A4327" s="1">
        <v>33.0</v>
      </c>
      <c r="B4327" s="1" t="s">
        <v>1826</v>
      </c>
      <c r="C4327" s="1">
        <v>5.0</v>
      </c>
      <c r="D4327" s="2" t="s">
        <v>1920</v>
      </c>
      <c r="E4327" s="1" t="str">
        <f>IFERROR(__xludf.DUMMYFUNCTION("GOOGLETRANSLATE(D4327,""PT"",""EN"")"),"Whenever I request something the delay is great for return")</f>
        <v>Whenever I request something the delay is great for return</v>
      </c>
    </row>
    <row r="4328" ht="14.25" customHeight="1">
      <c r="A4328" s="1">
        <v>100.0</v>
      </c>
      <c r="B4328" s="1" t="s">
        <v>1826</v>
      </c>
      <c r="C4328" s="1">
        <v>10.0</v>
      </c>
      <c r="D4328" s="1" t="s">
        <v>1921</v>
      </c>
      <c r="E4328" s="1" t="str">
        <f>IFERROR(__xludf.DUMMYFUNCTION("GOOGLETRANSLATE(D4328,""PT"",""EN"")"),"Very well attended.")</f>
        <v>Very well attended.</v>
      </c>
    </row>
    <row r="4329" ht="14.25" customHeight="1">
      <c r="A4329" s="1">
        <v>100.0</v>
      </c>
      <c r="B4329" s="1" t="s">
        <v>1826</v>
      </c>
      <c r="C4329" s="1">
        <v>10.0</v>
      </c>
      <c r="D4329" s="1" t="s">
        <v>302</v>
      </c>
      <c r="E4329" s="1" t="str">
        <f>IFERROR(__xludf.DUMMYFUNCTION("GOOGLETRANSLATE(D4329,""PT"",""EN"")"),"I am satisfied")</f>
        <v>I am satisfied</v>
      </c>
    </row>
    <row r="4330" ht="14.25" customHeight="1">
      <c r="A4330" s="1">
        <v>100.0</v>
      </c>
      <c r="B4330" s="1" t="s">
        <v>1826</v>
      </c>
      <c r="C4330" s="1">
        <v>10.0</v>
      </c>
      <c r="D4330" s="1" t="s">
        <v>6</v>
      </c>
      <c r="E4330" s="1"/>
    </row>
    <row r="4331" ht="14.25" customHeight="1">
      <c r="A4331" s="1">
        <v>100.0</v>
      </c>
      <c r="B4331" s="1" t="s">
        <v>1826</v>
      </c>
      <c r="C4331" s="1">
        <v>10.0</v>
      </c>
      <c r="D4331" s="1" t="s">
        <v>6</v>
      </c>
      <c r="E4331" s="1"/>
    </row>
    <row r="4332" ht="14.25" customHeight="1">
      <c r="A4332" s="1">
        <v>33.0</v>
      </c>
      <c r="B4332" s="1" t="s">
        <v>1826</v>
      </c>
      <c r="C4332" s="1">
        <v>0.0</v>
      </c>
      <c r="D4332" s="1" t="s">
        <v>6</v>
      </c>
      <c r="E4332" s="1"/>
    </row>
    <row r="4333" ht="14.25" customHeight="1">
      <c r="A4333" s="1">
        <v>33.0</v>
      </c>
      <c r="B4333" s="1" t="s">
        <v>1826</v>
      </c>
      <c r="C4333" s="1">
        <v>6.0</v>
      </c>
      <c r="D4333" s="2" t="s">
        <v>1922</v>
      </c>
      <c r="E4333" s="1" t="str">
        <f>IFERROR(__xludf.DUMMYFUNCTION("GOOGLETRANSLATE(D4333,""PT"",""EN"")"),"I received super personalized service to open the account. Today I have no care anymore.")</f>
        <v>I received super personalized service to open the account. Today I have no care anymore.</v>
      </c>
    </row>
    <row r="4334" ht="14.25" customHeight="1">
      <c r="A4334" s="1">
        <v>33.0</v>
      </c>
      <c r="B4334" s="1" t="s">
        <v>1826</v>
      </c>
      <c r="C4334" s="1">
        <v>3.0</v>
      </c>
      <c r="D4334" s="2" t="s">
        <v>1923</v>
      </c>
      <c r="E4334" s="1" t="str">
        <f>IFERROR(__xludf.DUMMYFUNCTION("GOOGLETRANSLATE(D4334,""PT"",""EN"")"),"The pessimal service we received from the central. The machines that do not understand what we say, now the people are no longer enough. Nobody deserve. It is not!")</f>
        <v>The pessimal service we received from the central. The machines that do not understand what we say, now the people are no longer enough. Nobody deserve. It is not!</v>
      </c>
    </row>
    <row r="4335" ht="14.25" customHeight="1">
      <c r="A4335" s="1">
        <v>100.0</v>
      </c>
      <c r="B4335" s="1" t="s">
        <v>1826</v>
      </c>
      <c r="C4335" s="1">
        <v>9.0</v>
      </c>
      <c r="D4335" s="1" t="s">
        <v>6</v>
      </c>
      <c r="E4335" s="1"/>
    </row>
    <row r="4336" ht="14.25" customHeight="1">
      <c r="A4336" s="1">
        <v>100.0</v>
      </c>
      <c r="B4336" s="1" t="s">
        <v>1826</v>
      </c>
      <c r="C4336" s="1">
        <v>10.0</v>
      </c>
      <c r="D4336" s="2" t="s">
        <v>1924</v>
      </c>
      <c r="E4336" s="1" t="str">
        <f>IFERROR(__xludf.DUMMYFUNCTION("GOOGLETRANSLATE(D4336,""PT"",""EN"")"),"In the executive collection sector, they serve very well.")</f>
        <v>In the executive collection sector, they serve very well.</v>
      </c>
    </row>
    <row r="4337" ht="14.25" customHeight="1">
      <c r="A4337" s="1">
        <v>100.0</v>
      </c>
      <c r="B4337" s="1" t="s">
        <v>1826</v>
      </c>
      <c r="C4337" s="1">
        <v>9.0</v>
      </c>
      <c r="D4337" s="1" t="s">
        <v>6</v>
      </c>
      <c r="E4337" s="1"/>
    </row>
    <row r="4338" ht="14.25" customHeight="1">
      <c r="A4338" s="1">
        <v>100.0</v>
      </c>
      <c r="B4338" s="1" t="s">
        <v>1826</v>
      </c>
      <c r="C4338" s="1">
        <v>10.0</v>
      </c>
      <c r="D4338" s="1" t="s">
        <v>6</v>
      </c>
      <c r="E4338" s="1"/>
    </row>
    <row r="4339" ht="14.25" customHeight="1">
      <c r="A4339" s="1">
        <v>100.0</v>
      </c>
      <c r="B4339" s="1" t="s">
        <v>1826</v>
      </c>
      <c r="C4339" s="1">
        <v>10.0</v>
      </c>
      <c r="D4339" s="1" t="s">
        <v>6</v>
      </c>
      <c r="E4339" s="1"/>
    </row>
    <row r="4340" ht="14.25" customHeight="1">
      <c r="A4340" s="1">
        <v>100.0</v>
      </c>
      <c r="B4340" s="1" t="s">
        <v>1826</v>
      </c>
      <c r="C4340" s="1">
        <v>10.0</v>
      </c>
      <c r="D4340" s="1" t="s">
        <v>6</v>
      </c>
      <c r="E4340" s="1"/>
    </row>
    <row r="4341" ht="14.25" customHeight="1">
      <c r="A4341" s="1">
        <v>33.0</v>
      </c>
      <c r="B4341" s="1" t="s">
        <v>1826</v>
      </c>
      <c r="C4341" s="1">
        <v>4.0</v>
      </c>
      <c r="D4341" s="1" t="s">
        <v>6</v>
      </c>
      <c r="E4341" s="1"/>
    </row>
    <row r="4342" ht="14.25" customHeight="1">
      <c r="A4342" s="1">
        <v>100.0</v>
      </c>
      <c r="B4342" s="1" t="s">
        <v>1826</v>
      </c>
      <c r="C4342" s="1">
        <v>9.0</v>
      </c>
      <c r="D4342" s="1" t="s">
        <v>6</v>
      </c>
      <c r="E4342" s="1"/>
    </row>
    <row r="4343" ht="14.25" customHeight="1">
      <c r="A4343" s="1">
        <v>33.0</v>
      </c>
      <c r="B4343" s="1" t="s">
        <v>1826</v>
      </c>
      <c r="C4343" s="1">
        <v>0.0</v>
      </c>
      <c r="D4343" s="1" t="s">
        <v>6</v>
      </c>
      <c r="E4343" s="1"/>
    </row>
    <row r="4344" ht="14.25" customHeight="1">
      <c r="A4344" s="1">
        <v>100.0</v>
      </c>
      <c r="B4344" s="1" t="s">
        <v>1826</v>
      </c>
      <c r="C4344" s="1">
        <v>10.0</v>
      </c>
      <c r="D4344" s="1" t="s">
        <v>1925</v>
      </c>
      <c r="E4344" s="1" t="str">
        <f>IFERROR(__xludf.DUMMYFUNCTION("GOOGLETRANSLATE(D4344,""PT"",""EN"")"),"I was always answered")</f>
        <v>I was always answered</v>
      </c>
    </row>
    <row r="4345" ht="14.25" customHeight="1">
      <c r="A4345" s="1">
        <v>100.0</v>
      </c>
      <c r="B4345" s="1" t="s">
        <v>1826</v>
      </c>
      <c r="C4345" s="1">
        <v>10.0</v>
      </c>
      <c r="D4345" s="1" t="s">
        <v>1926</v>
      </c>
      <c r="E4345" s="1" t="str">
        <f>IFERROR(__xludf.DUMMYFUNCTION("GOOGLETRANSLATE(D4345,""PT"",""EN"")"),"For the service provided the last time I needed the services")</f>
        <v>For the service provided the last time I needed the services</v>
      </c>
    </row>
    <row r="4346" ht="14.25" customHeight="1">
      <c r="A4346" s="1">
        <v>66.0</v>
      </c>
      <c r="B4346" s="1" t="s">
        <v>1826</v>
      </c>
      <c r="C4346" s="1">
        <v>8.0</v>
      </c>
      <c r="D4346" s="2" t="s">
        <v>1927</v>
      </c>
      <c r="E4346" s="1" t="str">
        <f>IFERROR(__xludf.DUMMYFUNCTION("GOOGLETRANSLATE(D4346,""PT"",""EN"")"),"The only problem is the delay in the analysis of loan proposals.")</f>
        <v>The only problem is the delay in the analysis of loan proposals.</v>
      </c>
    </row>
    <row r="4347" ht="14.25" customHeight="1">
      <c r="A4347" s="1">
        <v>100.0</v>
      </c>
      <c r="B4347" s="1" t="s">
        <v>1826</v>
      </c>
      <c r="C4347" s="1">
        <v>10.0</v>
      </c>
      <c r="D4347" s="1" t="s">
        <v>1928</v>
      </c>
      <c r="E4347" s="1" t="str">
        <f>IFERROR(__xludf.DUMMYFUNCTION("GOOGLETRANSLATE(D4347,""PT"",""EN"")"),"Wonderful service.")</f>
        <v>Wonderful service.</v>
      </c>
    </row>
    <row r="4348" ht="14.25" customHeight="1">
      <c r="A4348" s="1">
        <v>33.0</v>
      </c>
      <c r="B4348" s="1" t="s">
        <v>1826</v>
      </c>
      <c r="C4348" s="1">
        <v>0.0</v>
      </c>
      <c r="D4348" s="2" t="s">
        <v>1929</v>
      </c>
      <c r="E4348" s="1" t="str">
        <f>IFERROR(__xludf.DUMMYFUNCTION("GOOGLETRANSLATE(D4348,""PT"",""EN"")"),"I received a pix is ​​the bank discounted part of the amount received.")</f>
        <v>I received a pix is ​​the bank discounted part of the amount received.</v>
      </c>
    </row>
    <row r="4349" ht="14.25" customHeight="1">
      <c r="A4349" s="1">
        <v>100.0</v>
      </c>
      <c r="B4349" s="1" t="s">
        <v>1826</v>
      </c>
      <c r="C4349" s="1">
        <v>10.0</v>
      </c>
      <c r="D4349" s="1" t="s">
        <v>6</v>
      </c>
      <c r="E4349" s="1"/>
    </row>
    <row r="4350" ht="14.25" customHeight="1">
      <c r="A4350" s="1">
        <v>100.0</v>
      </c>
      <c r="B4350" s="1" t="s">
        <v>1826</v>
      </c>
      <c r="C4350" s="1">
        <v>10.0</v>
      </c>
      <c r="D4350" s="2" t="s">
        <v>1930</v>
      </c>
      <c r="E4350" s="1" t="str">
        <f>IFERROR(__xludf.DUMMYFUNCTION("GOOGLETRANSLATE(D4350,""PT"",""EN"")"),"for being a credit cooperative")</f>
        <v>for being a credit cooperative</v>
      </c>
    </row>
    <row r="4351" ht="14.25" customHeight="1">
      <c r="A4351" s="1">
        <v>100.0</v>
      </c>
      <c r="B4351" s="1" t="s">
        <v>1826</v>
      </c>
      <c r="C4351" s="1">
        <v>9.0</v>
      </c>
      <c r="D4351" s="1" t="s">
        <v>6</v>
      </c>
      <c r="E4351" s="1"/>
    </row>
    <row r="4352" ht="14.25" customHeight="1">
      <c r="A4352" s="1">
        <v>33.0</v>
      </c>
      <c r="B4352" s="1" t="s">
        <v>1826</v>
      </c>
      <c r="C4352" s="1">
        <v>0.0</v>
      </c>
      <c r="D4352" s="2" t="s">
        <v>1931</v>
      </c>
      <c r="E4352" s="1" t="str">
        <f>IFERROR(__xludf.DUMMYFUNCTION("GOOGLETRANSLATE(D4352,""PT"",""EN"")"),"Sicoob cooperative that is found, its customers, 8 years of Sicoob I can not hire car insurance.")</f>
        <v>Sicoob cooperative that is found, its customers, 8 years of Sicoob I can not hire car insurance.</v>
      </c>
    </row>
    <row r="4353" ht="14.25" customHeight="1">
      <c r="A4353" s="1">
        <v>33.0</v>
      </c>
      <c r="B4353" s="1" t="s">
        <v>1826</v>
      </c>
      <c r="C4353" s="1">
        <v>2.0</v>
      </c>
      <c r="D4353" s="2" t="s">
        <v>1932</v>
      </c>
      <c r="E4353" s="1" t="str">
        <f>IFERROR(__xludf.DUMMYFUNCTION("GOOGLETRANSLATE(D4353,""PT"",""EN"")"),"There was no credit offer, so I ceased the movement in this account")</f>
        <v>There was no credit offer, so I ceased the movement in this account</v>
      </c>
    </row>
    <row r="4354" ht="14.25" customHeight="1">
      <c r="A4354" s="1">
        <v>100.0</v>
      </c>
      <c r="B4354" s="1" t="s">
        <v>1826</v>
      </c>
      <c r="C4354" s="1">
        <v>10.0</v>
      </c>
      <c r="D4354" s="2" t="s">
        <v>1933</v>
      </c>
      <c r="E4354" s="1" t="str">
        <f>IFERROR(__xludf.DUMMYFUNCTION("GOOGLETRANSLATE(D4354,""PT"",""EN"")"),"It is a bank that has service in most major cities is allowing use in Banco24horas terminals. Not to mention that if it is possible to purchase quotas part, it will be entitled to different rates.")</f>
        <v>It is a bank that has service in most major cities is allowing use in Banco24horas terminals. Not to mention that if it is possible to purchase quotas part, it will be entitled to different rates.</v>
      </c>
    </row>
    <row r="4355" ht="14.25" customHeight="1">
      <c r="A4355" s="1">
        <v>33.0</v>
      </c>
      <c r="B4355" s="1" t="s">
        <v>1826</v>
      </c>
      <c r="C4355" s="1">
        <v>2.0</v>
      </c>
      <c r="D4355" s="1" t="s">
        <v>6</v>
      </c>
      <c r="E4355" s="1"/>
    </row>
    <row r="4356" ht="14.25" customHeight="1">
      <c r="A4356" s="1">
        <v>33.0</v>
      </c>
      <c r="B4356" s="1" t="s">
        <v>1826</v>
      </c>
      <c r="C4356" s="1">
        <v>0.0</v>
      </c>
      <c r="D4356" s="1" t="s">
        <v>6</v>
      </c>
      <c r="E4356" s="1"/>
    </row>
    <row r="4357" ht="14.25" customHeight="1">
      <c r="A4357" s="1">
        <v>100.0</v>
      </c>
      <c r="B4357" s="1" t="s">
        <v>1826</v>
      </c>
      <c r="C4357" s="1">
        <v>10.0</v>
      </c>
      <c r="D4357" s="1" t="s">
        <v>6</v>
      </c>
      <c r="E4357" s="1"/>
    </row>
    <row r="4358" ht="14.25" customHeight="1">
      <c r="A4358" s="1">
        <v>100.0</v>
      </c>
      <c r="B4358" s="1" t="s">
        <v>1826</v>
      </c>
      <c r="C4358" s="1">
        <v>10.0</v>
      </c>
      <c r="D4358" s="1" t="s">
        <v>115</v>
      </c>
      <c r="E4358" s="1" t="str">
        <f>IFERROR(__xludf.DUMMYFUNCTION("GOOGLETRANSLATE(D4358,""PT"",""EN"")"),"Service.")</f>
        <v>Service.</v>
      </c>
    </row>
    <row r="4359" ht="14.25" customHeight="1">
      <c r="A4359" s="1">
        <v>100.0</v>
      </c>
      <c r="B4359" s="1" t="s">
        <v>1826</v>
      </c>
      <c r="C4359" s="1">
        <v>10.0</v>
      </c>
      <c r="D4359" s="1" t="s">
        <v>6</v>
      </c>
      <c r="E4359" s="1"/>
    </row>
    <row r="4360" ht="14.25" customHeight="1">
      <c r="A4360" s="1">
        <v>33.0</v>
      </c>
      <c r="B4360" s="1" t="s">
        <v>1826</v>
      </c>
      <c r="C4360" s="1">
        <v>0.0</v>
      </c>
      <c r="D4360" s="2" t="s">
        <v>1934</v>
      </c>
      <c r="E4360" s="1" t="str">
        <f>IFERROR(__xludf.DUMMYFUNCTION("GOOGLETRANSLATE(D4360,""PT"",""EN"")"),"terrible attendance. I was treated as if asking for alms. Unprepared employees.")</f>
        <v>terrible attendance. I was treated as if asking for alms. Unprepared employees.</v>
      </c>
    </row>
    <row r="4361" ht="14.25" customHeight="1">
      <c r="A4361" s="1">
        <v>100.0</v>
      </c>
      <c r="B4361" s="1" t="s">
        <v>1826</v>
      </c>
      <c r="C4361" s="1">
        <v>10.0</v>
      </c>
      <c r="D4361" s="1" t="s">
        <v>85</v>
      </c>
      <c r="E4361" s="1" t="str">
        <f>IFERROR(__xludf.DUMMYFUNCTION("GOOGLETRANSLATE(D4361,""PT"",""EN"")"),"Service")</f>
        <v>Service</v>
      </c>
    </row>
    <row r="4362" ht="14.25" customHeight="1">
      <c r="A4362" s="1">
        <v>100.0</v>
      </c>
      <c r="B4362" s="1" t="s">
        <v>1826</v>
      </c>
      <c r="C4362" s="1">
        <v>10.0</v>
      </c>
      <c r="D4362" s="1" t="s">
        <v>1935</v>
      </c>
      <c r="E4362" s="1" t="str">
        <f>IFERROR(__xludf.DUMMYFUNCTION("GOOGLETRANSLATE(D4362,""PT"",""EN"")"),"Excellent rates")</f>
        <v>Excellent rates</v>
      </c>
    </row>
    <row r="4363" ht="14.25" customHeight="1">
      <c r="A4363" s="1">
        <v>100.0</v>
      </c>
      <c r="B4363" s="1" t="s">
        <v>1826</v>
      </c>
      <c r="C4363" s="1">
        <v>10.0</v>
      </c>
      <c r="D4363" s="1" t="s">
        <v>6</v>
      </c>
      <c r="E4363" s="1"/>
    </row>
    <row r="4364" ht="14.25" customHeight="1">
      <c r="A4364" s="1">
        <v>100.0</v>
      </c>
      <c r="B4364" s="1" t="s">
        <v>1826</v>
      </c>
      <c r="C4364" s="1">
        <v>10.0</v>
      </c>
      <c r="D4364" s="1" t="s">
        <v>1936</v>
      </c>
      <c r="E4364" s="1" t="str">
        <f>IFERROR(__xludf.DUMMYFUNCTION("GOOGLETRANSLATE(D4364,""PT"",""EN"")"),"Emergency Room always")</f>
        <v>Emergency Room always</v>
      </c>
    </row>
    <row r="4365" ht="14.25" customHeight="1">
      <c r="A4365" s="1">
        <v>100.0</v>
      </c>
      <c r="B4365" s="1" t="s">
        <v>1826</v>
      </c>
      <c r="C4365" s="1">
        <v>10.0</v>
      </c>
      <c r="D4365" s="2" t="s">
        <v>1937</v>
      </c>
      <c r="E4365" s="1" t="str">
        <f>IFERROR(__xludf.DUMMYFUNCTION("GOOGLETRANSLATE(D4365,""PT"",""EN"")"),"Confidence is simplicity.")</f>
        <v>Confidence is simplicity.</v>
      </c>
    </row>
    <row r="4366" ht="14.25" customHeight="1">
      <c r="A4366" s="1">
        <v>100.0</v>
      </c>
      <c r="B4366" s="1" t="s">
        <v>1826</v>
      </c>
      <c r="C4366" s="1">
        <v>10.0</v>
      </c>
      <c r="D4366" s="2" t="s">
        <v>1938</v>
      </c>
      <c r="E4366" s="1" t="str">
        <f>IFERROR(__xludf.DUMMYFUNCTION("GOOGLETRANSLATE(D4366,""PT"",""EN"")"),"Low rates is practicality")</f>
        <v>Low rates is practicality</v>
      </c>
    </row>
    <row r="4367" ht="14.25" customHeight="1">
      <c r="A4367" s="1">
        <v>100.0</v>
      </c>
      <c r="B4367" s="1" t="s">
        <v>1826</v>
      </c>
      <c r="C4367" s="1">
        <v>10.0</v>
      </c>
      <c r="D4367" s="2" t="s">
        <v>1939</v>
      </c>
      <c r="E4367" s="1" t="str">
        <f>IFERROR(__xludf.DUMMYFUNCTION("GOOGLETRANSLATE(D4367,""PT"",""EN"")"),"Open relationship is empathy of attendants")</f>
        <v>Open relationship is empathy of attendants</v>
      </c>
    </row>
    <row r="4368" ht="14.25" customHeight="1">
      <c r="A4368" s="1">
        <v>33.0</v>
      </c>
      <c r="B4368" s="1" t="s">
        <v>1826</v>
      </c>
      <c r="C4368" s="1">
        <v>1.0</v>
      </c>
      <c r="D4368" s="2" t="s">
        <v>1940</v>
      </c>
      <c r="E4368" s="1" t="str">
        <f>IFERROR(__xludf.DUMMYFUNCTION("GOOGLETRANSLATE(D4368,""PT"",""EN"")"),"It offers no limit on the card is or in the account")</f>
        <v>It offers no limit on the card is or in the account</v>
      </c>
    </row>
    <row r="4369" ht="14.25" customHeight="1">
      <c r="A4369" s="1">
        <v>33.0</v>
      </c>
      <c r="B4369" s="1" t="s">
        <v>1826</v>
      </c>
      <c r="C4369" s="1">
        <v>5.0</v>
      </c>
      <c r="D4369" s="1" t="s">
        <v>1941</v>
      </c>
      <c r="E4369" s="1" t="str">
        <f>IFERROR(__xludf.DUMMYFUNCTION("GOOGLETRANSLATE(D4369,""PT"",""EN"")"),"Lack of consideration with older customers.")</f>
        <v>Lack of consideration with older customers.</v>
      </c>
    </row>
    <row r="4370" ht="14.25" customHeight="1">
      <c r="A4370" s="1">
        <v>100.0</v>
      </c>
      <c r="B4370" s="1" t="s">
        <v>1826</v>
      </c>
      <c r="C4370" s="1">
        <v>10.0</v>
      </c>
      <c r="D4370" s="1" t="s">
        <v>626</v>
      </c>
      <c r="E4370" s="1" t="str">
        <f>IFERROR(__xludf.DUMMYFUNCTION("GOOGLETRANSLATE(D4370,""PT"",""EN"")"),"Great service.")</f>
        <v>Great service.</v>
      </c>
    </row>
    <row r="4371" ht="14.25" customHeight="1">
      <c r="A4371" s="1">
        <v>33.0</v>
      </c>
      <c r="B4371" s="1" t="s">
        <v>1826</v>
      </c>
      <c r="C4371" s="1">
        <v>2.0</v>
      </c>
      <c r="D4371" s="2" t="s">
        <v>1942</v>
      </c>
      <c r="E4371" s="1" t="str">
        <f>IFERROR(__xludf.DUMMYFUNCTION("GOOGLETRANSLATE(D4371,""PT"",""EN"")"),"The card that made me available does not have the advantages I have on several other cards, so the motivation to use it is minimal")</f>
        <v>The card that made me available does not have the advantages I have on several other cards, so the motivation to use it is minimal</v>
      </c>
    </row>
    <row r="4372" ht="14.25" customHeight="1">
      <c r="A4372" s="1">
        <v>66.0</v>
      </c>
      <c r="B4372" s="1" t="s">
        <v>1826</v>
      </c>
      <c r="C4372" s="1">
        <v>7.0</v>
      </c>
      <c r="D4372" s="2" t="s">
        <v>1943</v>
      </c>
      <c r="E4372" s="1" t="str">
        <f>IFERROR(__xludf.DUMMYFUNCTION("GOOGLETRANSLATE(D4372,""PT"",""EN"")"),"I do not notice greater because you still charge many rates.")</f>
        <v>I do not notice greater because you still charge many rates.</v>
      </c>
    </row>
    <row r="4373" ht="14.25" customHeight="1">
      <c r="A4373" s="1">
        <v>66.0</v>
      </c>
      <c r="B4373" s="1" t="s">
        <v>1826</v>
      </c>
      <c r="C4373" s="1">
        <v>7.0</v>
      </c>
      <c r="D4373" s="2" t="s">
        <v>1944</v>
      </c>
      <c r="E4373" s="1" t="str">
        <f>IFERROR(__xludf.DUMMYFUNCTION("GOOGLETRANSLATE(D4373,""PT"",""EN"")"),"cheap credit")</f>
        <v>cheap credit</v>
      </c>
    </row>
    <row r="4374" ht="14.25" customHeight="1">
      <c r="A4374" s="1">
        <v>100.0</v>
      </c>
      <c r="B4374" s="1" t="s">
        <v>1826</v>
      </c>
      <c r="C4374" s="1">
        <v>10.0</v>
      </c>
      <c r="D4374" s="1" t="s">
        <v>6</v>
      </c>
      <c r="E4374" s="1"/>
    </row>
    <row r="4375" ht="14.25" customHeight="1">
      <c r="A4375" s="1">
        <v>33.0</v>
      </c>
      <c r="B4375" s="1" t="s">
        <v>1826</v>
      </c>
      <c r="C4375" s="1">
        <v>4.0</v>
      </c>
      <c r="D4375" s="1" t="s">
        <v>6</v>
      </c>
      <c r="E4375" s="1"/>
    </row>
    <row r="4376" ht="14.25" customHeight="1">
      <c r="A4376" s="1">
        <v>66.0</v>
      </c>
      <c r="B4376" s="1" t="s">
        <v>1826</v>
      </c>
      <c r="C4376" s="1">
        <v>7.0</v>
      </c>
      <c r="D4376" s="2" t="s">
        <v>1945</v>
      </c>
      <c r="E4376" s="1" t="str">
        <f>IFERROR(__xludf.DUMMYFUNCTION("GOOGLETRANSLATE(D4376,""PT"",""EN"")"),"Sometimes acts more as a financial institution than cooperative")</f>
        <v>Sometimes acts more as a financial institution than cooperative</v>
      </c>
    </row>
    <row r="4377" ht="14.25" customHeight="1">
      <c r="A4377" s="1">
        <v>100.0</v>
      </c>
      <c r="B4377" s="1" t="s">
        <v>1826</v>
      </c>
      <c r="C4377" s="1">
        <v>10.0</v>
      </c>
      <c r="D4377" s="1" t="s">
        <v>659</v>
      </c>
      <c r="E4377" s="1" t="str">
        <f>IFERROR(__xludf.DUMMYFUNCTION("GOOGLETRANSLATE(D4377,""PT"",""EN"")"),"Good service.")</f>
        <v>Good service.</v>
      </c>
    </row>
    <row r="4378" ht="14.25" customHeight="1">
      <c r="A4378" s="1">
        <v>66.0</v>
      </c>
      <c r="B4378" s="1" t="s">
        <v>1826</v>
      </c>
      <c r="C4378" s="1">
        <v>7.0</v>
      </c>
      <c r="D4378" s="1" t="s">
        <v>6</v>
      </c>
      <c r="E4378" s="1"/>
    </row>
    <row r="4379" ht="14.25" customHeight="1">
      <c r="A4379" s="1">
        <v>100.0</v>
      </c>
      <c r="B4379" s="1" t="s">
        <v>1826</v>
      </c>
      <c r="C4379" s="1">
        <v>10.0</v>
      </c>
      <c r="D4379" s="1" t="s">
        <v>6</v>
      </c>
      <c r="E4379" s="1"/>
    </row>
    <row r="4380" ht="14.25" customHeight="1">
      <c r="A4380" s="1">
        <v>33.0</v>
      </c>
      <c r="B4380" s="1" t="s">
        <v>1826</v>
      </c>
      <c r="C4380" s="1">
        <v>1.0</v>
      </c>
      <c r="D4380" s="1" t="s">
        <v>1946</v>
      </c>
      <c r="E4380" s="1" t="str">
        <f>IFERROR(__xludf.DUMMYFUNCTION("GOOGLETRANSLATE(D4380,""PT"",""EN"")"),"Lack of partnership")</f>
        <v>Lack of partnership</v>
      </c>
    </row>
    <row r="4381" ht="14.25" customHeight="1">
      <c r="A4381" s="1">
        <v>33.0</v>
      </c>
      <c r="B4381" s="1" t="s">
        <v>1826</v>
      </c>
      <c r="C4381" s="1">
        <v>0.0</v>
      </c>
      <c r="D4381" s="1" t="s">
        <v>6</v>
      </c>
      <c r="E4381" s="1"/>
    </row>
    <row r="4382" ht="14.25" customHeight="1">
      <c r="A4382" s="1">
        <v>33.0</v>
      </c>
      <c r="B4382" s="1" t="s">
        <v>1826</v>
      </c>
      <c r="C4382" s="1">
        <v>6.0</v>
      </c>
      <c r="D4382" s="1" t="s">
        <v>6</v>
      </c>
      <c r="E4382" s="1"/>
    </row>
    <row r="4383" ht="14.25" customHeight="1">
      <c r="A4383" s="1">
        <v>100.0</v>
      </c>
      <c r="B4383" s="1" t="s">
        <v>1826</v>
      </c>
      <c r="C4383" s="1">
        <v>9.0</v>
      </c>
      <c r="D4383" s="1" t="s">
        <v>6</v>
      </c>
      <c r="E4383" s="1"/>
    </row>
    <row r="4384" ht="14.25" customHeight="1">
      <c r="A4384" s="1">
        <v>66.0</v>
      </c>
      <c r="B4384" s="1" t="s">
        <v>1826</v>
      </c>
      <c r="C4384" s="1">
        <v>8.0</v>
      </c>
      <c r="D4384" s="1" t="s">
        <v>6</v>
      </c>
      <c r="E4384" s="1"/>
    </row>
    <row r="4385" ht="14.25" customHeight="1">
      <c r="A4385" s="1">
        <v>100.0</v>
      </c>
      <c r="B4385" s="1" t="s">
        <v>1826</v>
      </c>
      <c r="C4385" s="1">
        <v>10.0</v>
      </c>
      <c r="D4385" s="1" t="s">
        <v>6</v>
      </c>
      <c r="E4385" s="1"/>
    </row>
    <row r="4386" ht="14.25" customHeight="1">
      <c r="A4386" s="1">
        <v>33.0</v>
      </c>
      <c r="B4386" s="1" t="s">
        <v>1826</v>
      </c>
      <c r="C4386" s="1">
        <v>5.0</v>
      </c>
      <c r="D4386" s="2" t="s">
        <v>1947</v>
      </c>
      <c r="E4386" s="1" t="str">
        <f>IFERROR(__xludf.DUMMYFUNCTION("GOOGLETRANSLATE(D4386,""PT"",""EN"")"),"I am not satisfied with the current management of my cooperative (Executive Sicoob), so I would not recommend it for time.")</f>
        <v>I am not satisfied with the current management of my cooperative (Executive Sicoob), so I would not recommend it for time.</v>
      </c>
    </row>
    <row r="4387" ht="14.25" customHeight="1">
      <c r="A4387" s="1">
        <v>66.0</v>
      </c>
      <c r="B4387" s="1" t="s">
        <v>1826</v>
      </c>
      <c r="C4387" s="1">
        <v>8.0</v>
      </c>
      <c r="D4387" s="1" t="s">
        <v>6</v>
      </c>
      <c r="E4387" s="1"/>
    </row>
    <row r="4388" ht="14.25" customHeight="1">
      <c r="A4388" s="1">
        <v>100.0</v>
      </c>
      <c r="B4388" s="1" t="s">
        <v>1826</v>
      </c>
      <c r="C4388" s="1">
        <v>10.0</v>
      </c>
      <c r="D4388" s="1" t="s">
        <v>1948</v>
      </c>
      <c r="E4388" s="1" t="str">
        <f>IFERROR(__xludf.DUMMYFUNCTION("GOOGLETRANSLATE(D4388,""PT"",""EN"")"),"receptivity")</f>
        <v>receptivity</v>
      </c>
    </row>
    <row r="4389" ht="14.25" customHeight="1">
      <c r="A4389" s="1">
        <v>66.0</v>
      </c>
      <c r="B4389" s="1" t="s">
        <v>1826</v>
      </c>
      <c r="C4389" s="1">
        <v>8.0</v>
      </c>
      <c r="D4389" s="1" t="s">
        <v>1949</v>
      </c>
      <c r="E4389" s="1" t="str">
        <f>IFERROR(__xludf.DUMMYFUNCTION("GOOGLETRANSLATE(D4389,""PT"",""EN"")"),"FACILITY IN COMMUNICATION")</f>
        <v>FACILITY IN COMMUNICATION</v>
      </c>
    </row>
    <row r="4390" ht="14.25" customHeight="1">
      <c r="A4390" s="1">
        <v>100.0</v>
      </c>
      <c r="B4390" s="1" t="s">
        <v>1826</v>
      </c>
      <c r="C4390" s="1">
        <v>10.0</v>
      </c>
      <c r="D4390" s="2" t="s">
        <v>1950</v>
      </c>
      <c r="E4390" s="1" t="str">
        <f>IFERROR(__xludf.DUMMYFUNCTION("GOOGLETRANSLATE(D4390,""PT"",""EN"")"),"Whenever I went after Sicoob, I was well attended, I never lacked affectionate and polite attention from the agency's attendants, where I keep my current account.")</f>
        <v>Whenever I went after Sicoob, I was well attended, I never lacked affectionate and polite attention from the agency's attendants, where I keep my current account.</v>
      </c>
    </row>
    <row r="4391" ht="14.25" customHeight="1">
      <c r="A4391" s="1">
        <v>100.0</v>
      </c>
      <c r="B4391" s="1" t="s">
        <v>1826</v>
      </c>
      <c r="C4391" s="1">
        <v>10.0</v>
      </c>
      <c r="D4391" s="1" t="s">
        <v>6</v>
      </c>
      <c r="E4391" s="1"/>
    </row>
    <row r="4392" ht="14.25" customHeight="1">
      <c r="A4392" s="1">
        <v>33.0</v>
      </c>
      <c r="B4392" s="1" t="s">
        <v>1826</v>
      </c>
      <c r="C4392" s="1">
        <v>4.0</v>
      </c>
      <c r="D4392" s="2" t="s">
        <v>1951</v>
      </c>
      <c r="E4392" s="1" t="str">
        <f>IFERROR(__xludf.DUMMYFUNCTION("GOOGLETRANSLATE(D4392,""PT"",""EN"")"),"We can't talk to anyone. The telephone center does not meet")</f>
        <v>We can't talk to anyone. The telephone center does not meet</v>
      </c>
    </row>
    <row r="4393" ht="14.25" customHeight="1">
      <c r="A4393" s="1">
        <v>66.0</v>
      </c>
      <c r="B4393" s="1" t="s">
        <v>1826</v>
      </c>
      <c r="C4393" s="1">
        <v>8.0</v>
      </c>
      <c r="D4393" s="2" t="s">
        <v>1952</v>
      </c>
      <c r="E4393" s="1" t="str">
        <f>IFERROR(__xludf.DUMMYFUNCTION("GOOGLETRANSLATE(D4393,""PT"",""EN"")"),"So far I have not been answered, when I can indicate more certainly.")</f>
        <v>So far I have not been answered, when I can indicate more certainly.</v>
      </c>
    </row>
    <row r="4394" ht="14.25" customHeight="1">
      <c r="A4394" s="1">
        <v>33.0</v>
      </c>
      <c r="B4394" s="1" t="s">
        <v>1826</v>
      </c>
      <c r="C4394" s="1">
        <v>6.0</v>
      </c>
      <c r="D4394" s="1" t="s">
        <v>1953</v>
      </c>
      <c r="E4394" s="1" t="str">
        <f>IFERROR(__xludf.DUMMYFUNCTION("GOOGLETRANSLATE(D4394,""PT"",""EN"")"),"Lack of operating with benefits.")</f>
        <v>Lack of operating with benefits.</v>
      </c>
    </row>
    <row r="4395" ht="14.25" customHeight="1">
      <c r="A4395" s="1">
        <v>66.0</v>
      </c>
      <c r="B4395" s="1" t="s">
        <v>1826</v>
      </c>
      <c r="C4395" s="1">
        <v>7.0</v>
      </c>
      <c r="D4395" s="1" t="s">
        <v>1954</v>
      </c>
      <c r="E4395" s="1" t="str">
        <f>IFERROR(__xludf.DUMMYFUNCTION("GOOGLETRANSLATE(D4395,""PT"",""EN"")"),"It takes the demands of customers.")</f>
        <v>It takes the demands of customers.</v>
      </c>
    </row>
    <row r="4396" ht="14.25" customHeight="1">
      <c r="A4396" s="1">
        <v>33.0</v>
      </c>
      <c r="B4396" s="1" t="s">
        <v>1826</v>
      </c>
      <c r="C4396" s="1">
        <v>5.0</v>
      </c>
      <c r="D4396" s="1" t="s">
        <v>1955</v>
      </c>
      <c r="E4396" s="1" t="str">
        <f>IFERROR(__xludf.DUMMYFUNCTION("GOOGLETRANSLATE(D4396,""PT"",""EN"")"),"Need to evolve in evaluations that are very slow")</f>
        <v>Need to evolve in evaluations that are very slow</v>
      </c>
    </row>
    <row r="4397" ht="14.25" customHeight="1">
      <c r="A4397" s="1">
        <v>100.0</v>
      </c>
      <c r="B4397" s="1" t="s">
        <v>1826</v>
      </c>
      <c r="C4397" s="1">
        <v>10.0</v>
      </c>
      <c r="D4397" s="1" t="s">
        <v>6</v>
      </c>
      <c r="E4397" s="1"/>
    </row>
    <row r="4398" ht="14.25" customHeight="1">
      <c r="A4398" s="1">
        <v>100.0</v>
      </c>
      <c r="B4398" s="1" t="s">
        <v>1826</v>
      </c>
      <c r="C4398" s="1">
        <v>9.0</v>
      </c>
      <c r="D4398" s="1" t="s">
        <v>62</v>
      </c>
      <c r="E4398" s="1" t="str">
        <f>IFERROR(__xludf.DUMMYFUNCTION("GOOGLETRANSLATE(D4398,""PT"",""EN"")"),"Good service")</f>
        <v>Good service</v>
      </c>
    </row>
    <row r="4399" ht="14.25" customHeight="1">
      <c r="A4399" s="1">
        <v>33.0</v>
      </c>
      <c r="B4399" s="1" t="s">
        <v>1826</v>
      </c>
      <c r="C4399" s="1">
        <v>0.0</v>
      </c>
      <c r="D4399" s="2" t="s">
        <v>1956</v>
      </c>
      <c r="E4399" s="1" t="str">
        <f>IFERROR(__xludf.DUMMYFUNCTION("GOOGLETRANSLATE(D4399,""PT"",""EN"")"),"Never gave me a credit limit")</f>
        <v>Never gave me a credit limit</v>
      </c>
    </row>
    <row r="4400" ht="14.25" customHeight="1">
      <c r="A4400" s="1">
        <v>66.0</v>
      </c>
      <c r="B4400" s="1" t="s">
        <v>1826</v>
      </c>
      <c r="C4400" s="1">
        <v>7.0</v>
      </c>
      <c r="D4400" s="1" t="s">
        <v>1957</v>
      </c>
      <c r="E4400" s="1" t="str">
        <f>IFERROR(__xludf.DUMMYFUNCTION("GOOGLETRANSLATE(D4400,""PT"",""EN"")"),"I'm unhappy, at the moment with Sicoob, in the past was better!")</f>
        <v>I'm unhappy, at the moment with Sicoob, in the past was better!</v>
      </c>
    </row>
    <row r="4401" ht="14.25" customHeight="1">
      <c r="A4401" s="1">
        <v>100.0</v>
      </c>
      <c r="B4401" s="1" t="s">
        <v>1826</v>
      </c>
      <c r="C4401" s="1">
        <v>9.0</v>
      </c>
      <c r="D4401" s="1" t="s">
        <v>1958</v>
      </c>
      <c r="E4401" s="1" t="str">
        <f>IFERROR(__xludf.DUMMYFUNCTION("GOOGLETRANSLATE(D4401,""PT"",""EN"")"),"I was always well attended by Sicoob")</f>
        <v>I was always well attended by Sicoob</v>
      </c>
    </row>
    <row r="4402" ht="14.25" customHeight="1">
      <c r="A4402" s="1">
        <v>66.0</v>
      </c>
      <c r="B4402" s="1" t="s">
        <v>1826</v>
      </c>
      <c r="C4402" s="1">
        <v>8.0</v>
      </c>
      <c r="D4402" s="1" t="s">
        <v>6</v>
      </c>
      <c r="E4402" s="1"/>
    </row>
    <row r="4403" ht="14.25" customHeight="1">
      <c r="A4403" s="1">
        <v>100.0</v>
      </c>
      <c r="B4403" s="1" t="s">
        <v>1826</v>
      </c>
      <c r="C4403" s="1">
        <v>10.0</v>
      </c>
      <c r="D4403" s="1" t="s">
        <v>1959</v>
      </c>
      <c r="E4403" s="1" t="str">
        <f>IFERROR(__xludf.DUMMYFUNCTION("GOOGLETRANSLATE(D4403,""PT"",""EN"")"),"27276680")</f>
        <v>27276680</v>
      </c>
    </row>
    <row r="4404" ht="14.25" customHeight="1">
      <c r="A4404" s="1">
        <v>100.0</v>
      </c>
      <c r="B4404" s="1" t="s">
        <v>1826</v>
      </c>
      <c r="C4404" s="1">
        <v>10.0</v>
      </c>
      <c r="D4404" s="2" t="s">
        <v>1960</v>
      </c>
      <c r="E4404" s="1" t="str">
        <f>IFERROR(__xludf.DUMMYFUNCTION("GOOGLETRANSLATE(D4404,""PT"",""EN"")"),"The partnership, clarity is the cordiality of solving issues is to clarify any doubt.")</f>
        <v>The partnership, clarity is the cordiality of solving issues is to clarify any doubt.</v>
      </c>
    </row>
    <row r="4405" ht="14.25" customHeight="1">
      <c r="A4405" s="1">
        <v>100.0</v>
      </c>
      <c r="B4405" s="1" t="s">
        <v>1826</v>
      </c>
      <c r="C4405" s="1">
        <v>10.0</v>
      </c>
      <c r="D4405" s="1" t="s">
        <v>1961</v>
      </c>
      <c r="E4405" s="1" t="str">
        <f>IFERROR(__xludf.DUMMYFUNCTION("GOOGLETRANSLATE(D4405,""PT"",""EN"")"),"Great service, more affordable rates than other banks, easy -to -find agencies, etc ....")</f>
        <v>Great service, more affordable rates than other banks, easy -to -find agencies, etc ....</v>
      </c>
    </row>
    <row r="4406" ht="14.25" customHeight="1">
      <c r="A4406" s="1">
        <v>100.0</v>
      </c>
      <c r="B4406" s="1" t="s">
        <v>1826</v>
      </c>
      <c r="C4406" s="1">
        <v>9.0</v>
      </c>
      <c r="D4406" s="2" t="s">
        <v>1962</v>
      </c>
      <c r="E4406" s="1" t="str">
        <f>IFERROR(__xludf.DUMMYFUNCTION("GOOGLETRANSLATE(D4406,""PT"",""EN"")"),"I am a partner about 30 years, I have nothing to complain about.")</f>
        <v>I am a partner about 30 years, I have nothing to complain about.</v>
      </c>
    </row>
    <row r="4407" ht="14.25" customHeight="1">
      <c r="A4407" s="1">
        <v>66.0</v>
      </c>
      <c r="B4407" s="1" t="s">
        <v>1826</v>
      </c>
      <c r="C4407" s="1">
        <v>8.0</v>
      </c>
      <c r="D4407" s="1" t="s">
        <v>6</v>
      </c>
      <c r="E4407" s="1"/>
    </row>
    <row r="4408" ht="14.25" customHeight="1">
      <c r="A4408" s="1">
        <v>33.0</v>
      </c>
      <c r="B4408" s="1" t="s">
        <v>1826</v>
      </c>
      <c r="C4408" s="1">
        <v>0.0</v>
      </c>
      <c r="D4408" s="2" t="s">
        <v>1963</v>
      </c>
      <c r="E4408" s="1" t="str">
        <f>IFERROR(__xludf.DUMMYFUNCTION("GOOGLETRANSLATE(D4408,""PT"",""EN"")"),"Little attention when it comes to loan")</f>
        <v>Little attention when it comes to loan</v>
      </c>
    </row>
    <row r="4409" ht="14.25" customHeight="1">
      <c r="A4409" s="1">
        <v>100.0</v>
      </c>
      <c r="B4409" s="1" t="s">
        <v>1826</v>
      </c>
      <c r="C4409" s="1">
        <v>10.0</v>
      </c>
      <c r="D4409" s="1" t="s">
        <v>6</v>
      </c>
      <c r="E4409" s="1"/>
    </row>
    <row r="4410" ht="14.25" customHeight="1">
      <c r="A4410" s="1">
        <v>33.0</v>
      </c>
      <c r="B4410" s="1" t="s">
        <v>1826</v>
      </c>
      <c r="C4410" s="1">
        <v>5.0</v>
      </c>
      <c r="D4410" s="2" t="s">
        <v>1964</v>
      </c>
      <c r="E4410" s="1" t="str">
        <f>IFERROR(__xludf.DUMMYFUNCTION("GOOGLETRANSLATE(D4410,""PT"",""EN"")"),"While crediting things are wonder the growing difficulties to high economist inflation none balance with food being scarce with this credit disappearing.")</f>
        <v>While crediting things are wonder the growing difficulties to high economist inflation none balance with food being scarce with this credit disappearing.</v>
      </c>
    </row>
    <row r="4411" ht="14.25" customHeight="1">
      <c r="A4411" s="1">
        <v>100.0</v>
      </c>
      <c r="B4411" s="1" t="s">
        <v>1826</v>
      </c>
      <c r="C4411" s="1">
        <v>10.0</v>
      </c>
      <c r="D4411" s="1" t="s">
        <v>6</v>
      </c>
      <c r="E4411" s="1"/>
    </row>
    <row r="4412" ht="14.25" customHeight="1">
      <c r="A4412" s="1">
        <v>100.0</v>
      </c>
      <c r="B4412" s="1" t="s">
        <v>1826</v>
      </c>
      <c r="C4412" s="1">
        <v>10.0</v>
      </c>
      <c r="D4412" s="2" t="s">
        <v>1965</v>
      </c>
      <c r="E4412" s="1" t="str">
        <f>IFERROR(__xludf.DUMMYFUNCTION("GOOGLETRANSLATE(D4412,""PT"",""EN"")"),"Very good service, but I could improve credit assessment I have the same limit to 1 year")</f>
        <v>Very good service, but I could improve credit assessment I have the same limit to 1 year</v>
      </c>
    </row>
    <row r="4413" ht="14.25" customHeight="1">
      <c r="A4413" s="1">
        <v>100.0</v>
      </c>
      <c r="B4413" s="1" t="s">
        <v>1826</v>
      </c>
      <c r="C4413" s="1">
        <v>10.0</v>
      </c>
      <c r="D4413" s="1" t="s">
        <v>203</v>
      </c>
      <c r="E4413" s="1" t="str">
        <f>IFERROR(__xludf.DUMMYFUNCTION("GOOGLETRANSLATE(D4413,""PT"",""EN"")"),"Very satisfied")</f>
        <v>Very satisfied</v>
      </c>
    </row>
    <row r="4414" ht="14.25" customHeight="1">
      <c r="A4414" s="1">
        <v>100.0</v>
      </c>
      <c r="B4414" s="1" t="s">
        <v>1826</v>
      </c>
      <c r="C4414" s="1">
        <v>10.0</v>
      </c>
      <c r="D4414" s="2" t="s">
        <v>1966</v>
      </c>
      <c r="E4414" s="1" t="str">
        <f>IFERROR(__xludf.DUMMYFUNCTION("GOOGLETRANSLATE(D4414,""PT"",""EN"")"),"Because whenever I needed I was well attended to it is solved what I needed.")</f>
        <v>Because whenever I needed I was well attended to it is solved what I needed.</v>
      </c>
    </row>
    <row r="4415" ht="14.25" customHeight="1">
      <c r="A4415" s="1">
        <v>100.0</v>
      </c>
      <c r="B4415" s="1" t="s">
        <v>1826</v>
      </c>
      <c r="C4415" s="1">
        <v>10.0</v>
      </c>
      <c r="D4415" s="1" t="s">
        <v>6</v>
      </c>
      <c r="E4415" s="1"/>
    </row>
    <row r="4416" ht="14.25" customHeight="1">
      <c r="A4416" s="1">
        <v>33.0</v>
      </c>
      <c r="B4416" s="1" t="s">
        <v>1826</v>
      </c>
      <c r="C4416" s="1">
        <v>1.0</v>
      </c>
      <c r="D4416" s="2" t="s">
        <v>1967</v>
      </c>
      <c r="E4416" s="1" t="str">
        <f>IFERROR(__xludf.DUMMYFUNCTION("GOOGLETRANSLATE(D4416,""PT"",""EN"")"),"I have a high doubt for something that was not my fault. Now I have to pay an absurd interest for bank error.")</f>
        <v>I have a high doubt for something that was not my fault. Now I have to pay an absurd interest for bank error.</v>
      </c>
    </row>
    <row r="4417" ht="14.25" customHeight="1">
      <c r="A4417" s="1">
        <v>33.0</v>
      </c>
      <c r="B4417" s="1" t="s">
        <v>1826</v>
      </c>
      <c r="C4417" s="1">
        <v>0.0</v>
      </c>
      <c r="D4417" s="2" t="s">
        <v>1968</v>
      </c>
      <c r="E4417" s="1" t="str">
        <f>IFERROR(__xludf.DUMMYFUNCTION("GOOGLETRANSLATE(D4417,""PT"",""EN"")"),"Bank has no clear relationship with customer is very difficult to credit and facilities ...")</f>
        <v>Bank has no clear relationship with customer is very difficult to credit and facilities ...</v>
      </c>
    </row>
    <row r="4418" ht="14.25" customHeight="1">
      <c r="A4418" s="1">
        <v>33.0</v>
      </c>
      <c r="B4418" s="1" t="s">
        <v>1826</v>
      </c>
      <c r="C4418" s="1">
        <v>5.0</v>
      </c>
      <c r="D4418" s="1" t="s">
        <v>6</v>
      </c>
      <c r="E4418" s="1"/>
    </row>
    <row r="4419" ht="14.25" customHeight="1">
      <c r="A4419" s="1">
        <v>33.0</v>
      </c>
      <c r="B4419" s="1" t="s">
        <v>1826</v>
      </c>
      <c r="C4419" s="1">
        <v>0.0</v>
      </c>
      <c r="D4419" s="2" t="s">
        <v>1969</v>
      </c>
      <c r="E4419" s="1" t="str">
        <f>IFERROR(__xludf.DUMMYFUNCTION("GOOGLETRANSLATE(D4419,""PT"",""EN"")"),"I changed phone is never got the number of my cooperative again is an account to access")</f>
        <v>I changed phone is never got the number of my cooperative again is an account to access</v>
      </c>
    </row>
    <row r="4420" ht="14.25" customHeight="1">
      <c r="A4420" s="1">
        <v>100.0</v>
      </c>
      <c r="B4420" s="1" t="s">
        <v>1826</v>
      </c>
      <c r="C4420" s="1">
        <v>10.0</v>
      </c>
      <c r="D4420" s="2" t="s">
        <v>1970</v>
      </c>
      <c r="E4420" s="1" t="str">
        <f>IFERROR(__xludf.DUMMYFUNCTION("GOOGLETRANSLATE(D4420,""PT"",""EN"")"),"The high level application")</f>
        <v>The high level application</v>
      </c>
    </row>
    <row r="4421" ht="14.25" customHeight="1">
      <c r="A4421" s="1">
        <v>33.0</v>
      </c>
      <c r="B4421" s="1" t="s">
        <v>1826</v>
      </c>
      <c r="C4421" s="1">
        <v>3.0</v>
      </c>
      <c r="D4421" s="1" t="s">
        <v>6</v>
      </c>
      <c r="E4421" s="1"/>
    </row>
    <row r="4422" ht="14.25" customHeight="1">
      <c r="A4422" s="1">
        <v>33.0</v>
      </c>
      <c r="B4422" s="1" t="s">
        <v>1826</v>
      </c>
      <c r="C4422" s="1">
        <v>6.0</v>
      </c>
      <c r="D4422" s="1" t="s">
        <v>6</v>
      </c>
      <c r="E4422" s="1"/>
    </row>
    <row r="4423" ht="14.25" customHeight="1">
      <c r="A4423" s="1">
        <v>66.0</v>
      </c>
      <c r="B4423" s="1" t="s">
        <v>1826</v>
      </c>
      <c r="C4423" s="1">
        <v>8.0</v>
      </c>
      <c r="D4423" s="1" t="s">
        <v>1971</v>
      </c>
      <c r="E4423" s="1" t="str">
        <f>IFERROR(__xludf.DUMMYFUNCTION("GOOGLETRANSLATE(D4423,""PT"",""EN"")"),"Although lower than those of other banks, there is still charges of tariffs.")</f>
        <v>Although lower than those of other banks, there is still charges of tariffs.</v>
      </c>
    </row>
    <row r="4424" ht="14.25" customHeight="1">
      <c r="A4424" s="1">
        <v>100.0</v>
      </c>
      <c r="B4424" s="1" t="s">
        <v>1826</v>
      </c>
      <c r="C4424" s="1">
        <v>10.0</v>
      </c>
      <c r="D4424" s="2" t="s">
        <v>1972</v>
      </c>
      <c r="E4424" s="1" t="str">
        <f>IFERROR(__xludf.DUMMYFUNCTION("GOOGLETRANSLATE(D4424,""PT"",""EN"")"),"Because the member has several advantages.")</f>
        <v>Because the member has several advantages.</v>
      </c>
    </row>
    <row r="4425" ht="14.25" customHeight="1">
      <c r="A4425" s="1">
        <v>33.0</v>
      </c>
      <c r="B4425" s="1" t="s">
        <v>1826</v>
      </c>
      <c r="C4425" s="1">
        <v>0.0</v>
      </c>
      <c r="D4425" s="2" t="s">
        <v>1973</v>
      </c>
      <c r="E4425" s="1" t="str">
        <f>IFERROR(__xludf.DUMMYFUNCTION("GOOGLETRANSLATE(D4425,""PT"",""EN"")"),"Sicoob does not offer services to certain associates")</f>
        <v>Sicoob does not offer services to certain associates</v>
      </c>
    </row>
    <row r="4426" ht="14.25" customHeight="1">
      <c r="A4426" s="1">
        <v>100.0</v>
      </c>
      <c r="B4426" s="1" t="s">
        <v>1826</v>
      </c>
      <c r="C4426" s="1">
        <v>9.0</v>
      </c>
      <c r="D4426" s="1" t="s">
        <v>6</v>
      </c>
      <c r="E4426" s="1"/>
    </row>
    <row r="4427" ht="14.25" customHeight="1">
      <c r="A4427" s="1">
        <v>100.0</v>
      </c>
      <c r="B4427" s="1" t="s">
        <v>1826</v>
      </c>
      <c r="C4427" s="1">
        <v>10.0</v>
      </c>
      <c r="D4427" s="1" t="s">
        <v>6</v>
      </c>
      <c r="E4427" s="1"/>
    </row>
    <row r="4428" ht="14.25" customHeight="1">
      <c r="A4428" s="1">
        <v>100.0</v>
      </c>
      <c r="B4428" s="1" t="s">
        <v>1826</v>
      </c>
      <c r="C4428" s="1">
        <v>10.0</v>
      </c>
      <c r="D4428" s="1" t="s">
        <v>626</v>
      </c>
      <c r="E4428" s="1" t="str">
        <f>IFERROR(__xludf.DUMMYFUNCTION("GOOGLETRANSLATE(D4428,""PT"",""EN"")"),"Great service.")</f>
        <v>Great service.</v>
      </c>
    </row>
    <row r="4429" ht="14.25" customHeight="1">
      <c r="A4429" s="1">
        <v>33.0</v>
      </c>
      <c r="B4429" s="1" t="s">
        <v>1826</v>
      </c>
      <c r="C4429" s="1">
        <v>0.0</v>
      </c>
      <c r="D4429" s="1" t="s">
        <v>6</v>
      </c>
      <c r="E4429" s="1"/>
    </row>
    <row r="4430" ht="14.25" customHeight="1">
      <c r="A4430" s="1">
        <v>100.0</v>
      </c>
      <c r="B4430" s="1" t="s">
        <v>1826</v>
      </c>
      <c r="C4430" s="1">
        <v>10.0</v>
      </c>
      <c r="D4430" s="1" t="s">
        <v>6</v>
      </c>
      <c r="E4430" s="1"/>
    </row>
    <row r="4431" ht="14.25" customHeight="1">
      <c r="A4431" s="1">
        <v>33.0</v>
      </c>
      <c r="B4431" s="1" t="s">
        <v>1826</v>
      </c>
      <c r="C4431" s="1">
        <v>5.0</v>
      </c>
      <c r="D4431" s="1" t="s">
        <v>6</v>
      </c>
      <c r="E4431" s="1"/>
    </row>
    <row r="4432" ht="14.25" customHeight="1">
      <c r="A4432" s="1">
        <v>100.0</v>
      </c>
      <c r="B4432" s="1" t="s">
        <v>1826</v>
      </c>
      <c r="C4432" s="1">
        <v>10.0</v>
      </c>
      <c r="D4432" s="1" t="s">
        <v>6</v>
      </c>
      <c r="E4432" s="1"/>
    </row>
    <row r="4433" ht="14.25" customHeight="1">
      <c r="A4433" s="1">
        <v>33.0</v>
      </c>
      <c r="B4433" s="1" t="s">
        <v>1826</v>
      </c>
      <c r="C4433" s="1">
        <v>0.0</v>
      </c>
      <c r="D4433" s="1" t="s">
        <v>6</v>
      </c>
      <c r="E4433" s="1"/>
    </row>
    <row r="4434" ht="14.25" customHeight="1">
      <c r="A4434" s="1">
        <v>33.0</v>
      </c>
      <c r="B4434" s="1" t="s">
        <v>1826</v>
      </c>
      <c r="C4434" s="1">
        <v>0.0</v>
      </c>
      <c r="D4434" s="1" t="s">
        <v>1974</v>
      </c>
      <c r="E4434" s="1" t="str">
        <f>IFERROR(__xludf.DUMMYFUNCTION("GOOGLETRANSLATE(D4434,""PT"",""EN"")"),"Horrible, high rates.")</f>
        <v>Horrible, high rates.</v>
      </c>
    </row>
    <row r="4435" ht="14.25" customHeight="1">
      <c r="A4435" s="1">
        <v>100.0</v>
      </c>
      <c r="B4435" s="1" t="s">
        <v>1826</v>
      </c>
      <c r="C4435" s="1">
        <v>9.0</v>
      </c>
      <c r="D4435" s="2" t="s">
        <v>1975</v>
      </c>
      <c r="E4435" s="1" t="str">
        <f>IFERROR(__xludf.DUMMYFUNCTION("GOOGLETRANSLATE(D4435,""PT"",""EN"")"),"Practicality is confidence")</f>
        <v>Practicality is confidence</v>
      </c>
    </row>
    <row r="4436" ht="14.25" customHeight="1">
      <c r="A4436" s="1">
        <v>100.0</v>
      </c>
      <c r="B4436" s="1" t="s">
        <v>1826</v>
      </c>
      <c r="C4436" s="1">
        <v>10.0</v>
      </c>
      <c r="D4436" s="1" t="s">
        <v>121</v>
      </c>
      <c r="E4436" s="1" t="str">
        <f>IFERROR(__xludf.DUMMYFUNCTION("GOOGLETRANSLATE(D4436,""PT"",""EN"")"),"Satisfaction.")</f>
        <v>Satisfaction.</v>
      </c>
    </row>
    <row r="4437" ht="14.25" customHeight="1">
      <c r="A4437" s="1">
        <v>66.0</v>
      </c>
      <c r="B4437" s="1" t="s">
        <v>1826</v>
      </c>
      <c r="C4437" s="1">
        <v>8.0</v>
      </c>
      <c r="D4437" s="2" t="s">
        <v>1976</v>
      </c>
      <c r="E4437" s="1" t="str">
        <f>IFERROR(__xludf.DUMMYFUNCTION("GOOGLETRANSLATE(D4437,""PT"",""EN"")"),"Failure in communication by WhatsApp")</f>
        <v>Failure in communication by WhatsApp</v>
      </c>
    </row>
    <row r="4438" ht="14.25" customHeight="1">
      <c r="A4438" s="1">
        <v>33.0</v>
      </c>
      <c r="B4438" s="1" t="s">
        <v>1826</v>
      </c>
      <c r="C4438" s="1">
        <v>1.0</v>
      </c>
      <c r="D4438" s="1" t="s">
        <v>6</v>
      </c>
      <c r="E4438" s="1"/>
    </row>
    <row r="4439" ht="14.25" customHeight="1">
      <c r="A4439" s="1">
        <v>66.0</v>
      </c>
      <c r="B4439" s="1" t="s">
        <v>1826</v>
      </c>
      <c r="C4439" s="1">
        <v>8.0</v>
      </c>
      <c r="D4439" s="1" t="s">
        <v>1977</v>
      </c>
      <c r="E4439" s="1" t="str">
        <f>IFERROR(__xludf.DUMMYFUNCTION("GOOGLETRANSLATE(D4439,""PT"",""EN"")"),"Good!!!")</f>
        <v>Good!!!</v>
      </c>
    </row>
    <row r="4440" ht="14.25" customHeight="1">
      <c r="A4440" s="1">
        <v>100.0</v>
      </c>
      <c r="B4440" s="1" t="s">
        <v>1826</v>
      </c>
      <c r="C4440" s="1">
        <v>10.0</v>
      </c>
      <c r="D4440" s="1" t="s">
        <v>1978</v>
      </c>
      <c r="E4440" s="1" t="str">
        <f>IFERROR(__xludf.DUMMYFUNCTION("GOOGLETRANSLATE(D4440,""PT"",""EN"")"),"Bank promptness, good service!")</f>
        <v>Bank promptness, good service!</v>
      </c>
    </row>
    <row r="4441" ht="14.25" customHeight="1">
      <c r="A4441" s="1">
        <v>33.0</v>
      </c>
      <c r="B4441" s="1" t="s">
        <v>1826</v>
      </c>
      <c r="C4441" s="1">
        <v>1.0</v>
      </c>
      <c r="D4441" s="2" t="s">
        <v>1979</v>
      </c>
      <c r="E4441" s="1" t="str">
        <f>IFERROR(__xludf.DUMMYFUNCTION("GOOGLETRANSLATE(D4441,""PT"",""EN"")"),"I tried to cancel a card made online I can not have to go to the agency, a card with 0 limit")</f>
        <v>I tried to cancel a card made online I can not have to go to the agency, a card with 0 limit</v>
      </c>
    </row>
    <row r="4442" ht="14.25" customHeight="1">
      <c r="A4442" s="1">
        <v>66.0</v>
      </c>
      <c r="B4442" s="1" t="s">
        <v>1826</v>
      </c>
      <c r="C4442" s="1">
        <v>8.0</v>
      </c>
      <c r="D4442" s="1" t="s">
        <v>6</v>
      </c>
      <c r="E4442" s="1"/>
    </row>
    <row r="4443" ht="14.25" customHeight="1">
      <c r="A4443" s="1">
        <v>100.0</v>
      </c>
      <c r="B4443" s="1" t="s">
        <v>1826</v>
      </c>
      <c r="C4443" s="1">
        <v>9.0</v>
      </c>
      <c r="D4443" s="1" t="s">
        <v>6</v>
      </c>
      <c r="E4443" s="1"/>
    </row>
    <row r="4444" ht="14.25" customHeight="1">
      <c r="A4444" s="1">
        <v>66.0</v>
      </c>
      <c r="B4444" s="1" t="s">
        <v>1826</v>
      </c>
      <c r="C4444" s="1">
        <v>7.0</v>
      </c>
      <c r="D4444" s="2" t="s">
        <v>1980</v>
      </c>
      <c r="E4444" s="1" t="str">
        <f>IFERROR(__xludf.DUMMYFUNCTION("GOOGLETRANSLATE(D4444,""PT"",""EN"")"),"Because it is a bank that has few credit options, it is the rate of the cooperative is high")</f>
        <v>Because it is a bank that has few credit options, it is the rate of the cooperative is high</v>
      </c>
    </row>
    <row r="4445" ht="14.25" customHeight="1">
      <c r="A4445" s="1">
        <v>33.0</v>
      </c>
      <c r="B4445" s="1" t="s">
        <v>1826</v>
      </c>
      <c r="C4445" s="1">
        <v>0.0</v>
      </c>
      <c r="D4445" s="1" t="s">
        <v>6</v>
      </c>
      <c r="E4445" s="1"/>
    </row>
    <row r="4446" ht="14.25" customHeight="1">
      <c r="A4446" s="1">
        <v>100.0</v>
      </c>
      <c r="B4446" s="1" t="s">
        <v>1826</v>
      </c>
      <c r="C4446" s="1">
        <v>10.0</v>
      </c>
      <c r="D4446" s="1" t="s">
        <v>1981</v>
      </c>
      <c r="E4446" s="1" t="str">
        <f>IFERROR(__xludf.DUMMYFUNCTION("GOOGLETRANSLATE(D4446,""PT"",""EN"")"),"Knowledge of the system.")</f>
        <v>Knowledge of the system.</v>
      </c>
    </row>
    <row r="4447" ht="14.25" customHeight="1">
      <c r="A4447" s="1">
        <v>33.0</v>
      </c>
      <c r="B4447" s="1" t="s">
        <v>1826</v>
      </c>
      <c r="C4447" s="1">
        <v>0.0</v>
      </c>
      <c r="D4447" s="1" t="s">
        <v>6</v>
      </c>
      <c r="E4447" s="1"/>
    </row>
    <row r="4448" ht="14.25" customHeight="1">
      <c r="A4448" s="1">
        <v>33.0</v>
      </c>
      <c r="B4448" s="1" t="s">
        <v>1826</v>
      </c>
      <c r="C4448" s="1">
        <v>0.0</v>
      </c>
      <c r="D4448" s="1" t="s">
        <v>1301</v>
      </c>
      <c r="E4448" s="1" t="str">
        <f>IFERROR(__xludf.DUMMYFUNCTION("GOOGLETRANSLATE(D4448,""PT"",""EN"")"),"A")</f>
        <v>A</v>
      </c>
    </row>
    <row r="4449" ht="14.25" customHeight="1">
      <c r="A4449" s="1">
        <v>100.0</v>
      </c>
      <c r="B4449" s="1" t="s">
        <v>1826</v>
      </c>
      <c r="C4449" s="1">
        <v>10.0</v>
      </c>
      <c r="D4449" s="1" t="s">
        <v>9</v>
      </c>
      <c r="E4449" s="1" t="str">
        <f>IFERROR(__xludf.DUMMYFUNCTION("GOOGLETRANSLATE(D4449,""PT"",""EN"")"),"10")</f>
        <v>10</v>
      </c>
    </row>
    <row r="4450" ht="14.25" customHeight="1">
      <c r="A4450" s="1">
        <v>100.0</v>
      </c>
      <c r="B4450" s="1" t="s">
        <v>1826</v>
      </c>
      <c r="C4450" s="1">
        <v>9.0</v>
      </c>
      <c r="D4450" s="1" t="s">
        <v>1982</v>
      </c>
      <c r="E4450" s="1" t="str">
        <f>IFERROR(__xludf.DUMMYFUNCTION("GOOGLETRANSLATE(D4450,""PT"",""EN"")"),"Super recommend")</f>
        <v>Super recommend</v>
      </c>
    </row>
    <row r="4451" ht="14.25" customHeight="1">
      <c r="A4451" s="1">
        <v>66.0</v>
      </c>
      <c r="B4451" s="1" t="s">
        <v>1826</v>
      </c>
      <c r="C4451" s="1">
        <v>7.0</v>
      </c>
      <c r="D4451" s="1" t="s">
        <v>6</v>
      </c>
      <c r="E4451" s="1"/>
    </row>
    <row r="4452" ht="14.25" customHeight="1">
      <c r="A4452" s="1">
        <v>66.0</v>
      </c>
      <c r="B4452" s="1" t="s">
        <v>1826</v>
      </c>
      <c r="C4452" s="1">
        <v>7.0</v>
      </c>
      <c r="D4452" s="1" t="s">
        <v>1983</v>
      </c>
      <c r="E4452" s="1" t="str">
        <f>IFERROR(__xludf.DUMMYFUNCTION("GOOGLETRANSLATE(D4452,""PT"",""EN"")"),"My experience as an associate.")</f>
        <v>My experience as an associate.</v>
      </c>
    </row>
    <row r="4453" ht="14.25" customHeight="1">
      <c r="A4453" s="1">
        <v>100.0</v>
      </c>
      <c r="B4453" s="1" t="s">
        <v>1826</v>
      </c>
      <c r="C4453" s="1">
        <v>10.0</v>
      </c>
      <c r="D4453" s="1" t="s">
        <v>1984</v>
      </c>
      <c r="E4453" s="1" t="str">
        <f>IFERROR(__xludf.DUMMYFUNCTION("GOOGLETRANSLATE(D4453,""PT"",""EN"")"),"great!")</f>
        <v>great!</v>
      </c>
    </row>
    <row r="4454" ht="14.25" customHeight="1">
      <c r="A4454" s="1">
        <v>33.0</v>
      </c>
      <c r="B4454" s="1" t="s">
        <v>1826</v>
      </c>
      <c r="C4454" s="1">
        <v>1.0</v>
      </c>
      <c r="D4454" s="2" t="s">
        <v>1985</v>
      </c>
      <c r="E4454" s="1" t="str">
        <f>IFERROR(__xludf.DUMMYFUNCTION("GOOGLETRANSLATE(D4454,""PT"",""EN"")"),"I think Sicoob has been more concerned with helping the account holder, but currently no longer.")</f>
        <v>I think Sicoob has been more concerned with helping the account holder, but currently no longer.</v>
      </c>
    </row>
    <row r="4455" ht="14.25" customHeight="1">
      <c r="A4455" s="1">
        <v>33.0</v>
      </c>
      <c r="B4455" s="1" t="s">
        <v>1826</v>
      </c>
      <c r="C4455" s="1">
        <v>2.0</v>
      </c>
      <c r="D4455" s="2" t="s">
        <v>1986</v>
      </c>
      <c r="E4455" s="1" t="str">
        <f>IFERROR(__xludf.DUMMYFUNCTION("GOOGLETRANSLATE(D4455,""PT"",""EN"")"),"A lot of complication to get a credit limit")</f>
        <v>A lot of complication to get a credit limit</v>
      </c>
    </row>
    <row r="4456" ht="14.25" customHeight="1">
      <c r="A4456" s="1">
        <v>66.0</v>
      </c>
      <c r="B4456" s="1" t="s">
        <v>1826</v>
      </c>
      <c r="C4456" s="1">
        <v>8.0</v>
      </c>
      <c r="D4456" s="1" t="s">
        <v>1987</v>
      </c>
      <c r="E4456" s="1" t="str">
        <f>IFERROR(__xludf.DUMMYFUNCTION("GOOGLETRANSLATE(D4456,""PT"",""EN"")"),"A good service.")</f>
        <v>A good service.</v>
      </c>
    </row>
    <row r="4457" ht="14.25" customHeight="1">
      <c r="A4457" s="1">
        <v>100.0</v>
      </c>
      <c r="B4457" s="1" t="s">
        <v>1826</v>
      </c>
      <c r="C4457" s="1">
        <v>10.0</v>
      </c>
      <c r="D4457" s="1" t="s">
        <v>1988</v>
      </c>
      <c r="E4457" s="1" t="str">
        <f>IFERROR(__xludf.DUMMYFUNCTION("GOOGLETRANSLATE(D4457,""PT"",""EN"")"),"Reasonable interest, great service.")</f>
        <v>Reasonable interest, great service.</v>
      </c>
    </row>
    <row r="4458" ht="14.25" customHeight="1">
      <c r="A4458" s="1">
        <v>100.0</v>
      </c>
      <c r="B4458" s="1" t="s">
        <v>1826</v>
      </c>
      <c r="C4458" s="1">
        <v>10.0</v>
      </c>
      <c r="D4458" s="1" t="s">
        <v>1989</v>
      </c>
      <c r="E4458" s="1" t="str">
        <f>IFERROR(__xludf.DUMMYFUNCTION("GOOGLETRANSLATE(D4458,""PT"",""EN"")"),"Great alternative to society.")</f>
        <v>Great alternative to society.</v>
      </c>
    </row>
    <row r="4459" ht="14.25" customHeight="1">
      <c r="A4459" s="1">
        <v>33.0</v>
      </c>
      <c r="B4459" s="1" t="s">
        <v>1826</v>
      </c>
      <c r="C4459" s="1">
        <v>2.0</v>
      </c>
      <c r="D4459" s="2" t="s">
        <v>1990</v>
      </c>
      <c r="E4459" s="1" t="str">
        <f>IFERROR(__xludf.DUMMYFUNCTION("GOOGLETRANSLATE(D4459,""PT"",""EN"")"),"Practice equal interest to normal banks.")</f>
        <v>Practice equal interest to normal banks.</v>
      </c>
    </row>
    <row r="4460" ht="14.25" customHeight="1">
      <c r="A4460" s="1">
        <v>100.0</v>
      </c>
      <c r="B4460" s="1" t="s">
        <v>1826</v>
      </c>
      <c r="C4460" s="1">
        <v>10.0</v>
      </c>
      <c r="D4460" s="1" t="s">
        <v>20</v>
      </c>
      <c r="E4460" s="1" t="str">
        <f>IFERROR(__xludf.DUMMYFUNCTION("GOOGLETRANSLATE(D4460,""PT"",""EN"")"),"Very good")</f>
        <v>Very good</v>
      </c>
    </row>
    <row r="4461" ht="14.25" customHeight="1">
      <c r="A4461" s="1">
        <v>100.0</v>
      </c>
      <c r="B4461" s="1" t="s">
        <v>1826</v>
      </c>
      <c r="C4461" s="1">
        <v>10.0</v>
      </c>
      <c r="D4461" s="2" t="s">
        <v>1991</v>
      </c>
      <c r="E4461" s="1" t="str">
        <f>IFERROR(__xludf.DUMMYFUNCTION("GOOGLETRANSLATE(D4461,""PT"",""EN"")"),"Executive Sicoob is always ready to serve me when I need.")</f>
        <v>Executive Sicoob is always ready to serve me when I need.</v>
      </c>
    </row>
    <row r="4462" ht="14.25" customHeight="1">
      <c r="A4462" s="1">
        <v>100.0</v>
      </c>
      <c r="B4462" s="1" t="s">
        <v>1826</v>
      </c>
      <c r="C4462" s="1">
        <v>10.0</v>
      </c>
      <c r="D4462" s="1" t="s">
        <v>6</v>
      </c>
      <c r="E4462" s="1"/>
    </row>
    <row r="4463" ht="14.25" customHeight="1">
      <c r="A4463" s="1">
        <v>33.0</v>
      </c>
      <c r="B4463" s="1" t="s">
        <v>1826</v>
      </c>
      <c r="C4463" s="1">
        <v>5.0</v>
      </c>
      <c r="D4463" s="1" t="s">
        <v>6</v>
      </c>
      <c r="E4463" s="1"/>
    </row>
    <row r="4464" ht="14.25" customHeight="1">
      <c r="A4464" s="1">
        <v>100.0</v>
      </c>
      <c r="B4464" s="1" t="s">
        <v>1826</v>
      </c>
      <c r="C4464" s="1">
        <v>9.0</v>
      </c>
      <c r="D4464" s="2" t="s">
        <v>1992</v>
      </c>
      <c r="E4464" s="1" t="str">
        <f>IFERROR(__xludf.DUMMYFUNCTION("GOOGLETRANSLATE(D4464,""PT"",""EN"")"),"Tranquility is good service")</f>
        <v>Tranquility is good service</v>
      </c>
    </row>
    <row r="4465" ht="14.25" customHeight="1">
      <c r="A4465" s="1">
        <v>100.0</v>
      </c>
      <c r="B4465" s="1" t="s">
        <v>1826</v>
      </c>
      <c r="C4465" s="1">
        <v>10.0</v>
      </c>
      <c r="D4465" s="1" t="s">
        <v>1993</v>
      </c>
      <c r="E4465" s="1" t="str">
        <f>IFERROR(__xludf.DUMMYFUNCTION("GOOGLETRANSLATE(D4465,""PT"",""EN"")"),"I have a partnership of many years")</f>
        <v>I have a partnership of many years</v>
      </c>
    </row>
    <row r="4466" ht="14.25" customHeight="1">
      <c r="A4466" s="1">
        <v>100.0</v>
      </c>
      <c r="B4466" s="1" t="s">
        <v>1826</v>
      </c>
      <c r="C4466" s="1">
        <v>10.0</v>
      </c>
      <c r="D4466" s="1" t="s">
        <v>6</v>
      </c>
      <c r="E4466" s="1"/>
    </row>
    <row r="4467" ht="14.25" customHeight="1">
      <c r="A4467" s="1">
        <v>100.0</v>
      </c>
      <c r="B4467" s="1" t="s">
        <v>1826</v>
      </c>
      <c r="C4467" s="1">
        <v>10.0</v>
      </c>
      <c r="D4467" s="2" t="s">
        <v>593</v>
      </c>
      <c r="E4467" s="1" t="str">
        <f>IFERROR(__xludf.DUMMYFUNCTION("GOOGLETRANSLATE(D4467,""PT"",""EN"")"),"great service")</f>
        <v>great service</v>
      </c>
    </row>
    <row r="4468" ht="14.25" customHeight="1">
      <c r="A4468" s="1">
        <v>100.0</v>
      </c>
      <c r="B4468" s="1" t="s">
        <v>1826</v>
      </c>
      <c r="C4468" s="1">
        <v>9.0</v>
      </c>
      <c r="D4468" s="1" t="s">
        <v>6</v>
      </c>
      <c r="E4468" s="1"/>
    </row>
    <row r="4469" ht="14.25" customHeight="1">
      <c r="A4469" s="1">
        <v>33.0</v>
      </c>
      <c r="B4469" s="1" t="s">
        <v>1826</v>
      </c>
      <c r="C4469" s="1">
        <v>0.0</v>
      </c>
      <c r="D4469" s="1" t="s">
        <v>1994</v>
      </c>
      <c r="E4469" s="1" t="str">
        <f>IFERROR(__xludf.DUMMYFUNCTION("GOOGLETRANSLATE(D4469,""PT"",""EN"")"),"Moments of embarrassment '")</f>
        <v>Moments of embarrassment '</v>
      </c>
    </row>
    <row r="4470" ht="14.25" customHeight="1">
      <c r="A4470" s="1">
        <v>100.0</v>
      </c>
      <c r="B4470" s="1" t="s">
        <v>1826</v>
      </c>
      <c r="C4470" s="1">
        <v>10.0</v>
      </c>
      <c r="D4470" s="1" t="s">
        <v>1995</v>
      </c>
      <c r="E4470" s="1" t="str">
        <f>IFERROR(__xludf.DUMMYFUNCTION("GOOGLETRANSLATE(D4470,""PT"",""EN"")"),"By accessibility.")</f>
        <v>By accessibility.</v>
      </c>
    </row>
    <row r="4471" ht="14.25" customHeight="1">
      <c r="A4471" s="1">
        <v>33.0</v>
      </c>
      <c r="B4471" s="1" t="s">
        <v>1826</v>
      </c>
      <c r="C4471" s="1">
        <v>0.0</v>
      </c>
      <c r="D4471" s="1" t="s">
        <v>6</v>
      </c>
      <c r="E4471" s="1"/>
    </row>
    <row r="4472" ht="14.25" customHeight="1">
      <c r="A4472" s="1">
        <v>100.0</v>
      </c>
      <c r="B4472" s="1" t="s">
        <v>1826</v>
      </c>
      <c r="C4472" s="1">
        <v>10.0</v>
      </c>
      <c r="D4472" s="1" t="s">
        <v>6</v>
      </c>
      <c r="E4472" s="1"/>
    </row>
    <row r="4473" ht="14.25" customHeight="1">
      <c r="A4473" s="1">
        <v>100.0</v>
      </c>
      <c r="B4473" s="1" t="s">
        <v>1826</v>
      </c>
      <c r="C4473" s="1">
        <v>10.0</v>
      </c>
      <c r="D4473" s="2" t="s">
        <v>1996</v>
      </c>
      <c r="E4473" s="1" t="str">
        <f>IFERROR(__xludf.DUMMYFUNCTION("GOOGLETRANSLATE(D4473,""PT"",""EN"")"),"Excellent service at the bank branch (Sobradinho / Sicoob Executive), with promptness and agility is very good application.")</f>
        <v>Excellent service at the bank branch (Sobradinho / Sicoob Executive), with promptness and agility is very good application.</v>
      </c>
    </row>
    <row r="4474" ht="14.25" customHeight="1">
      <c r="A4474" s="1">
        <v>33.0</v>
      </c>
      <c r="B4474" s="1" t="s">
        <v>1826</v>
      </c>
      <c r="C4474" s="1">
        <v>0.0</v>
      </c>
      <c r="D4474" s="1" t="s">
        <v>6</v>
      </c>
      <c r="E4474" s="1"/>
    </row>
    <row r="4475" ht="14.25" customHeight="1">
      <c r="A4475" s="1">
        <v>100.0</v>
      </c>
      <c r="B4475" s="1" t="s">
        <v>1826</v>
      </c>
      <c r="C4475" s="1">
        <v>10.0</v>
      </c>
      <c r="D4475" s="1" t="s">
        <v>6</v>
      </c>
      <c r="E4475" s="1"/>
    </row>
    <row r="4476" ht="14.25" customHeight="1">
      <c r="A4476" s="1">
        <v>33.0</v>
      </c>
      <c r="B4476" s="1" t="s">
        <v>1826</v>
      </c>
      <c r="C4476" s="1">
        <v>0.0</v>
      </c>
      <c r="D4476" s="1" t="s">
        <v>6</v>
      </c>
      <c r="E4476" s="1"/>
    </row>
    <row r="4477" ht="14.25" customHeight="1">
      <c r="A4477" s="1">
        <v>33.0</v>
      </c>
      <c r="B4477" s="1" t="s">
        <v>1826</v>
      </c>
      <c r="C4477" s="1">
        <v>1.0</v>
      </c>
      <c r="D4477" s="1" t="s">
        <v>1997</v>
      </c>
      <c r="E4477" s="1" t="str">
        <f>IFERROR(__xludf.DUMMYFUNCTION("GOOGLETRANSLATE(D4477,""PT"",""EN"")"),"Delay in service, never give direct response, careful attendants with customer")</f>
        <v>Delay in service, never give direct response, careful attendants with customer</v>
      </c>
    </row>
    <row r="4478" ht="14.25" customHeight="1">
      <c r="A4478" s="1">
        <v>100.0</v>
      </c>
      <c r="B4478" s="1" t="s">
        <v>1826</v>
      </c>
      <c r="C4478" s="1">
        <v>10.0</v>
      </c>
      <c r="D4478" s="1" t="s">
        <v>6</v>
      </c>
      <c r="E4478" s="1"/>
    </row>
    <row r="4479" ht="14.25" customHeight="1">
      <c r="A4479" s="1">
        <v>33.0</v>
      </c>
      <c r="B4479" s="1" t="s">
        <v>1826</v>
      </c>
      <c r="C4479" s="1">
        <v>5.0</v>
      </c>
      <c r="D4479" s="2" t="s">
        <v>1998</v>
      </c>
      <c r="E4479" s="1" t="str">
        <f>IFERROR(__xludf.DUMMYFUNCTION("GOOGLETRANSLATE(D4479,""PT"",""EN"")"),"I do not recommend products, services etc to friendly and family people, sufficiently informed to make their choices. It is if the indication frustrates third parties, how do I get?")</f>
        <v>I do not recommend products, services etc to friendly and family people, sufficiently informed to make their choices. It is if the indication frustrates third parties, how do I get?</v>
      </c>
    </row>
    <row r="4480" ht="14.25" customHeight="1">
      <c r="A4480" s="1">
        <v>100.0</v>
      </c>
      <c r="B4480" s="1" t="s">
        <v>1826</v>
      </c>
      <c r="C4480" s="1">
        <v>10.0</v>
      </c>
      <c r="D4480" s="1" t="s">
        <v>6</v>
      </c>
      <c r="E4480" s="1"/>
    </row>
    <row r="4481" ht="14.25" customHeight="1">
      <c r="A4481" s="1">
        <v>33.0</v>
      </c>
      <c r="B4481" s="1" t="s">
        <v>1826</v>
      </c>
      <c r="C4481" s="1">
        <v>4.0</v>
      </c>
      <c r="D4481" s="1" t="s">
        <v>6</v>
      </c>
      <c r="E4481" s="1"/>
    </row>
    <row r="4482" ht="14.25" customHeight="1">
      <c r="A4482" s="1">
        <v>100.0</v>
      </c>
      <c r="B4482" s="1" t="s">
        <v>1826</v>
      </c>
      <c r="C4482" s="1">
        <v>10.0</v>
      </c>
      <c r="D4482" s="1" t="s">
        <v>1999</v>
      </c>
      <c r="E4482" s="1" t="str">
        <f>IFERROR(__xludf.DUMMYFUNCTION("GOOGLETRANSLATE(D4482,""PT"",""EN"")"),"I was always very well attended!")</f>
        <v>I was always very well attended!</v>
      </c>
    </row>
    <row r="4483" ht="14.25" customHeight="1">
      <c r="A4483" s="1">
        <v>33.0</v>
      </c>
      <c r="B4483" s="1" t="s">
        <v>1826</v>
      </c>
      <c r="C4483" s="1">
        <v>6.0</v>
      </c>
      <c r="D4483" s="2" t="s">
        <v>2000</v>
      </c>
      <c r="E4483" s="1" t="str">
        <f>IFERROR(__xludf.DUMMYFUNCTION("GOOGLETRANSLATE(D4483,""PT"",""EN"")"),"Very restricted credit compared to other banks")</f>
        <v>Very restricted credit compared to other banks</v>
      </c>
    </row>
    <row r="4484" ht="14.25" customHeight="1">
      <c r="A4484" s="1">
        <v>100.0</v>
      </c>
      <c r="B4484" s="1" t="s">
        <v>1826</v>
      </c>
      <c r="C4484" s="1">
        <v>10.0</v>
      </c>
      <c r="D4484" s="1" t="s">
        <v>6</v>
      </c>
      <c r="E4484" s="1"/>
    </row>
    <row r="4485" ht="14.25" customHeight="1">
      <c r="A4485" s="1">
        <v>33.0</v>
      </c>
      <c r="B4485" s="1" t="s">
        <v>1826</v>
      </c>
      <c r="C4485" s="1">
        <v>2.0</v>
      </c>
      <c r="D4485" s="1" t="s">
        <v>2001</v>
      </c>
      <c r="E4485" s="1" t="str">
        <f>IFERROR(__xludf.DUMMYFUNCTION("GOOGLETRANSLATE(D4485,""PT"",""EN"")"),"Little clear procedures.")</f>
        <v>Little clear procedures.</v>
      </c>
    </row>
    <row r="4486" ht="14.25" customHeight="1">
      <c r="A4486" s="1">
        <v>33.0</v>
      </c>
      <c r="B4486" s="1" t="s">
        <v>1826</v>
      </c>
      <c r="C4486" s="1">
        <v>6.0</v>
      </c>
      <c r="D4486" s="2" t="s">
        <v>2002</v>
      </c>
      <c r="E4486" s="1" t="str">
        <f>IFERROR(__xludf.DUMMYFUNCTION("GOOGLETRANSLATE(D4486,""PT"",""EN"")"),"INCLUSION OF DIGITAL ACCOUNT SERVICE PACKAGE, INCLUSION OF INSURANCE IN CREDIT CARD WITHOUT REQUEST, DIFFICULTY TO CURRENT CURRENT ACCOUNT ...")</f>
        <v>INCLUSION OF DIGITAL ACCOUNT SERVICE PACKAGE, INCLUSION OF INSURANCE IN CREDIT CARD WITHOUT REQUEST, DIFFICULTY TO CURRENT CURRENT ACCOUNT ...</v>
      </c>
    </row>
    <row r="4487" ht="14.25" customHeight="1">
      <c r="A4487" s="1">
        <v>100.0</v>
      </c>
      <c r="B4487" s="1" t="s">
        <v>1826</v>
      </c>
      <c r="C4487" s="1">
        <v>10.0</v>
      </c>
      <c r="D4487" s="1" t="s">
        <v>6</v>
      </c>
      <c r="E4487" s="1"/>
    </row>
    <row r="4488" ht="14.25" customHeight="1">
      <c r="A4488" s="1">
        <v>100.0</v>
      </c>
      <c r="B4488" s="1" t="s">
        <v>1826</v>
      </c>
      <c r="C4488" s="1">
        <v>10.0</v>
      </c>
      <c r="D4488" s="1" t="s">
        <v>2003</v>
      </c>
      <c r="E4488" s="1" t="str">
        <f>IFERROR(__xludf.DUMMYFUNCTION("GOOGLETRANSLATE(D4488,""PT"",""EN"")"),"They are very helpful.")</f>
        <v>They are very helpful.</v>
      </c>
    </row>
    <row r="4489" ht="14.25" customHeight="1">
      <c r="A4489" s="1">
        <v>100.0</v>
      </c>
      <c r="B4489" s="1" t="s">
        <v>1826</v>
      </c>
      <c r="C4489" s="1">
        <v>9.0</v>
      </c>
      <c r="D4489" s="1" t="s">
        <v>2004</v>
      </c>
      <c r="E4489" s="1" t="str">
        <f>IFERROR(__xludf.DUMMYFUNCTION("GOOGLETRANSLATE(D4489,""PT"",""EN"")"),"Functional application")</f>
        <v>Functional application</v>
      </c>
    </row>
    <row r="4490" ht="14.25" customHeight="1">
      <c r="A4490" s="1">
        <v>100.0</v>
      </c>
      <c r="B4490" s="1" t="s">
        <v>1826</v>
      </c>
      <c r="C4490" s="1">
        <v>10.0</v>
      </c>
      <c r="D4490" s="1" t="s">
        <v>2005</v>
      </c>
      <c r="E4490" s="1" t="str">
        <f>IFERROR(__xludf.DUMMYFUNCTION("GOOGLETRANSLATE(D4490,""PT"",""EN"")"),"Speed ​​service")</f>
        <v>Speed ​​service</v>
      </c>
    </row>
    <row r="4491" ht="14.25" customHeight="1">
      <c r="A4491" s="1">
        <v>33.0</v>
      </c>
      <c r="B4491" s="1" t="s">
        <v>1826</v>
      </c>
      <c r="C4491" s="1">
        <v>0.0</v>
      </c>
      <c r="D4491" s="2" t="s">
        <v>2006</v>
      </c>
      <c r="E4491" s="1" t="str">
        <f>IFERROR(__xludf.DUMMYFUNCTION("GOOGLETRANSLATE(D4491,""PT"",""EN"")"),"Before you are associated, the treatment is very good, then .... God only knows many difficulties.")</f>
        <v>Before you are associated, the treatment is very good, then .... God only knows many difficulties.</v>
      </c>
    </row>
    <row r="4492" ht="14.25" customHeight="1">
      <c r="A4492" s="1">
        <v>33.0</v>
      </c>
      <c r="B4492" s="1" t="s">
        <v>1826</v>
      </c>
      <c r="C4492" s="1">
        <v>0.0</v>
      </c>
      <c r="D4492" s="2" t="s">
        <v>2007</v>
      </c>
      <c r="E4492" s="1" t="str">
        <f>IFERROR(__xludf.DUMMYFUNCTION("GOOGLETRANSLATE(D4492,""PT"",""EN"")"),"Because it is misleading advertising, it says that it is credit card is after opening the debit bill, liars, no more message to me, I do not recommend this lie to anyone.")</f>
        <v>Because it is misleading advertising, it says that it is credit card is after opening the debit bill, liars, no more message to me, I do not recommend this lie to anyone.</v>
      </c>
    </row>
    <row r="4493" ht="14.25" customHeight="1">
      <c r="A4493" s="1">
        <v>100.0</v>
      </c>
      <c r="B4493" s="1" t="s">
        <v>1826</v>
      </c>
      <c r="C4493" s="1">
        <v>10.0</v>
      </c>
      <c r="D4493" s="1" t="s">
        <v>6</v>
      </c>
      <c r="E4493" s="1"/>
    </row>
    <row r="4494" ht="14.25" customHeight="1">
      <c r="A4494" s="1">
        <v>33.0</v>
      </c>
      <c r="B4494" s="1" t="s">
        <v>1826</v>
      </c>
      <c r="C4494" s="1">
        <v>0.0</v>
      </c>
      <c r="D4494" s="1" t="s">
        <v>6</v>
      </c>
      <c r="E4494" s="1"/>
    </row>
    <row r="4495" ht="14.25" customHeight="1">
      <c r="A4495" s="1">
        <v>100.0</v>
      </c>
      <c r="B4495" s="1" t="s">
        <v>1826</v>
      </c>
      <c r="C4495" s="1">
        <v>10.0</v>
      </c>
      <c r="D4495" s="2" t="s">
        <v>2008</v>
      </c>
      <c r="E4495" s="1" t="str">
        <f>IFERROR(__xludf.DUMMYFUNCTION("GOOGLETRANSLATE(D4495,""PT"",""EN"")"),"Credit cooperativism is synonymous with financial justice.")</f>
        <v>Credit cooperativism is synonymous with financial justice.</v>
      </c>
    </row>
    <row r="4496" ht="14.25" customHeight="1">
      <c r="A4496" s="1">
        <v>66.0</v>
      </c>
      <c r="B4496" s="1" t="s">
        <v>1826</v>
      </c>
      <c r="C4496" s="1">
        <v>8.0</v>
      </c>
      <c r="D4496" s="1" t="s">
        <v>6</v>
      </c>
      <c r="E4496" s="1"/>
    </row>
    <row r="4497" ht="14.25" customHeight="1">
      <c r="A4497" s="1">
        <v>100.0</v>
      </c>
      <c r="B4497" s="1" t="s">
        <v>1826</v>
      </c>
      <c r="C4497" s="1">
        <v>9.0</v>
      </c>
      <c r="D4497" s="1" t="s">
        <v>6</v>
      </c>
      <c r="E4497" s="1"/>
    </row>
    <row r="4498" ht="14.25" customHeight="1">
      <c r="A4498" s="1">
        <v>100.0</v>
      </c>
      <c r="B4498" s="1" t="s">
        <v>1826</v>
      </c>
      <c r="C4498" s="1">
        <v>10.0</v>
      </c>
      <c r="D4498" s="1" t="s">
        <v>2009</v>
      </c>
      <c r="E4498" s="1" t="str">
        <f>IFERROR(__xludf.DUMMYFUNCTION("GOOGLETRANSLATE(D4498,""PT"",""EN"")"),"Eccentric in everything")</f>
        <v>Eccentric in everything</v>
      </c>
    </row>
    <row r="4499" ht="14.25" customHeight="1">
      <c r="A4499" s="1">
        <v>100.0</v>
      </c>
      <c r="B4499" s="1" t="s">
        <v>1826</v>
      </c>
      <c r="C4499" s="1">
        <v>10.0</v>
      </c>
      <c r="D4499" s="1" t="s">
        <v>2010</v>
      </c>
      <c r="E4499" s="1" t="str">
        <f>IFERROR(__xludf.DUMMYFUNCTION("GOOGLETRANSLATE(D4499,""PT"",""EN"")"),"Meets my needs.")</f>
        <v>Meets my needs.</v>
      </c>
    </row>
    <row r="4500" ht="14.25" customHeight="1">
      <c r="A4500" s="1">
        <v>100.0</v>
      </c>
      <c r="B4500" s="1" t="s">
        <v>1826</v>
      </c>
      <c r="C4500" s="1">
        <v>9.0</v>
      </c>
      <c r="D4500" s="1" t="s">
        <v>2011</v>
      </c>
      <c r="E4500" s="1" t="str">
        <f>IFERROR(__xludf.DUMMYFUNCTION("GOOGLETRANSLATE(D4500,""PT"",""EN"")"),"I really like Sicoob. I never had problems. 9 is a good grade.")</f>
        <v>I really like Sicoob. I never had problems. 9 is a good grade.</v>
      </c>
    </row>
    <row r="4501" ht="14.25" customHeight="1">
      <c r="A4501" s="1">
        <v>100.0</v>
      </c>
      <c r="B4501" s="1" t="s">
        <v>1826</v>
      </c>
      <c r="C4501" s="1">
        <v>10.0</v>
      </c>
      <c r="D4501" s="1" t="s">
        <v>2012</v>
      </c>
      <c r="E4501" s="1" t="str">
        <f>IFERROR(__xludf.DUMMYFUNCTION("GOOGLETRANSLATE(D4501,""PT"",""EN"")"),"Wonderful service")</f>
        <v>Wonderful service</v>
      </c>
    </row>
    <row r="4502" ht="14.25" customHeight="1">
      <c r="A4502" s="1">
        <v>100.0</v>
      </c>
      <c r="B4502" s="1" t="s">
        <v>1826</v>
      </c>
      <c r="C4502" s="1">
        <v>10.0</v>
      </c>
      <c r="D4502" s="1" t="s">
        <v>2013</v>
      </c>
      <c r="E4502" s="1" t="str">
        <f>IFERROR(__xludf.DUMMYFUNCTION("GOOGLETRANSLATE(D4502,""PT"",""EN"")"),"Punctuality")</f>
        <v>Punctuality</v>
      </c>
    </row>
    <row r="4503" ht="14.25" customHeight="1">
      <c r="A4503" s="1">
        <v>66.0</v>
      </c>
      <c r="B4503" s="1" t="s">
        <v>1826</v>
      </c>
      <c r="C4503" s="1">
        <v>7.0</v>
      </c>
      <c r="D4503" s="1" t="s">
        <v>2014</v>
      </c>
      <c r="E4503" s="1" t="str">
        <f>IFERROR(__xludf.DUMMYFUNCTION("GOOGLETRANSLATE(D4503,""PT"",""EN"")"),"Sicoob makes it very difficult for people who earn little.")</f>
        <v>Sicoob makes it very difficult for people who earn little.</v>
      </c>
    </row>
    <row r="4504" ht="14.25" customHeight="1">
      <c r="A4504" s="1">
        <v>100.0</v>
      </c>
      <c r="B4504" s="1" t="s">
        <v>1826</v>
      </c>
      <c r="C4504" s="1">
        <v>10.0</v>
      </c>
      <c r="D4504" s="2" t="s">
        <v>2015</v>
      </c>
      <c r="E4504" s="1" t="str">
        <f>IFERROR(__xludf.DUMMYFUNCTION("GOOGLETRANSLATE(D4504,""PT"",""EN"")"),"For many years I have no more customer. But when I moved an account, I never had any problems is or friction with this bank, I was always well attended")</f>
        <v>For many years I have no more customer. But when I moved an account, I never had any problems is or friction with this bank, I was always well attended</v>
      </c>
    </row>
    <row r="4505" ht="14.25" customHeight="1">
      <c r="A4505" s="1">
        <v>100.0</v>
      </c>
      <c r="B4505" s="1" t="s">
        <v>1826</v>
      </c>
      <c r="C4505" s="1">
        <v>10.0</v>
      </c>
      <c r="D4505" s="1" t="s">
        <v>6</v>
      </c>
      <c r="E4505" s="1"/>
    </row>
    <row r="4506" ht="14.25" customHeight="1">
      <c r="A4506" s="1">
        <v>100.0</v>
      </c>
      <c r="B4506" s="1" t="s">
        <v>1826</v>
      </c>
      <c r="C4506" s="1">
        <v>10.0</v>
      </c>
      <c r="D4506" s="1" t="s">
        <v>6</v>
      </c>
      <c r="E4506" s="1"/>
    </row>
    <row r="4507" ht="14.25" customHeight="1">
      <c r="A4507" s="1">
        <v>33.0</v>
      </c>
      <c r="B4507" s="1" t="s">
        <v>1826</v>
      </c>
      <c r="C4507" s="1">
        <v>5.0</v>
      </c>
      <c r="D4507" s="1" t="s">
        <v>6</v>
      </c>
      <c r="E4507" s="1"/>
    </row>
    <row r="4508" ht="14.25" customHeight="1">
      <c r="A4508" s="1">
        <v>33.0</v>
      </c>
      <c r="B4508" s="1" t="s">
        <v>1826</v>
      </c>
      <c r="C4508" s="1">
        <v>0.0</v>
      </c>
      <c r="D4508" s="1" t="s">
        <v>2016</v>
      </c>
      <c r="E4508" s="1" t="str">
        <f>IFERROR(__xludf.DUMMYFUNCTION("GOOGLETRANSLATE(D4508,""PT"",""EN"")"),"Very requirements to open an account")</f>
        <v>Very requirements to open an account</v>
      </c>
    </row>
    <row r="4509" ht="14.25" customHeight="1">
      <c r="A4509" s="1">
        <v>100.0</v>
      </c>
      <c r="B4509" s="1" t="s">
        <v>1826</v>
      </c>
      <c r="C4509" s="1">
        <v>10.0</v>
      </c>
      <c r="D4509" s="2" t="s">
        <v>2017</v>
      </c>
      <c r="E4509" s="1" t="str">
        <f>IFERROR(__xludf.DUMMYFUNCTION("GOOGLETRANSLATE(D4509,""PT"",""EN"")"),"Service is care for the customer, a lot, manager Marcelo very efficient!")</f>
        <v>Service is care for the customer, a lot, manager Marcelo very efficient!</v>
      </c>
    </row>
    <row r="4510" ht="14.25" customHeight="1">
      <c r="A4510" s="1">
        <v>100.0</v>
      </c>
      <c r="B4510" s="1" t="s">
        <v>1826</v>
      </c>
      <c r="C4510" s="1">
        <v>10.0</v>
      </c>
      <c r="D4510" s="1" t="s">
        <v>221</v>
      </c>
      <c r="E4510" s="1" t="str">
        <f>IFERROR(__xludf.DUMMYFUNCTION("GOOGLETRANSLATE(D4510,""PT"",""EN"")"),"Wonderful Bank")</f>
        <v>Wonderful Bank</v>
      </c>
    </row>
    <row r="4511" ht="14.25" customHeight="1">
      <c r="A4511" s="1">
        <v>100.0</v>
      </c>
      <c r="B4511" s="1" t="s">
        <v>1826</v>
      </c>
      <c r="C4511" s="1">
        <v>10.0</v>
      </c>
      <c r="D4511" s="1" t="s">
        <v>571</v>
      </c>
      <c r="E4511" s="1" t="str">
        <f>IFERROR(__xludf.DUMMYFUNCTION("GOOGLETRANSLATE(D4511,""PT"",""EN"")"),"The service")</f>
        <v>The service</v>
      </c>
    </row>
    <row r="4512" ht="14.25" customHeight="1">
      <c r="A4512" s="1">
        <v>33.0</v>
      </c>
      <c r="B4512" s="1" t="s">
        <v>1826</v>
      </c>
      <c r="C4512" s="1">
        <v>0.0</v>
      </c>
      <c r="D4512" s="1" t="s">
        <v>6</v>
      </c>
      <c r="E4512" s="1"/>
    </row>
    <row r="4513" ht="14.25" customHeight="1">
      <c r="A4513" s="1">
        <v>100.0</v>
      </c>
      <c r="B4513" s="1" t="s">
        <v>1826</v>
      </c>
      <c r="C4513" s="1">
        <v>10.0</v>
      </c>
      <c r="D4513" s="1" t="s">
        <v>2018</v>
      </c>
      <c r="E4513" s="1" t="str">
        <f>IFERROR(__xludf.DUMMYFUNCTION("GOOGLETRANSLATE(D4513,""PT"",""EN"")"),"NOTE 1,00000")</f>
        <v>NOTE 1,00000</v>
      </c>
    </row>
    <row r="4514" ht="14.25" customHeight="1">
      <c r="A4514" s="1">
        <v>33.0</v>
      </c>
      <c r="B4514" s="1" t="s">
        <v>1826</v>
      </c>
      <c r="C4514" s="1">
        <v>5.0</v>
      </c>
      <c r="D4514" s="1" t="s">
        <v>6</v>
      </c>
      <c r="E4514" s="1"/>
    </row>
    <row r="4515" ht="14.25" customHeight="1">
      <c r="A4515" s="1">
        <v>100.0</v>
      </c>
      <c r="B4515" s="1" t="s">
        <v>1826</v>
      </c>
      <c r="C4515" s="1">
        <v>10.0</v>
      </c>
      <c r="D4515" s="2" t="s">
        <v>2019</v>
      </c>
      <c r="E4515" s="1" t="str">
        <f>IFERROR(__xludf.DUMMYFUNCTION("GOOGLETRANSLATE(D4515,""PT"",""EN"")"),"Excellent virtual service is in person")</f>
        <v>Excellent virtual service is in person</v>
      </c>
    </row>
    <row r="4516" ht="14.25" customHeight="1">
      <c r="A4516" s="1">
        <v>33.0</v>
      </c>
      <c r="B4516" s="1" t="s">
        <v>1826</v>
      </c>
      <c r="C4516" s="1">
        <v>0.0</v>
      </c>
      <c r="D4516" s="2" t="s">
        <v>2020</v>
      </c>
      <c r="E4516" s="1" t="str">
        <f>IFERROR(__xludf.DUMMYFUNCTION("GOOGLETRANSLATE(D4516,""PT"",""EN"")"),"Because when I was a client, when my sweaty salary fell all day, the bank took half, that is, I worked a whole day on home care to win on duty 80 reais is you were going there to be all over. It was outraged. I did the bill with you not because I wanted, "&amp;"they forced me, otherwise I didn't receive it, because I already had an account, it was not necessary to do another. But the cooperative could only make the payment if it were in this bank. To this day I don't know why, very strange. To this day they have"&amp;" not returned my money, I have been outraged since then. It is still I asked to be a salary account at the time, so that I just fell my payment there is no discounts. So I canceled the bond with you.")</f>
        <v>Because when I was a client, when my sweaty salary fell all day, the bank took half, that is, I worked a whole day on home care to win on duty 80 reais is you were going there to be all over. It was outraged. I did the bill with you not because I wanted, they forced me, otherwise I didn't receive it, because I already had an account, it was not necessary to do another. But the cooperative could only make the payment if it were in this bank. To this day I don't know why, very strange. To this day they have not returned my money, I have been outraged since then. It is still I asked to be a salary account at the time, so that I just fell my payment there is no discounts. So I canceled the bond with you.</v>
      </c>
    </row>
    <row r="4517" ht="14.25" customHeight="1">
      <c r="A4517" s="1">
        <v>100.0</v>
      </c>
      <c r="B4517" s="1" t="s">
        <v>1826</v>
      </c>
      <c r="C4517" s="1">
        <v>10.0</v>
      </c>
      <c r="D4517" s="2" t="s">
        <v>2021</v>
      </c>
      <c r="E4517" s="1" t="str">
        <f>IFERROR(__xludf.DUMMYFUNCTION("GOOGLETRANSLATE(D4517,""PT"",""EN"")"),"Sicoob a cooperative that gives me security and reliability!")</f>
        <v>Sicoob a cooperative that gives me security and reliability!</v>
      </c>
    </row>
    <row r="4518" ht="14.25" customHeight="1">
      <c r="A4518" s="1">
        <v>100.0</v>
      </c>
      <c r="B4518" s="1" t="s">
        <v>1826</v>
      </c>
      <c r="C4518" s="1">
        <v>10.0</v>
      </c>
      <c r="D4518" s="1" t="s">
        <v>2022</v>
      </c>
      <c r="E4518" s="1" t="str">
        <f>IFERROR(__xludf.DUMMYFUNCTION("GOOGLETRANSLATE(D4518,""PT"",""EN"")"),"Beware of the Associate")</f>
        <v>Beware of the Associate</v>
      </c>
    </row>
    <row r="4519" ht="14.25" customHeight="1">
      <c r="A4519" s="1">
        <v>33.0</v>
      </c>
      <c r="B4519" s="1" t="s">
        <v>1826</v>
      </c>
      <c r="C4519" s="1">
        <v>3.0</v>
      </c>
      <c r="D4519" s="1" t="s">
        <v>6</v>
      </c>
      <c r="E4519" s="1"/>
    </row>
    <row r="4520" ht="14.25" customHeight="1">
      <c r="A4520" s="1">
        <v>100.0</v>
      </c>
      <c r="B4520" s="1" t="s">
        <v>1826</v>
      </c>
      <c r="C4520" s="1">
        <v>10.0</v>
      </c>
      <c r="D4520" s="2" t="s">
        <v>2023</v>
      </c>
      <c r="E4520" s="1" t="str">
        <f>IFERROR(__xludf.DUMMYFUNCTION("GOOGLETRANSLATE(D4520,""PT"",""EN"")"),"Because the cooperative system, whether of credit, production, etc., is more democratic. All participate.")</f>
        <v>Because the cooperative system, whether of credit, production, etc., is more democratic. All participate.</v>
      </c>
    </row>
    <row r="4521" ht="14.25" customHeight="1">
      <c r="A4521" s="1">
        <v>100.0</v>
      </c>
      <c r="B4521" s="1" t="s">
        <v>1826</v>
      </c>
      <c r="C4521" s="1">
        <v>10.0</v>
      </c>
      <c r="D4521" s="1" t="s">
        <v>6</v>
      </c>
      <c r="E4521" s="1"/>
    </row>
    <row r="4522" ht="14.25" customHeight="1">
      <c r="A4522" s="1">
        <v>100.0</v>
      </c>
      <c r="B4522" s="1" t="s">
        <v>1826</v>
      </c>
      <c r="C4522" s="1">
        <v>10.0</v>
      </c>
      <c r="D4522" s="1" t="s">
        <v>6</v>
      </c>
      <c r="E4522" s="1"/>
    </row>
    <row r="4523" ht="14.25" customHeight="1">
      <c r="A4523" s="1">
        <v>66.0</v>
      </c>
      <c r="B4523" s="1" t="s">
        <v>1826</v>
      </c>
      <c r="C4523" s="1">
        <v>7.0</v>
      </c>
      <c r="D4523" s="2" t="s">
        <v>2024</v>
      </c>
      <c r="E4523" s="1" t="str">
        <f>IFERROR(__xludf.DUMMYFUNCTION("GOOGLETRANSLATE(D4523,""PT"",""EN"")"),"Almost every day at peak times the application does not work; Business credit line program are derived is to be desired about the growth of associated companies.")</f>
        <v>Almost every day at peak times the application does not work; Business credit line program are derived is to be desired about the growth of associated companies.</v>
      </c>
    </row>
    <row r="4524" ht="14.25" customHeight="1">
      <c r="A4524" s="1">
        <v>66.0</v>
      </c>
      <c r="B4524" s="1" t="s">
        <v>1826</v>
      </c>
      <c r="C4524" s="1">
        <v>8.0</v>
      </c>
      <c r="D4524" s="1" t="s">
        <v>6</v>
      </c>
      <c r="E4524" s="1"/>
    </row>
    <row r="4525" ht="14.25" customHeight="1">
      <c r="A4525" s="1">
        <v>33.0</v>
      </c>
      <c r="B4525" s="1" t="s">
        <v>1826</v>
      </c>
      <c r="C4525" s="1">
        <v>0.0</v>
      </c>
      <c r="D4525" s="1" t="s">
        <v>6</v>
      </c>
      <c r="E4525" s="1"/>
    </row>
    <row r="4526" ht="14.25" customHeight="1">
      <c r="A4526" s="1">
        <v>33.0</v>
      </c>
      <c r="B4526" s="1" t="s">
        <v>1826</v>
      </c>
      <c r="C4526" s="1">
        <v>2.0</v>
      </c>
      <c r="D4526" s="2" t="s">
        <v>2025</v>
      </c>
      <c r="E4526" s="1" t="str">
        <f>IFERROR(__xludf.DUMMYFUNCTION("GOOGLETRANSLATE(D4526,""PT"",""EN"")"),"Sicoob does not value customers as it should")</f>
        <v>Sicoob does not value customers as it should</v>
      </c>
    </row>
    <row r="4527" ht="14.25" customHeight="1">
      <c r="A4527" s="1">
        <v>33.0</v>
      </c>
      <c r="B4527" s="1" t="s">
        <v>1826</v>
      </c>
      <c r="C4527" s="1">
        <v>3.0</v>
      </c>
      <c r="D4527" s="2" t="s">
        <v>2026</v>
      </c>
      <c r="E4527" s="1" t="str">
        <f>IFERROR(__xludf.DUMMYFUNCTION("GOOGLETRANSLATE(D4527,""PT"",""EN"")"),"Does not facilitate customer much bureaucracy ...")</f>
        <v>Does not facilitate customer much bureaucracy ...</v>
      </c>
    </row>
    <row r="4528" ht="14.25" customHeight="1">
      <c r="A4528" s="1">
        <v>33.0</v>
      </c>
      <c r="B4528" s="1" t="s">
        <v>1826</v>
      </c>
      <c r="C4528" s="1">
        <v>5.0</v>
      </c>
      <c r="D4528" s="2" t="s">
        <v>2027</v>
      </c>
      <c r="E4528" s="1" t="str">
        <f>IFERROR(__xludf.DUMMYFUNCTION("GOOGLETRANSLATE(D4528,""PT"",""EN"")"),"I have not received an answer to this day than I want to solve in my app")</f>
        <v>I have not received an answer to this day than I want to solve in my app</v>
      </c>
    </row>
    <row r="4529" ht="14.25" customHeight="1">
      <c r="A4529" s="1">
        <v>33.0</v>
      </c>
      <c r="B4529" s="1" t="s">
        <v>1826</v>
      </c>
      <c r="C4529" s="1">
        <v>3.0</v>
      </c>
      <c r="D4529" s="2" t="s">
        <v>2028</v>
      </c>
      <c r="E4529" s="1" t="str">
        <f>IFERROR(__xludf.DUMMYFUNCTION("GOOGLETRANSLATE(D4529,""PT"",""EN"")"),"Agility in service. Lack of return to consultations. Lack of ""tino"" to market the products. I have investments is not to use Sicoob's credit card, I use Caixa's. Would not recommend. I don't have anything to complain about the face -to -face service tha"&amp;"t is great. I'm talking about Sicoob as a service provider.")</f>
        <v>Agility in service. Lack of return to consultations. Lack of "tino" to market the products. I have investments is not to use Sicoob's credit card, I use Caixa's. Would not recommend. I don't have anything to complain about the face -to -face service that is great. I'm talking about Sicoob as a service provider.</v>
      </c>
    </row>
    <row r="4530" ht="14.25" customHeight="1">
      <c r="A4530" s="1">
        <v>66.0</v>
      </c>
      <c r="B4530" s="1" t="s">
        <v>1826</v>
      </c>
      <c r="C4530" s="1">
        <v>8.0</v>
      </c>
      <c r="D4530" s="1" t="s">
        <v>6</v>
      </c>
      <c r="E4530" s="1"/>
    </row>
    <row r="4531" ht="14.25" customHeight="1">
      <c r="A4531" s="1">
        <v>100.0</v>
      </c>
      <c r="B4531" s="1" t="s">
        <v>1826</v>
      </c>
      <c r="C4531" s="1">
        <v>9.0</v>
      </c>
      <c r="D4531" s="2" t="s">
        <v>2029</v>
      </c>
      <c r="E4531" s="1" t="str">
        <f>IFERROR(__xludf.DUMMYFUNCTION("GOOGLETRANSLATE(D4531,""PT"",""EN"")"),"Agencies are not interconnected in the country is difficult to withdraw in the capital account.")</f>
        <v>Agencies are not interconnected in the country is difficult to withdraw in the capital account.</v>
      </c>
    </row>
    <row r="4532" ht="14.25" customHeight="1">
      <c r="A4532" s="1">
        <v>66.0</v>
      </c>
      <c r="B4532" s="1" t="s">
        <v>1826</v>
      </c>
      <c r="C4532" s="1">
        <v>8.0</v>
      </c>
      <c r="D4532" s="1" t="s">
        <v>6</v>
      </c>
      <c r="E4532" s="1"/>
    </row>
    <row r="4533" ht="14.25" customHeight="1">
      <c r="A4533" s="1">
        <v>100.0</v>
      </c>
      <c r="B4533" s="1" t="s">
        <v>1826</v>
      </c>
      <c r="C4533" s="1">
        <v>10.0</v>
      </c>
      <c r="D4533" s="2" t="s">
        <v>2030</v>
      </c>
      <c r="E4533" s="1" t="str">
        <f>IFERROR(__xludf.DUMMYFUNCTION("GOOGLETRANSLATE(D4533,""PT"",""EN"")"),"It is a cooperative bank, where you participate in exercise profits")</f>
        <v>It is a cooperative bank, where you participate in exercise profits</v>
      </c>
    </row>
    <row r="4534" ht="14.25" customHeight="1">
      <c r="A4534" s="1">
        <v>100.0</v>
      </c>
      <c r="B4534" s="1" t="s">
        <v>1826</v>
      </c>
      <c r="C4534" s="1">
        <v>10.0</v>
      </c>
      <c r="D4534" s="1" t="s">
        <v>2031</v>
      </c>
      <c r="E4534" s="1" t="str">
        <f>IFERROR(__xludf.DUMMYFUNCTION("GOOGLETRANSLATE(D4534,""PT"",""EN"")"),"Estimo is wonderful")</f>
        <v>Estimo is wonderful</v>
      </c>
    </row>
    <row r="4535" ht="14.25" customHeight="1">
      <c r="A4535" s="1">
        <v>66.0</v>
      </c>
      <c r="B4535" s="1" t="s">
        <v>1826</v>
      </c>
      <c r="C4535" s="1">
        <v>8.0</v>
      </c>
      <c r="D4535" s="1" t="s">
        <v>6</v>
      </c>
      <c r="E4535" s="1"/>
    </row>
    <row r="4536" ht="14.25" customHeight="1">
      <c r="A4536" s="1">
        <v>66.0</v>
      </c>
      <c r="B4536" s="1" t="s">
        <v>1826</v>
      </c>
      <c r="C4536" s="1">
        <v>8.0</v>
      </c>
      <c r="D4536" s="1" t="s">
        <v>6</v>
      </c>
      <c r="E4536" s="1"/>
    </row>
    <row r="4537" ht="14.25" customHeight="1">
      <c r="A4537" s="1">
        <v>100.0</v>
      </c>
      <c r="B4537" s="1" t="s">
        <v>1826</v>
      </c>
      <c r="C4537" s="1">
        <v>10.0</v>
      </c>
      <c r="D4537" s="2" t="s">
        <v>2032</v>
      </c>
      <c r="E4537" s="1" t="str">
        <f>IFERROR(__xludf.DUMMYFUNCTION("GOOGLETRANSLATE(D4537,""PT"",""EN"")"),"Care and reception of all employees.")</f>
        <v>Care and reception of all employees.</v>
      </c>
    </row>
    <row r="4538" ht="14.25" customHeight="1">
      <c r="A4538" s="1">
        <v>100.0</v>
      </c>
      <c r="B4538" s="1" t="s">
        <v>1826</v>
      </c>
      <c r="C4538" s="1">
        <v>10.0</v>
      </c>
      <c r="D4538" s="2" t="s">
        <v>2033</v>
      </c>
      <c r="E4538" s="1" t="str">
        <f>IFERROR(__xludf.DUMMYFUNCTION("GOOGLETRANSLATE(D4538,""PT"",""EN"")"),"I found the service of professional Shirley excellent. Another more respectful thing is responsible with the customer. Since information is the only most expensive things on the planet.")</f>
        <v>I found the service of professional Shirley excellent. Another more respectful thing is responsible with the customer. Since information is the only most expensive things on the planet.</v>
      </c>
    </row>
    <row r="4539" ht="14.25" customHeight="1">
      <c r="A4539" s="1">
        <v>33.0</v>
      </c>
      <c r="B4539" s="1" t="s">
        <v>1826</v>
      </c>
      <c r="C4539" s="1">
        <v>4.0</v>
      </c>
      <c r="D4539" s="2" t="s">
        <v>2034</v>
      </c>
      <c r="E4539" s="1" t="str">
        <f>IFERROR(__xludf.DUMMYFUNCTION("GOOGLETRANSLATE(D4539,""PT"",""EN"")"),"Ridiculous card limit, in April the invoice is not available to pay because it said that the due date was on 05/11 in the app is a letter threatening to include my name in Serasa well traditional bank acts so this is not a role of Cooperative Cooperative "&amp;"is cooperative is not traditional bank is as it is in our statute is what BC allowed us is what I associated a cooperative")</f>
        <v>Ridiculous card limit, in April the invoice is not available to pay because it said that the due date was on 05/11 in the app is a letter threatening to include my name in Serasa well traditional bank acts so this is not a role of Cooperative Cooperative is cooperative is not traditional bank is as it is in our statute is what BC allowed us is what I associated a cooperative</v>
      </c>
    </row>
    <row r="4540" ht="14.25" customHeight="1">
      <c r="A4540" s="1">
        <v>100.0</v>
      </c>
      <c r="B4540" s="1" t="s">
        <v>1826</v>
      </c>
      <c r="C4540" s="1">
        <v>10.0</v>
      </c>
      <c r="D4540" s="2" t="s">
        <v>2035</v>
      </c>
      <c r="E4540" s="1" t="str">
        <f>IFERROR(__xludf.DUMMYFUNCTION("GOOGLETRANSLATE(D4540,""PT"",""EN"")"),"So far a good service")</f>
        <v>So far a good service</v>
      </c>
    </row>
    <row r="4541" ht="14.25" customHeight="1">
      <c r="A4541" s="1">
        <v>100.0</v>
      </c>
      <c r="B4541" s="1" t="s">
        <v>1826</v>
      </c>
      <c r="C4541" s="1">
        <v>10.0</v>
      </c>
      <c r="D4541" s="1" t="s">
        <v>6</v>
      </c>
      <c r="E4541" s="1"/>
    </row>
    <row r="4542" ht="14.25" customHeight="1">
      <c r="A4542" s="1">
        <v>100.0</v>
      </c>
      <c r="B4542" s="1" t="s">
        <v>1826</v>
      </c>
      <c r="C4542" s="1">
        <v>10.0</v>
      </c>
      <c r="D4542" s="2" t="s">
        <v>2036</v>
      </c>
      <c r="E4542" s="1" t="str">
        <f>IFERROR(__xludf.DUMMYFUNCTION("GOOGLETRANSLATE(D4542,""PT"",""EN"")"),"I am absolutely sure that cooperativism is the best way for society's growth is that the Sicoob system is the best solution to people's economic/financial life.")</f>
        <v>I am absolutely sure that cooperativism is the best way for society's growth is that the Sicoob system is the best solution to people's economic/financial life.</v>
      </c>
    </row>
    <row r="4543" ht="14.25" customHeight="1">
      <c r="A4543" s="1">
        <v>33.0</v>
      </c>
      <c r="B4543" s="1" t="s">
        <v>1826</v>
      </c>
      <c r="C4543" s="1">
        <v>0.0</v>
      </c>
      <c r="D4543" s="1" t="s">
        <v>6</v>
      </c>
      <c r="E4543" s="1"/>
    </row>
    <row r="4544" ht="14.25" customHeight="1">
      <c r="A4544" s="1">
        <v>100.0</v>
      </c>
      <c r="B4544" s="1" t="s">
        <v>1826</v>
      </c>
      <c r="C4544" s="1">
        <v>10.0</v>
      </c>
      <c r="D4544" s="2" t="s">
        <v>2037</v>
      </c>
      <c r="E4544" s="1" t="str">
        <f>IFERROR(__xludf.DUMMYFUNCTION("GOOGLETRANSLATE(D4544,""PT"",""EN"")"),"because every time I needed the institution I was well received")</f>
        <v>because every time I needed the institution I was well received</v>
      </c>
    </row>
    <row r="4545" ht="14.25" customHeight="1">
      <c r="A4545" s="1">
        <v>33.0</v>
      </c>
      <c r="B4545" s="1" t="s">
        <v>1826</v>
      </c>
      <c r="C4545" s="1">
        <v>2.0</v>
      </c>
      <c r="D4545" s="1" t="s">
        <v>6</v>
      </c>
      <c r="E4545" s="1"/>
    </row>
    <row r="4546" ht="14.25" customHeight="1">
      <c r="A4546" s="1">
        <v>100.0</v>
      </c>
      <c r="B4546" s="1" t="s">
        <v>1826</v>
      </c>
      <c r="C4546" s="1">
        <v>10.0</v>
      </c>
      <c r="D4546" s="1" t="s">
        <v>6</v>
      </c>
      <c r="E4546" s="1"/>
    </row>
    <row r="4547" ht="14.25" customHeight="1">
      <c r="A4547" s="1">
        <v>100.0</v>
      </c>
      <c r="B4547" s="1" t="s">
        <v>1826</v>
      </c>
      <c r="C4547" s="1">
        <v>10.0</v>
      </c>
      <c r="D4547" s="1" t="s">
        <v>6</v>
      </c>
      <c r="E4547" s="1"/>
    </row>
    <row r="4548" ht="14.25" customHeight="1">
      <c r="A4548" s="1">
        <v>33.0</v>
      </c>
      <c r="B4548" s="1" t="s">
        <v>1826</v>
      </c>
      <c r="C4548" s="1">
        <v>4.0</v>
      </c>
      <c r="D4548" s="2" t="s">
        <v>2038</v>
      </c>
      <c r="E4548" s="1" t="str">
        <f>IFERROR(__xludf.DUMMYFUNCTION("GOOGLETRANSLATE(D4548,""PT"",""EN"")"),"We have no support from Sicoob. It's been a long time ordered card machine is nothing.")</f>
        <v>We have no support from Sicoob. It's been a long time ordered card machine is nothing.</v>
      </c>
    </row>
    <row r="4549" ht="14.25" customHeight="1">
      <c r="A4549" s="1">
        <v>100.0</v>
      </c>
      <c r="B4549" s="1" t="s">
        <v>1826</v>
      </c>
      <c r="C4549" s="1">
        <v>10.0</v>
      </c>
      <c r="D4549" s="1" t="s">
        <v>2039</v>
      </c>
      <c r="E4549" s="1" t="str">
        <f>IFERROR(__xludf.DUMMYFUNCTION("GOOGLETRANSLATE(D4549,""PT"",""EN"")"),"Because it is a reliable bank.")</f>
        <v>Because it is a reliable bank.</v>
      </c>
    </row>
    <row r="4550" ht="14.25" customHeight="1">
      <c r="A4550" s="1">
        <v>100.0</v>
      </c>
      <c r="B4550" s="1" t="s">
        <v>1826</v>
      </c>
      <c r="C4550" s="1">
        <v>10.0</v>
      </c>
      <c r="D4550" s="1" t="s">
        <v>2040</v>
      </c>
      <c r="E4550" s="1" t="str">
        <f>IFERROR(__xludf.DUMMYFUNCTION("GOOGLETRANSLATE(D4550,""PT"",""EN"")"),"The service of Sicoob Sobradinho")</f>
        <v>The service of Sicoob Sobradinho</v>
      </c>
    </row>
    <row r="4551" ht="14.25" customHeight="1">
      <c r="A4551" s="1">
        <v>100.0</v>
      </c>
      <c r="B4551" s="1" t="s">
        <v>1826</v>
      </c>
      <c r="C4551" s="1">
        <v>10.0</v>
      </c>
      <c r="D4551" s="1" t="s">
        <v>6</v>
      </c>
      <c r="E4551" s="1"/>
    </row>
    <row r="4552" ht="14.25" customHeight="1">
      <c r="A4552" s="1">
        <v>33.0</v>
      </c>
      <c r="B4552" s="1" t="s">
        <v>1826</v>
      </c>
      <c r="C4552" s="1">
        <v>6.0</v>
      </c>
      <c r="D4552" s="1" t="s">
        <v>6</v>
      </c>
      <c r="E4552" s="1"/>
    </row>
    <row r="4553" ht="14.25" customHeight="1">
      <c r="A4553" s="1">
        <v>33.0</v>
      </c>
      <c r="B4553" s="1" t="s">
        <v>1826</v>
      </c>
      <c r="C4553" s="1">
        <v>0.0</v>
      </c>
      <c r="D4553" s="1" t="s">
        <v>6</v>
      </c>
      <c r="E4553" s="1"/>
    </row>
    <row r="4554" ht="14.25" customHeight="1">
      <c r="A4554" s="1">
        <v>100.0</v>
      </c>
      <c r="B4554" s="1" t="s">
        <v>1826</v>
      </c>
      <c r="C4554" s="1">
        <v>9.0</v>
      </c>
      <c r="D4554" s="1" t="s">
        <v>6</v>
      </c>
      <c r="E4554" s="1"/>
    </row>
    <row r="4555" ht="14.25" customHeight="1">
      <c r="A4555" s="1">
        <v>33.0</v>
      </c>
      <c r="B4555" s="1" t="s">
        <v>1826</v>
      </c>
      <c r="C4555" s="1">
        <v>0.0</v>
      </c>
      <c r="D4555" s="1" t="s">
        <v>6</v>
      </c>
      <c r="E4555" s="1"/>
    </row>
    <row r="4556" ht="14.25" customHeight="1">
      <c r="A4556" s="1">
        <v>100.0</v>
      </c>
      <c r="B4556" s="1" t="s">
        <v>1826</v>
      </c>
      <c r="C4556" s="1">
        <v>10.0</v>
      </c>
      <c r="D4556" s="1" t="s">
        <v>2041</v>
      </c>
      <c r="E4556" s="1" t="str">
        <f>IFERROR(__xludf.DUMMYFUNCTION("GOOGLETRANSLATE(D4556,""PT"",""EN"")"),"Excellence in service provision continues like this.")</f>
        <v>Excellence in service provision continues like this.</v>
      </c>
    </row>
    <row r="4557" ht="14.25" customHeight="1">
      <c r="A4557" s="1">
        <v>33.0</v>
      </c>
      <c r="B4557" s="1" t="s">
        <v>1826</v>
      </c>
      <c r="C4557" s="1">
        <v>0.0</v>
      </c>
      <c r="D4557" s="2" t="s">
        <v>2042</v>
      </c>
      <c r="E4557" s="1" t="str">
        <f>IFERROR(__xludf.DUMMYFUNCTION("GOOGLETRANSLATE(D4557,""PT"",""EN"")"),"I can't negotiate.")</f>
        <v>I can't negotiate.</v>
      </c>
    </row>
    <row r="4558" ht="14.25" customHeight="1">
      <c r="A4558" s="1">
        <v>33.0</v>
      </c>
      <c r="B4558" s="1" t="s">
        <v>1826</v>
      </c>
      <c r="C4558" s="1">
        <v>0.0</v>
      </c>
      <c r="D4558" s="2" t="s">
        <v>2043</v>
      </c>
      <c r="E4558" s="1" t="str">
        <f>IFERROR(__xludf.DUMMYFUNCTION("GOOGLETRANSLATE(D4558,""PT"",""EN"")"),"Charges in the account that they said would not have.")</f>
        <v>Charges in the account that they said would not have.</v>
      </c>
    </row>
    <row r="4559" ht="14.25" customHeight="1">
      <c r="A4559" s="1">
        <v>100.0</v>
      </c>
      <c r="B4559" s="1" t="s">
        <v>1826</v>
      </c>
      <c r="C4559" s="1">
        <v>10.0</v>
      </c>
      <c r="D4559" s="1" t="s">
        <v>6</v>
      </c>
      <c r="E4559" s="1"/>
    </row>
    <row r="4560" ht="14.25" customHeight="1">
      <c r="A4560" s="1">
        <v>33.0</v>
      </c>
      <c r="B4560" s="1" t="s">
        <v>1826</v>
      </c>
      <c r="C4560" s="1">
        <v>0.0</v>
      </c>
      <c r="D4560" s="1" t="s">
        <v>6</v>
      </c>
      <c r="E4560" s="1"/>
    </row>
    <row r="4561" ht="14.25" customHeight="1">
      <c r="A4561" s="1">
        <v>100.0</v>
      </c>
      <c r="B4561" s="1" t="s">
        <v>1826</v>
      </c>
      <c r="C4561" s="1">
        <v>9.0</v>
      </c>
      <c r="D4561" s="1" t="s">
        <v>6</v>
      </c>
      <c r="E4561" s="1"/>
    </row>
    <row r="4562" ht="14.25" customHeight="1">
      <c r="A4562" s="1">
        <v>33.0</v>
      </c>
      <c r="B4562" s="1" t="s">
        <v>1826</v>
      </c>
      <c r="C4562" s="1">
        <v>0.0</v>
      </c>
      <c r="D4562" s="2" t="s">
        <v>2044</v>
      </c>
      <c r="E4562" s="1" t="str">
        <f>IFERROR(__xludf.DUMMYFUNCTION("GOOGLETRANSLATE(D4562,""PT"",""EN"")"),"I have no benefit for years")</f>
        <v>I have no benefit for years</v>
      </c>
    </row>
    <row r="4563" ht="14.25" customHeight="1">
      <c r="A4563" s="1">
        <v>33.0</v>
      </c>
      <c r="B4563" s="1" t="s">
        <v>1826</v>
      </c>
      <c r="C4563" s="1">
        <v>2.0</v>
      </c>
      <c r="D4563" s="2" t="s">
        <v>2045</v>
      </c>
      <c r="E4563" s="1" t="str">
        <f>IFERROR(__xludf.DUMMYFUNCTION("GOOGLETRANSLATE(D4563,""PT"",""EN"")"),"Bureaucratic, disorganized, nothing partner, I removed, almost 2 million from my account is again operating at Santander")</f>
        <v>Bureaucratic, disorganized, nothing partner, I removed, almost 2 million from my account is again operating at Santander</v>
      </c>
    </row>
    <row r="4564" ht="14.25" customHeight="1">
      <c r="A4564" s="1">
        <v>100.0</v>
      </c>
      <c r="B4564" s="1" t="s">
        <v>1826</v>
      </c>
      <c r="C4564" s="1">
        <v>10.0</v>
      </c>
      <c r="D4564" s="1" t="s">
        <v>6</v>
      </c>
      <c r="E4564" s="1"/>
    </row>
    <row r="4565" ht="14.25" customHeight="1">
      <c r="A4565" s="1">
        <v>33.0</v>
      </c>
      <c r="B4565" s="1" t="s">
        <v>1826</v>
      </c>
      <c r="C4565" s="1">
        <v>2.0</v>
      </c>
      <c r="D4565" s="1" t="s">
        <v>6</v>
      </c>
      <c r="E4565" s="1"/>
    </row>
    <row r="4566" ht="14.25" customHeight="1">
      <c r="A4566" s="1">
        <v>33.0</v>
      </c>
      <c r="B4566" s="1" t="s">
        <v>1826</v>
      </c>
      <c r="C4566" s="1">
        <v>3.0</v>
      </c>
      <c r="D4566" s="1" t="s">
        <v>6</v>
      </c>
      <c r="E4566" s="1"/>
    </row>
    <row r="4567" ht="14.25" customHeight="1">
      <c r="A4567" s="1">
        <v>33.0</v>
      </c>
      <c r="B4567" s="1" t="s">
        <v>1826</v>
      </c>
      <c r="C4567" s="1">
        <v>0.0</v>
      </c>
      <c r="D4567" s="2" t="s">
        <v>2046</v>
      </c>
      <c r="E4567" s="1" t="str">
        <f>IFERROR(__xludf.DUMMYFUNCTION("GOOGLETRANSLATE(D4567,""PT"",""EN"")"),"Not satisfied.")</f>
        <v>Not satisfied.</v>
      </c>
    </row>
    <row r="4568" ht="14.25" customHeight="1">
      <c r="A4568" s="1">
        <v>66.0</v>
      </c>
      <c r="B4568" s="1" t="s">
        <v>1826</v>
      </c>
      <c r="C4568" s="1">
        <v>7.0</v>
      </c>
      <c r="D4568" s="2" t="s">
        <v>2047</v>
      </c>
      <c r="E4568" s="1" t="str">
        <f>IFERROR(__xludf.DUMMYFUNCTION("GOOGLETRANSLATE(D4568,""PT"",""EN"")"),"Does not offer automatic credit lines")</f>
        <v>Does not offer automatic credit lines</v>
      </c>
    </row>
    <row r="4569" ht="14.25" customHeight="1">
      <c r="A4569" s="1">
        <v>33.0</v>
      </c>
      <c r="B4569" s="1" t="s">
        <v>1826</v>
      </c>
      <c r="C4569" s="1">
        <v>0.0</v>
      </c>
      <c r="D4569" s="1" t="s">
        <v>2048</v>
      </c>
      <c r="E4569" s="1" t="str">
        <f>IFERROR(__xludf.DUMMYFUNCTION("GOOGLETRANSLATE(D4569,""PT"",""EN"")"),"Rates rise without consent of the consumer")</f>
        <v>Rates rise without consent of the consumer</v>
      </c>
    </row>
    <row r="4570" ht="14.25" customHeight="1">
      <c r="A4570" s="1">
        <v>66.0</v>
      </c>
      <c r="B4570" s="1" t="s">
        <v>1826</v>
      </c>
      <c r="C4570" s="1">
        <v>8.0</v>
      </c>
      <c r="D4570" s="2" t="s">
        <v>1273</v>
      </c>
      <c r="E4570" s="1" t="str">
        <f>IFERROR(__xludf.DUMMYFUNCTION("GOOGLETRANSLATE(D4570,""PT"",""EN"")"),"Rapid service")</f>
        <v>Rapid service</v>
      </c>
    </row>
    <row r="4571" ht="14.25" customHeight="1">
      <c r="A4571" s="1">
        <v>100.0</v>
      </c>
      <c r="B4571" s="1" t="s">
        <v>1826</v>
      </c>
      <c r="C4571" s="1">
        <v>9.0</v>
      </c>
      <c r="D4571" s="1" t="s">
        <v>2049</v>
      </c>
      <c r="E4571" s="1" t="str">
        <f>IFERROR(__xludf.DUMMYFUNCTION("GOOGLETRANSLATE(D4571,""PT"",""EN"")"),"Wonderful service, low interest rates")</f>
        <v>Wonderful service, low interest rates</v>
      </c>
    </row>
    <row r="4572" ht="14.25" customHeight="1">
      <c r="A4572" s="1">
        <v>66.0</v>
      </c>
      <c r="B4572" s="1" t="s">
        <v>1826</v>
      </c>
      <c r="C4572" s="1">
        <v>8.0</v>
      </c>
      <c r="D4572" s="1" t="s">
        <v>179</v>
      </c>
      <c r="E4572" s="1" t="str">
        <f>IFERROR(__xludf.DUMMYFUNCTION("GOOGLETRANSLATE(D4572,""PT"",""EN"")"),"Ease")</f>
        <v>Ease</v>
      </c>
    </row>
    <row r="4573" ht="14.25" customHeight="1">
      <c r="A4573" s="1">
        <v>33.0</v>
      </c>
      <c r="B4573" s="1" t="s">
        <v>1826</v>
      </c>
      <c r="C4573" s="1">
        <v>0.0</v>
      </c>
      <c r="D4573" s="1" t="s">
        <v>6</v>
      </c>
      <c r="E4573" s="1"/>
    </row>
    <row r="4574" ht="14.25" customHeight="1">
      <c r="A4574" s="1">
        <v>33.0</v>
      </c>
      <c r="B4574" s="1" t="s">
        <v>1826</v>
      </c>
      <c r="C4574" s="1">
        <v>0.0</v>
      </c>
      <c r="D4574" s="2" t="s">
        <v>2050</v>
      </c>
      <c r="E4574" s="1" t="str">
        <f>IFERROR(__xludf.DUMMYFUNCTION("GOOGLETRANSLATE(D4574,""PT"",""EN"")"),"They filed a lawsuit without provoking me today is discounted more than 30% of my salary.")</f>
        <v>They filed a lawsuit without provoking me today is discounted more than 30% of my salary.</v>
      </c>
    </row>
    <row r="4575" ht="14.25" customHeight="1">
      <c r="A4575" s="1">
        <v>33.0</v>
      </c>
      <c r="B4575" s="1" t="s">
        <v>1826</v>
      </c>
      <c r="C4575" s="1">
        <v>6.0</v>
      </c>
      <c r="D4575" s="2" t="s">
        <v>2051</v>
      </c>
      <c r="E4575" s="1" t="str">
        <f>IFERROR(__xludf.DUMMYFUNCTION("GOOGLETRANSLATE(D4575,""PT"",""EN"")"),"The delay in credit release.")</f>
        <v>The delay in credit release.</v>
      </c>
    </row>
    <row r="4576" ht="14.25" customHeight="1">
      <c r="A4576" s="1">
        <v>100.0</v>
      </c>
      <c r="B4576" s="1" t="s">
        <v>1826</v>
      </c>
      <c r="C4576" s="1">
        <v>10.0</v>
      </c>
      <c r="D4576" s="2" t="s">
        <v>2052</v>
      </c>
      <c r="E4576" s="1" t="str">
        <f>IFERROR(__xludf.DUMMYFUNCTION("GOOGLETRANSLATE(D4576,""PT"",""EN"")"),"This cooperative has always helped me a lot in my personal life, facing several serious problems. For me this is enough, for me to admire everyone who always served me so well.")</f>
        <v>This cooperative has always helped me a lot in my personal life, facing several serious problems. For me this is enough, for me to admire everyone who always served me so well.</v>
      </c>
    </row>
    <row r="4577" ht="14.25" customHeight="1">
      <c r="A4577" s="1">
        <v>100.0</v>
      </c>
      <c r="B4577" s="1" t="s">
        <v>1826</v>
      </c>
      <c r="C4577" s="1">
        <v>10.0</v>
      </c>
      <c r="D4577" s="2" t="s">
        <v>2053</v>
      </c>
      <c r="E4577" s="1" t="str">
        <f>IFERROR(__xludf.DUMMYFUNCTION("GOOGLETRANSLATE(D4577,""PT"",""EN"")"),"fast")</f>
        <v>fast</v>
      </c>
    </row>
    <row r="4578" ht="14.25" customHeight="1">
      <c r="A4578" s="1">
        <v>100.0</v>
      </c>
      <c r="B4578" s="1" t="s">
        <v>1826</v>
      </c>
      <c r="C4578" s="1">
        <v>10.0</v>
      </c>
      <c r="D4578" s="1" t="s">
        <v>2054</v>
      </c>
      <c r="E4578" s="1" t="str">
        <f>IFERROR(__xludf.DUMMYFUNCTION("GOOGLETRANSLATE(D4578,""PT"",""EN"")"),"Satisfaction with the services provided.")</f>
        <v>Satisfaction with the services provided.</v>
      </c>
    </row>
    <row r="4579" ht="14.25" customHeight="1">
      <c r="A4579" s="1">
        <v>100.0</v>
      </c>
      <c r="B4579" s="1" t="s">
        <v>1826</v>
      </c>
      <c r="C4579" s="1">
        <v>10.0</v>
      </c>
      <c r="D4579" s="1" t="s">
        <v>2055</v>
      </c>
      <c r="E4579" s="1" t="str">
        <f>IFERROR(__xludf.DUMMYFUNCTION("GOOGLETRANSLATE(D4579,""PT"",""EN"")"),"Excellent service ag sobradinho")</f>
        <v>Excellent service ag sobradinho</v>
      </c>
    </row>
    <row r="4580" ht="14.25" customHeight="1">
      <c r="A4580" s="1">
        <v>100.0</v>
      </c>
      <c r="B4580" s="1" t="s">
        <v>1826</v>
      </c>
      <c r="C4580" s="1">
        <v>10.0</v>
      </c>
      <c r="D4580" s="1" t="s">
        <v>6</v>
      </c>
      <c r="E4580" s="1"/>
    </row>
    <row r="4581" ht="14.25" customHeight="1">
      <c r="A4581" s="1">
        <v>33.0</v>
      </c>
      <c r="B4581" s="1" t="s">
        <v>1826</v>
      </c>
      <c r="C4581" s="1">
        <v>0.0</v>
      </c>
      <c r="D4581" s="1" t="s">
        <v>6</v>
      </c>
      <c r="E4581" s="1"/>
    </row>
    <row r="4582" ht="14.25" customHeight="1">
      <c r="A4582" s="1">
        <v>33.0</v>
      </c>
      <c r="B4582" s="1" t="s">
        <v>1826</v>
      </c>
      <c r="C4582" s="1">
        <v>3.0</v>
      </c>
      <c r="D4582" s="2" t="s">
        <v>2056</v>
      </c>
      <c r="E4582" s="1" t="str">
        <f>IFERROR(__xludf.DUMMYFUNCTION("GOOGLETRANSLATE(D4582,""PT"",""EN"")"),"Everything in Sicoob is very complicated. Require too much things is done little by the customer. Disappointment")</f>
        <v>Everything in Sicoob is very complicated. Require too much things is done little by the customer. Disappointment</v>
      </c>
    </row>
    <row r="4583" ht="14.25" customHeight="1">
      <c r="A4583" s="1">
        <v>66.0</v>
      </c>
      <c r="B4583" s="1" t="s">
        <v>1826</v>
      </c>
      <c r="C4583" s="1">
        <v>8.0</v>
      </c>
      <c r="D4583" s="1" t="s">
        <v>6</v>
      </c>
      <c r="E4583" s="1"/>
    </row>
    <row r="4584" ht="14.25" customHeight="1">
      <c r="A4584" s="1">
        <v>33.0</v>
      </c>
      <c r="B4584" s="1" t="s">
        <v>1826</v>
      </c>
      <c r="C4584" s="1">
        <v>0.0</v>
      </c>
      <c r="D4584" s="1" t="s">
        <v>2057</v>
      </c>
      <c r="E4584" s="1" t="str">
        <f>IFERROR(__xludf.DUMMYFUNCTION("GOOGLETRANSLATE(D4584,""PT"",""EN"")"),"Horrible the account, the app is ugly, the account is slow the service is shit.")</f>
        <v>Horrible the account, the app is ugly, the account is slow the service is shit.</v>
      </c>
    </row>
    <row r="4585" ht="14.25" customHeight="1">
      <c r="A4585" s="1">
        <v>33.0</v>
      </c>
      <c r="B4585" s="1" t="s">
        <v>1826</v>
      </c>
      <c r="C4585" s="1">
        <v>0.0</v>
      </c>
      <c r="D4585" s="2" t="s">
        <v>2058</v>
      </c>
      <c r="E4585" s="1" t="str">
        <f>IFERROR(__xludf.DUMMYFUNCTION("GOOGLETRANSLATE(D4585,""PT"",""EN"")"),"Did not like")</f>
        <v>Did not like</v>
      </c>
    </row>
    <row r="4586" ht="14.25" customHeight="1">
      <c r="A4586" s="1">
        <v>33.0</v>
      </c>
      <c r="B4586" s="1" t="s">
        <v>1826</v>
      </c>
      <c r="C4586" s="1">
        <v>0.0</v>
      </c>
      <c r="D4586" s="1" t="s">
        <v>6</v>
      </c>
      <c r="E4586" s="1"/>
    </row>
    <row r="4587" ht="14.25" customHeight="1">
      <c r="A4587" s="1">
        <v>100.0</v>
      </c>
      <c r="B4587" s="1" t="s">
        <v>1826</v>
      </c>
      <c r="C4587" s="1">
        <v>10.0</v>
      </c>
      <c r="D4587" s="2" t="s">
        <v>2059</v>
      </c>
      <c r="E4587" s="1" t="str">
        <f>IFERROR(__xludf.DUMMYFUNCTION("GOOGLETRANSLATE(D4587,""PT"",""EN"")"),"Services and fees are excellent.")</f>
        <v>Services and fees are excellent.</v>
      </c>
    </row>
    <row r="4588" ht="14.25" customHeight="1">
      <c r="A4588" s="1">
        <v>100.0</v>
      </c>
      <c r="B4588" s="1" t="s">
        <v>1826</v>
      </c>
      <c r="C4588" s="1">
        <v>10.0</v>
      </c>
      <c r="D4588" s="2" t="s">
        <v>2060</v>
      </c>
      <c r="E4588" s="1" t="str">
        <f>IFERROR(__xludf.DUMMYFUNCTION("GOOGLETRANSLATE(D4588,""PT"",""EN"")"),"I've been a customer is a bank for those who want to succeed financially")</f>
        <v>I've been a customer is a bank for those who want to succeed financially</v>
      </c>
    </row>
    <row r="4589" ht="14.25" customHeight="1">
      <c r="A4589" s="1">
        <v>100.0</v>
      </c>
      <c r="B4589" s="1" t="s">
        <v>1826</v>
      </c>
      <c r="C4589" s="1">
        <v>10.0</v>
      </c>
      <c r="D4589" s="1" t="s">
        <v>2061</v>
      </c>
      <c r="E4589" s="1" t="str">
        <f>IFERROR(__xludf.DUMMYFUNCTION("GOOGLETRANSLATE(D4589,""PT"",""EN"")"),"It is the only bank without absurd tariffs.")</f>
        <v>It is the only bank without absurd tariffs.</v>
      </c>
    </row>
    <row r="4590" ht="14.25" customHeight="1">
      <c r="A4590" s="1">
        <v>100.0</v>
      </c>
      <c r="B4590" s="1" t="s">
        <v>1826</v>
      </c>
      <c r="C4590" s="1">
        <v>10.0</v>
      </c>
      <c r="D4590" s="1" t="s">
        <v>2062</v>
      </c>
      <c r="E4590" s="1" t="str">
        <f>IFERROR(__xludf.DUMMYFUNCTION("GOOGLETRANSLATE(D4590,""PT"",""EN"")"),"I have been an account holder of Sicoob since 1985. Always very pleased.")</f>
        <v>I have been an account holder of Sicoob since 1985. Always very pleased.</v>
      </c>
    </row>
    <row r="4591" ht="14.25" customHeight="1">
      <c r="A4591" s="1">
        <v>100.0</v>
      </c>
      <c r="B4591" s="1" t="s">
        <v>1826</v>
      </c>
      <c r="C4591" s="1">
        <v>10.0</v>
      </c>
      <c r="D4591" s="1" t="s">
        <v>2063</v>
      </c>
      <c r="E4591" s="1" t="str">
        <f>IFERROR(__xludf.DUMMYFUNCTION("GOOGLETRANSLATE(D4591,""PT"",""EN"")"),"Quality of service. My manager is excellent. Practicality of the app. Lower interest rates.")</f>
        <v>Quality of service. My manager is excellent. Practicality of the app. Lower interest rates.</v>
      </c>
    </row>
    <row r="4592" ht="14.25" customHeight="1">
      <c r="A4592" s="1">
        <v>33.0</v>
      </c>
      <c r="B4592" s="1" t="s">
        <v>1826</v>
      </c>
      <c r="C4592" s="1">
        <v>0.0</v>
      </c>
      <c r="D4592" s="2" t="s">
        <v>2064</v>
      </c>
      <c r="E4592" s="1" t="str">
        <f>IFERROR(__xludf.DUMMYFUNCTION("GOOGLETRANSLATE(D4592,""PT"",""EN"")"),"I'm not satisfied")</f>
        <v>I'm not satisfied</v>
      </c>
    </row>
    <row r="4593" ht="14.25" customHeight="1">
      <c r="A4593" s="1">
        <v>100.0</v>
      </c>
      <c r="B4593" s="1" t="s">
        <v>1826</v>
      </c>
      <c r="C4593" s="1">
        <v>10.0</v>
      </c>
      <c r="D4593" s="1" t="s">
        <v>6</v>
      </c>
      <c r="E4593" s="1"/>
    </row>
    <row r="4594" ht="14.25" customHeight="1">
      <c r="A4594" s="1">
        <v>100.0</v>
      </c>
      <c r="B4594" s="1" t="s">
        <v>1826</v>
      </c>
      <c r="C4594" s="1">
        <v>9.0</v>
      </c>
      <c r="D4594" s="1" t="s">
        <v>2065</v>
      </c>
      <c r="E4594" s="1" t="str">
        <f>IFERROR(__xludf.DUMMYFUNCTION("GOOGLETRANSLATE(D4594,""PT"",""EN"")"),"Very attentive service")</f>
        <v>Very attentive service</v>
      </c>
    </row>
    <row r="4595" ht="14.25" customHeight="1">
      <c r="A4595" s="1">
        <v>66.0</v>
      </c>
      <c r="B4595" s="1" t="s">
        <v>1826</v>
      </c>
      <c r="C4595" s="1">
        <v>8.0</v>
      </c>
      <c r="D4595" s="1" t="s">
        <v>2066</v>
      </c>
      <c r="E4595" s="1" t="str">
        <f>IFERROR(__xludf.DUMMYFUNCTION("GOOGLETRANSLATE(D4595,""PT"",""EN"")"),"They only sin in the delay in the return of the capital account balance. hahaha")</f>
        <v>They only sin in the delay in the return of the capital account balance. hahaha</v>
      </c>
    </row>
    <row r="4596" ht="14.25" customHeight="1">
      <c r="A4596" s="1">
        <v>33.0</v>
      </c>
      <c r="B4596" s="1" t="s">
        <v>1826</v>
      </c>
      <c r="C4596" s="1">
        <v>0.0</v>
      </c>
      <c r="D4596" s="1" t="s">
        <v>2067</v>
      </c>
      <c r="E4596" s="1" t="str">
        <f>IFERROR(__xludf.DUMMYFUNCTION("GOOGLETRANSLATE(D4596,""PT"",""EN"")"),"Employees speak lies to cover up Sicoob's dishonesty")</f>
        <v>Employees speak lies to cover up Sicoob's dishonesty</v>
      </c>
    </row>
    <row r="4597" ht="14.25" customHeight="1">
      <c r="A4597" s="1">
        <v>33.0</v>
      </c>
      <c r="B4597" s="1" t="s">
        <v>1826</v>
      </c>
      <c r="C4597" s="1">
        <v>0.0</v>
      </c>
      <c r="D4597" s="2" t="s">
        <v>2068</v>
      </c>
      <c r="E4597" s="1" t="str">
        <f>IFERROR(__xludf.DUMMYFUNCTION("GOOGLETRANSLATE(D4597,""PT"",""EN"")"),"no comments")</f>
        <v>no comments</v>
      </c>
    </row>
    <row r="4598" ht="14.25" customHeight="1">
      <c r="A4598" s="1">
        <v>100.0</v>
      </c>
      <c r="B4598" s="1" t="s">
        <v>1826</v>
      </c>
      <c r="C4598" s="1">
        <v>10.0</v>
      </c>
      <c r="D4598" s="1" t="s">
        <v>2069</v>
      </c>
      <c r="E4598" s="1" t="str">
        <f>IFERROR(__xludf.DUMMYFUNCTION("GOOGLETRANSLATE(D4598,""PT"",""EN"")"),"I'm 100% sicoob")</f>
        <v>I'm 100% sicoob</v>
      </c>
    </row>
    <row r="4599" ht="14.25" customHeight="1">
      <c r="A4599" s="1">
        <v>100.0</v>
      </c>
      <c r="B4599" s="1" t="s">
        <v>1826</v>
      </c>
      <c r="C4599" s="1">
        <v>10.0</v>
      </c>
      <c r="D4599" s="1" t="s">
        <v>6</v>
      </c>
      <c r="E4599" s="1"/>
    </row>
    <row r="4600" ht="14.25" customHeight="1">
      <c r="A4600" s="1">
        <v>100.0</v>
      </c>
      <c r="B4600" s="1" t="s">
        <v>1826</v>
      </c>
      <c r="C4600" s="1">
        <v>10.0</v>
      </c>
      <c r="D4600" s="1" t="s">
        <v>6</v>
      </c>
      <c r="E4600" s="1"/>
    </row>
    <row r="4601" ht="14.25" customHeight="1">
      <c r="A4601" s="1">
        <v>100.0</v>
      </c>
      <c r="B4601" s="1" t="s">
        <v>1826</v>
      </c>
      <c r="C4601" s="1">
        <v>9.0</v>
      </c>
      <c r="D4601" s="1" t="s">
        <v>6</v>
      </c>
      <c r="E4601" s="1"/>
    </row>
    <row r="4602" ht="14.25" customHeight="1">
      <c r="A4602" s="1">
        <v>100.0</v>
      </c>
      <c r="B4602" s="1" t="s">
        <v>1826</v>
      </c>
      <c r="C4602" s="1">
        <v>10.0</v>
      </c>
      <c r="D4602" s="1" t="s">
        <v>6</v>
      </c>
      <c r="E4602" s="1"/>
    </row>
    <row r="4603" ht="14.25" customHeight="1">
      <c r="A4603" s="1">
        <v>100.0</v>
      </c>
      <c r="B4603" s="1" t="s">
        <v>1826</v>
      </c>
      <c r="C4603" s="1">
        <v>10.0</v>
      </c>
      <c r="D4603" s="1" t="s">
        <v>6</v>
      </c>
      <c r="E4603" s="1"/>
    </row>
    <row r="4604" ht="14.25" customHeight="1">
      <c r="A4604" s="1">
        <v>100.0</v>
      </c>
      <c r="B4604" s="1" t="s">
        <v>1826</v>
      </c>
      <c r="C4604" s="1">
        <v>10.0</v>
      </c>
      <c r="D4604" s="1" t="s">
        <v>2070</v>
      </c>
      <c r="E4604" s="1" t="str">
        <f>IFERROR(__xludf.DUMMYFUNCTION("GOOGLETRANSLATE(D4604,""PT"",""EN"")"),"Efficiency....")</f>
        <v>Efficiency....</v>
      </c>
    </row>
    <row r="4605" ht="14.25" customHeight="1">
      <c r="A4605" s="1">
        <v>33.0</v>
      </c>
      <c r="B4605" s="1" t="s">
        <v>1826</v>
      </c>
      <c r="C4605" s="1">
        <v>0.0</v>
      </c>
      <c r="D4605" s="1" t="s">
        <v>2071</v>
      </c>
      <c r="E4605" s="1" t="str">
        <f>IFERROR(__xludf.DUMMYFUNCTION("GOOGLETRANSLATE(D4605,""PT"",""EN"")"),"Hj you changed")</f>
        <v>Hj you changed</v>
      </c>
    </row>
    <row r="4606" ht="14.25" customHeight="1">
      <c r="A4606" s="1">
        <v>66.0</v>
      </c>
      <c r="B4606" s="1" t="s">
        <v>1826</v>
      </c>
      <c r="C4606" s="1">
        <v>7.0</v>
      </c>
      <c r="D4606" s="2" t="s">
        <v>2072</v>
      </c>
      <c r="E4606" s="1" t="str">
        <f>IFERROR(__xludf.DUMMYFUNCTION("GOOGLETRANSLATE(D4606,""PT"",""EN"")"),"Bank with fee attractiveness is good service.")</f>
        <v>Bank with fee attractiveness is good service.</v>
      </c>
    </row>
    <row r="4607" ht="14.25" customHeight="1">
      <c r="A4607" s="1">
        <v>100.0</v>
      </c>
      <c r="B4607" s="1" t="s">
        <v>1826</v>
      </c>
      <c r="C4607" s="1">
        <v>10.0</v>
      </c>
      <c r="D4607" s="2" t="s">
        <v>2073</v>
      </c>
      <c r="E4607" s="1" t="str">
        <f>IFERROR(__xludf.DUMMYFUNCTION("GOOGLETRANSLATE(D4607,""PT"",""EN"")"),"You are very affectionate with users for me is this is more")</f>
        <v>You are very affectionate with users for me is this is more</v>
      </c>
    </row>
    <row r="4608" ht="14.25" customHeight="1">
      <c r="A4608" s="1">
        <v>100.0</v>
      </c>
      <c r="B4608" s="1" t="s">
        <v>1826</v>
      </c>
      <c r="C4608" s="1">
        <v>9.0</v>
      </c>
      <c r="D4608" s="1" t="s">
        <v>180</v>
      </c>
      <c r="E4608" s="1" t="str">
        <f>IFERROR(__xludf.DUMMYFUNCTION("GOOGLETRANSLATE(D4608,""PT"",""EN"")"),"GOOD SERVICE")</f>
        <v>GOOD SERVICE</v>
      </c>
    </row>
    <row r="4609" ht="14.25" customHeight="1">
      <c r="A4609" s="1">
        <v>100.0</v>
      </c>
      <c r="B4609" s="1" t="s">
        <v>1826</v>
      </c>
      <c r="C4609" s="1">
        <v>10.0</v>
      </c>
      <c r="D4609" s="1" t="s">
        <v>6</v>
      </c>
      <c r="E4609" s="1"/>
    </row>
    <row r="4610" ht="14.25" customHeight="1">
      <c r="A4610" s="1">
        <v>100.0</v>
      </c>
      <c r="B4610" s="1" t="s">
        <v>1826</v>
      </c>
      <c r="C4610" s="1">
        <v>10.0</v>
      </c>
      <c r="D4610" s="1" t="s">
        <v>2074</v>
      </c>
      <c r="E4610" s="1" t="str">
        <f>IFERROR(__xludf.DUMMYFUNCTION("GOOGLETRANSLATE(D4610,""PT"",""EN"")"),"The good service")</f>
        <v>The good service</v>
      </c>
    </row>
    <row r="4611" ht="14.25" customHeight="1">
      <c r="A4611" s="1">
        <v>100.0</v>
      </c>
      <c r="B4611" s="1" t="s">
        <v>1826</v>
      </c>
      <c r="C4611" s="1">
        <v>10.0</v>
      </c>
      <c r="D4611" s="1" t="s">
        <v>6</v>
      </c>
      <c r="E4611" s="1"/>
    </row>
    <row r="4612" ht="14.25" customHeight="1">
      <c r="A4612" s="1">
        <v>100.0</v>
      </c>
      <c r="B4612" s="1" t="s">
        <v>1826</v>
      </c>
      <c r="C4612" s="1">
        <v>10.0</v>
      </c>
      <c r="D4612" s="1" t="s">
        <v>2075</v>
      </c>
      <c r="E4612" s="1" t="str">
        <f>IFERROR(__xludf.DUMMYFUNCTION("GOOGLETRANSLATE(D4612,""PT"",""EN"")"),"Efficiency!")</f>
        <v>Efficiency!</v>
      </c>
    </row>
    <row r="4613" ht="14.25" customHeight="1">
      <c r="A4613" s="1">
        <v>100.0</v>
      </c>
      <c r="B4613" s="1" t="s">
        <v>1826</v>
      </c>
      <c r="C4613" s="1">
        <v>9.0</v>
      </c>
      <c r="D4613" s="1" t="s">
        <v>571</v>
      </c>
      <c r="E4613" s="1" t="str">
        <f>IFERROR(__xludf.DUMMYFUNCTION("GOOGLETRANSLATE(D4613,""PT"",""EN"")"),"The service")</f>
        <v>The service</v>
      </c>
    </row>
    <row r="4614" ht="14.25" customHeight="1">
      <c r="A4614" s="1">
        <v>66.0</v>
      </c>
      <c r="B4614" s="1" t="s">
        <v>1826</v>
      </c>
      <c r="C4614" s="1">
        <v>7.0</v>
      </c>
      <c r="D4614" s="1" t="s">
        <v>6</v>
      </c>
      <c r="E4614" s="1"/>
    </row>
    <row r="4615" ht="14.25" customHeight="1">
      <c r="A4615" s="1">
        <v>100.0</v>
      </c>
      <c r="B4615" s="1" t="s">
        <v>1826</v>
      </c>
      <c r="C4615" s="1">
        <v>9.0</v>
      </c>
      <c r="D4615" s="1" t="s">
        <v>6</v>
      </c>
      <c r="E4615" s="1"/>
    </row>
    <row r="4616" ht="14.25" customHeight="1">
      <c r="A4616" s="1">
        <v>100.0</v>
      </c>
      <c r="B4616" s="1" t="s">
        <v>1826</v>
      </c>
      <c r="C4616" s="1">
        <v>10.0</v>
      </c>
      <c r="D4616" s="1" t="s">
        <v>2076</v>
      </c>
      <c r="E4616" s="1" t="str">
        <f>IFERROR(__xludf.DUMMYFUNCTION("GOOGLETRANSLATE(D4616,""PT"",""EN"")"),"I was always well attended, I'm satisfied.")</f>
        <v>I was always well attended, I'm satisfied.</v>
      </c>
    </row>
    <row r="4617" ht="14.25" customHeight="1">
      <c r="A4617" s="1">
        <v>100.0</v>
      </c>
      <c r="B4617" s="1" t="s">
        <v>1826</v>
      </c>
      <c r="C4617" s="1">
        <v>10.0</v>
      </c>
      <c r="D4617" s="1" t="s">
        <v>6</v>
      </c>
      <c r="E4617" s="1"/>
    </row>
    <row r="4618" ht="14.25" customHeight="1">
      <c r="A4618" s="1">
        <v>100.0</v>
      </c>
      <c r="B4618" s="1" t="s">
        <v>1826</v>
      </c>
      <c r="C4618" s="1">
        <v>9.0</v>
      </c>
      <c r="D4618" s="1" t="s">
        <v>6</v>
      </c>
      <c r="E4618" s="1"/>
    </row>
    <row r="4619" ht="14.25" customHeight="1">
      <c r="A4619" s="1">
        <v>100.0</v>
      </c>
      <c r="B4619" s="1" t="s">
        <v>1826</v>
      </c>
      <c r="C4619" s="1">
        <v>10.0</v>
      </c>
      <c r="D4619" s="1" t="s">
        <v>6</v>
      </c>
      <c r="E4619" s="1"/>
    </row>
    <row r="4620" ht="14.25" customHeight="1">
      <c r="A4620" s="1">
        <v>33.0</v>
      </c>
      <c r="B4620" s="1" t="s">
        <v>1826</v>
      </c>
      <c r="C4620" s="1">
        <v>4.0</v>
      </c>
      <c r="D4620" s="1" t="s">
        <v>6</v>
      </c>
      <c r="E4620" s="1"/>
    </row>
    <row r="4621" ht="14.25" customHeight="1">
      <c r="A4621" s="1">
        <v>100.0</v>
      </c>
      <c r="B4621" s="1" t="s">
        <v>1826</v>
      </c>
      <c r="C4621" s="1">
        <v>9.0</v>
      </c>
      <c r="D4621" s="1" t="s">
        <v>6</v>
      </c>
      <c r="E4621" s="1"/>
    </row>
    <row r="4622" ht="14.25" customHeight="1">
      <c r="A4622" s="1">
        <v>33.0</v>
      </c>
      <c r="B4622" s="1" t="s">
        <v>1826</v>
      </c>
      <c r="C4622" s="1">
        <v>0.0</v>
      </c>
      <c r="D4622" s="2" t="s">
        <v>2077</v>
      </c>
      <c r="E4622" s="1" t="str">
        <f>IFERROR(__xludf.DUMMYFUNCTION("GOOGLETRANSLATE(D4622,""PT"",""EN"")"),"Service on WhatsApp takes a century to answer.")</f>
        <v>Service on WhatsApp takes a century to answer.</v>
      </c>
    </row>
    <row r="4623" ht="14.25" customHeight="1">
      <c r="A4623" s="1">
        <v>100.0</v>
      </c>
      <c r="B4623" s="1" t="s">
        <v>1826</v>
      </c>
      <c r="C4623" s="1">
        <v>10.0</v>
      </c>
      <c r="D4623" s="1" t="s">
        <v>37</v>
      </c>
      <c r="E4623" s="1" t="str">
        <f>IFERROR(__xludf.DUMMYFUNCTION("GOOGLETRANSLATE(D4623,""PT"",""EN"")"),"Great service")</f>
        <v>Great service</v>
      </c>
    </row>
    <row r="4624" ht="14.25" customHeight="1">
      <c r="A4624" s="1">
        <v>33.0</v>
      </c>
      <c r="B4624" s="1" t="s">
        <v>1826</v>
      </c>
      <c r="C4624" s="1">
        <v>6.0</v>
      </c>
      <c r="D4624" s="1" t="s">
        <v>2078</v>
      </c>
      <c r="E4624" s="1" t="str">
        <f>IFERROR(__xludf.DUMMYFUNCTION("GOOGLETRANSLATE(D4624,""PT"",""EN"")"),"Satisfactory")</f>
        <v>Satisfactory</v>
      </c>
    </row>
    <row r="4625" ht="14.25" customHeight="1">
      <c r="A4625" s="1">
        <v>33.0</v>
      </c>
      <c r="B4625" s="1" t="s">
        <v>1826</v>
      </c>
      <c r="C4625" s="1">
        <v>3.0</v>
      </c>
      <c r="D4625" s="1" t="s">
        <v>6</v>
      </c>
      <c r="E4625" s="1"/>
    </row>
    <row r="4626" ht="14.25" customHeight="1">
      <c r="A4626" s="1">
        <v>66.0</v>
      </c>
      <c r="B4626" s="1" t="s">
        <v>1826</v>
      </c>
      <c r="C4626" s="1">
        <v>7.0</v>
      </c>
      <c r="D4626" s="1" t="s">
        <v>6</v>
      </c>
      <c r="E4626" s="1"/>
    </row>
    <row r="4627" ht="14.25" customHeight="1">
      <c r="A4627" s="1">
        <v>100.0</v>
      </c>
      <c r="B4627" s="1" t="s">
        <v>1826</v>
      </c>
      <c r="C4627" s="1">
        <v>10.0</v>
      </c>
      <c r="D4627" s="1" t="s">
        <v>2079</v>
      </c>
      <c r="E4627" s="1" t="str">
        <f>IFERROR(__xludf.DUMMYFUNCTION("GOOGLETRANSLATE(D4627,""PT"",""EN"")"),"For the ease of service")</f>
        <v>For the ease of service</v>
      </c>
    </row>
    <row r="4628" ht="14.25" customHeight="1">
      <c r="A4628" s="1">
        <v>33.0</v>
      </c>
      <c r="B4628" s="1" t="s">
        <v>1826</v>
      </c>
      <c r="C4628" s="1">
        <v>4.0</v>
      </c>
      <c r="D4628" s="2" t="s">
        <v>2080</v>
      </c>
      <c r="E4628" s="1" t="str">
        <f>IFERROR(__xludf.DUMMYFUNCTION("GOOGLETRANSLATE(D4628,""PT"",""EN"")"),"All very difficult for the cooperative.")</f>
        <v>All very difficult for the cooperative.</v>
      </c>
    </row>
    <row r="4629" ht="14.25" customHeight="1">
      <c r="A4629" s="1">
        <v>100.0</v>
      </c>
      <c r="B4629" s="1" t="s">
        <v>1826</v>
      </c>
      <c r="C4629" s="1">
        <v>10.0</v>
      </c>
      <c r="D4629" s="2" t="s">
        <v>2081</v>
      </c>
      <c r="E4629" s="1" t="str">
        <f>IFERROR(__xludf.DUMMYFUNCTION("GOOGLETRANSLATE(D4629,""PT"",""EN"")"),"Because I'm already a customer but 30 years is in it I trust")</f>
        <v>Because I'm already a customer but 30 years is in it I trust</v>
      </c>
    </row>
    <row r="4630" ht="14.25" customHeight="1">
      <c r="A4630" s="1">
        <v>100.0</v>
      </c>
      <c r="B4630" s="1" t="s">
        <v>1826</v>
      </c>
      <c r="C4630" s="1">
        <v>9.0</v>
      </c>
      <c r="D4630" s="1" t="s">
        <v>6</v>
      </c>
      <c r="E4630" s="1"/>
    </row>
    <row r="4631" ht="14.25" customHeight="1">
      <c r="A4631" s="1">
        <v>33.0</v>
      </c>
      <c r="B4631" s="1" t="s">
        <v>1826</v>
      </c>
      <c r="C4631" s="1">
        <v>0.0</v>
      </c>
      <c r="D4631" s="2" t="s">
        <v>2082</v>
      </c>
      <c r="E4631" s="1" t="str">
        <f>IFERROR(__xludf.DUMMYFUNCTION("GOOGLETRANSLATE(D4631,""PT"",""EN"")"),"Difficulty in ending my checking account since April this year, although it has no active debt")</f>
        <v>Difficulty in ending my checking account since April this year, although it has no active debt</v>
      </c>
    </row>
    <row r="4632" ht="14.25" customHeight="1">
      <c r="A4632" s="1">
        <v>33.0</v>
      </c>
      <c r="B4632" s="1" t="s">
        <v>1826</v>
      </c>
      <c r="C4632" s="1">
        <v>4.0</v>
      </c>
      <c r="D4632" s="2" t="s">
        <v>2083</v>
      </c>
      <c r="E4632" s="1" t="str">
        <f>IFERROR(__xludf.DUMMYFUNCTION("GOOGLETRANSLATE(D4632,""PT"",""EN"")"),"Having more credit offers is benefits")</f>
        <v>Having more credit offers is benefits</v>
      </c>
    </row>
    <row r="4633" ht="14.25" customHeight="1">
      <c r="A4633" s="1">
        <v>100.0</v>
      </c>
      <c r="B4633" s="1" t="s">
        <v>1826</v>
      </c>
      <c r="C4633" s="1">
        <v>10.0</v>
      </c>
      <c r="D4633" s="1" t="s">
        <v>6</v>
      </c>
      <c r="E4633" s="1"/>
    </row>
    <row r="4634" ht="14.25" customHeight="1">
      <c r="A4634" s="1">
        <v>100.0</v>
      </c>
      <c r="B4634" s="1" t="s">
        <v>1826</v>
      </c>
      <c r="C4634" s="1">
        <v>9.0</v>
      </c>
      <c r="D4634" s="2" t="s">
        <v>2084</v>
      </c>
      <c r="E4634" s="1" t="str">
        <f>IFERROR(__xludf.DUMMYFUNCTION("GOOGLETRANSLATE(D4634,""PT"",""EN"")"),"Here are some reasons why I give this note to work at Sicoob. In short, some of the main motivations are the reputation is the solidity of the financial institution, its cooperative business model, the possibility of professional growth, the appreciation "&amp;"of employees, the focus on customer service is the organizational culture that values ​​ethics, transparency It is teamwork.")</f>
        <v>Here are some reasons why I give this note to work at Sicoob. In short, some of the main motivations are the reputation is the solidity of the financial institution, its cooperative business model, the possibility of professional growth, the appreciation of employees, the focus on customer service is the organizational culture that values ​​ethics, transparency It is teamwork.</v>
      </c>
    </row>
    <row r="4635" ht="14.25" customHeight="1">
      <c r="A4635" s="1">
        <v>33.0</v>
      </c>
      <c r="B4635" s="1" t="s">
        <v>1826</v>
      </c>
      <c r="C4635" s="1">
        <v>1.0</v>
      </c>
      <c r="D4635" s="1" t="s">
        <v>2085</v>
      </c>
      <c r="E4635" s="1" t="str">
        <f>IFERROR(__xludf.DUMMYFUNCTION("GOOGLETRANSLATE(D4635,""PT"",""EN"")"),"the deadlines")</f>
        <v>the deadlines</v>
      </c>
    </row>
    <row r="4636" ht="14.25" customHeight="1">
      <c r="A4636" s="1">
        <v>100.0</v>
      </c>
      <c r="B4636" s="1" t="s">
        <v>1826</v>
      </c>
      <c r="C4636" s="1">
        <v>10.0</v>
      </c>
      <c r="D4636" s="1" t="s">
        <v>6</v>
      </c>
      <c r="E4636" s="1"/>
    </row>
    <row r="4637" ht="14.25" customHeight="1">
      <c r="A4637" s="1">
        <v>100.0</v>
      </c>
      <c r="B4637" s="1" t="s">
        <v>1826</v>
      </c>
      <c r="C4637" s="1">
        <v>9.0</v>
      </c>
      <c r="D4637" s="2" t="s">
        <v>2086</v>
      </c>
      <c r="E4637" s="1" t="str">
        <f>IFERROR(__xludf.DUMMYFUNCTION("GOOGLETRANSLATE(D4637,""PT"",""EN"")"),"good service, it is a cooperative, is in full growth")</f>
        <v>good service, it is a cooperative, is in full growth</v>
      </c>
    </row>
    <row r="4638" ht="14.25" customHeight="1">
      <c r="A4638" s="1">
        <v>33.0</v>
      </c>
      <c r="B4638" s="1" t="s">
        <v>1826</v>
      </c>
      <c r="C4638" s="1">
        <v>1.0</v>
      </c>
      <c r="D4638" s="1" t="s">
        <v>6</v>
      </c>
      <c r="E4638" s="1"/>
    </row>
    <row r="4639" ht="14.25" customHeight="1">
      <c r="A4639" s="1">
        <v>33.0</v>
      </c>
      <c r="B4639" s="1" t="s">
        <v>1826</v>
      </c>
      <c r="C4639" s="1">
        <v>4.0</v>
      </c>
      <c r="D4639" s="1" t="s">
        <v>2087</v>
      </c>
      <c r="E4639" s="1" t="str">
        <f>IFERROR(__xludf.DUMMYFUNCTION("GOOGLETRANSLATE(D4639,""PT"",""EN"")"),"The lack of people for clarification, contact. Everything is by machine.")</f>
        <v>The lack of people for clarification, contact. Everything is by machine.</v>
      </c>
    </row>
    <row r="4640" ht="14.25" customHeight="1">
      <c r="A4640" s="1">
        <v>33.0</v>
      </c>
      <c r="B4640" s="1" t="s">
        <v>1826</v>
      </c>
      <c r="C4640" s="1">
        <v>2.0</v>
      </c>
      <c r="D4640" s="1" t="s">
        <v>6</v>
      </c>
      <c r="E4640" s="1"/>
    </row>
    <row r="4641" ht="14.25" customHeight="1">
      <c r="A4641" s="1">
        <v>66.0</v>
      </c>
      <c r="B4641" s="1" t="s">
        <v>1826</v>
      </c>
      <c r="C4641" s="1">
        <v>7.0</v>
      </c>
      <c r="D4641" s="2" t="s">
        <v>2088</v>
      </c>
      <c r="E4641" s="1" t="str">
        <f>IFERROR(__xludf.DUMMYFUNCTION("GOOGLETRANSLATE(D4641,""PT"",""EN"")"),"Interest offers more attractive for consignment is renewal with change of it.")</f>
        <v>Interest offers more attractive for consignment is renewal with change of it.</v>
      </c>
    </row>
    <row r="4642" ht="14.25" customHeight="1">
      <c r="A4642" s="1">
        <v>100.0</v>
      </c>
      <c r="B4642" s="1" t="s">
        <v>1826</v>
      </c>
      <c r="C4642" s="1">
        <v>10.0</v>
      </c>
      <c r="D4642" s="1" t="s">
        <v>2089</v>
      </c>
      <c r="E4642" s="1" t="str">
        <f>IFERROR(__xludf.DUMMYFUNCTION("GOOGLETRANSLATE(D4642,""PT"",""EN"")"),"all good top")</f>
        <v>all good top</v>
      </c>
    </row>
    <row r="4643" ht="14.25" customHeight="1">
      <c r="A4643" s="1">
        <v>100.0</v>
      </c>
      <c r="B4643" s="1" t="s">
        <v>1826</v>
      </c>
      <c r="C4643" s="1">
        <v>10.0</v>
      </c>
      <c r="D4643" s="1" t="s">
        <v>2090</v>
      </c>
      <c r="E4643" s="1" t="str">
        <f>IFERROR(__xludf.DUMMYFUNCTION("GOOGLETRANSLATE(D4643,""PT"",""EN"")"),"Promptness, fair interest, good service")</f>
        <v>Promptness, fair interest, good service</v>
      </c>
    </row>
    <row r="4644" ht="14.25" customHeight="1">
      <c r="A4644" s="1">
        <v>100.0</v>
      </c>
      <c r="B4644" s="1" t="s">
        <v>1826</v>
      </c>
      <c r="C4644" s="1">
        <v>10.0</v>
      </c>
      <c r="D4644" s="1" t="s">
        <v>62</v>
      </c>
      <c r="E4644" s="1" t="str">
        <f>IFERROR(__xludf.DUMMYFUNCTION("GOOGLETRANSLATE(D4644,""PT"",""EN"")"),"Good service")</f>
        <v>Good service</v>
      </c>
    </row>
    <row r="4645" ht="14.25" customHeight="1">
      <c r="A4645" s="1">
        <v>100.0</v>
      </c>
      <c r="B4645" s="1" t="s">
        <v>1826</v>
      </c>
      <c r="C4645" s="1">
        <v>10.0</v>
      </c>
      <c r="D4645" s="1" t="s">
        <v>6</v>
      </c>
      <c r="E4645" s="1"/>
    </row>
    <row r="4646" ht="14.25" customHeight="1">
      <c r="A4646" s="1">
        <v>66.0</v>
      </c>
      <c r="B4646" s="1" t="s">
        <v>1826</v>
      </c>
      <c r="C4646" s="1">
        <v>8.0</v>
      </c>
      <c r="D4646" s="2" t="s">
        <v>2091</v>
      </c>
      <c r="E4646" s="1" t="str">
        <f>IFERROR(__xludf.DUMMYFUNCTION("GOOGLETRANSLATE(D4646,""PT"",""EN"")"),"Comparing with in the old days, today I don't client is when I look for Sicoob, I feel invisible")</f>
        <v>Comparing with in the old days, today I don't client is when I look for Sicoob, I feel invisible</v>
      </c>
    </row>
    <row r="4647" ht="14.25" customHeight="1">
      <c r="A4647" s="1">
        <v>33.0</v>
      </c>
      <c r="B4647" s="1" t="s">
        <v>1826</v>
      </c>
      <c r="C4647" s="1">
        <v>0.0</v>
      </c>
      <c r="D4647" s="1" t="s">
        <v>1885</v>
      </c>
      <c r="E4647" s="1" t="str">
        <f>IFERROR(__xludf.DUMMYFUNCTION("GOOGLETRANSLATE(D4647,""PT"",""EN"")"),"Bad bank")</f>
        <v>Bad bank</v>
      </c>
    </row>
    <row r="4648" ht="14.25" customHeight="1">
      <c r="A4648" s="1">
        <v>33.0</v>
      </c>
      <c r="B4648" s="1" t="s">
        <v>1826</v>
      </c>
      <c r="C4648" s="1">
        <v>3.0</v>
      </c>
      <c r="D4648" s="1" t="s">
        <v>6</v>
      </c>
      <c r="E4648" s="1"/>
    </row>
    <row r="4649" ht="14.25" customHeight="1">
      <c r="A4649" s="1">
        <v>100.0</v>
      </c>
      <c r="B4649" s="1" t="s">
        <v>1826</v>
      </c>
      <c r="C4649" s="1">
        <v>10.0</v>
      </c>
      <c r="D4649" s="1" t="s">
        <v>6</v>
      </c>
      <c r="E4649" s="1"/>
    </row>
    <row r="4650" ht="14.25" customHeight="1">
      <c r="A4650" s="1">
        <v>33.0</v>
      </c>
      <c r="B4650" s="1" t="s">
        <v>1826</v>
      </c>
      <c r="C4650" s="1">
        <v>0.0</v>
      </c>
      <c r="D4650" s="1" t="s">
        <v>2092</v>
      </c>
      <c r="E4650" s="1" t="str">
        <f>IFERROR(__xludf.DUMMYFUNCTION("GOOGLETRANSLATE(D4650,""PT"",""EN"")"),"The lack of information")</f>
        <v>The lack of information</v>
      </c>
    </row>
    <row r="4651" ht="14.25" customHeight="1">
      <c r="A4651" s="1">
        <v>100.0</v>
      </c>
      <c r="B4651" s="1" t="s">
        <v>1826</v>
      </c>
      <c r="C4651" s="1">
        <v>10.0</v>
      </c>
      <c r="D4651" s="1" t="s">
        <v>6</v>
      </c>
      <c r="E4651" s="1"/>
    </row>
    <row r="4652" ht="14.25" customHeight="1">
      <c r="A4652" s="1">
        <v>100.0</v>
      </c>
      <c r="B4652" s="1" t="s">
        <v>1826</v>
      </c>
      <c r="C4652" s="1">
        <v>10.0</v>
      </c>
      <c r="D4652" s="1" t="s">
        <v>2093</v>
      </c>
      <c r="E4652" s="1" t="str">
        <f>IFERROR(__xludf.DUMMYFUNCTION("GOOGLETRANSLATE(D4652,""PT"",""EN"")"),"Very good digital service")</f>
        <v>Very good digital service</v>
      </c>
    </row>
    <row r="4653" ht="14.25" customHeight="1">
      <c r="A4653" s="1">
        <v>100.0</v>
      </c>
      <c r="B4653" s="1" t="s">
        <v>1826</v>
      </c>
      <c r="C4653" s="1">
        <v>10.0</v>
      </c>
      <c r="D4653" s="1" t="s">
        <v>2094</v>
      </c>
      <c r="E4653" s="1" t="str">
        <f>IFERROR(__xludf.DUMMYFUNCTION("GOOGLETRANSLATE(D4653,""PT"",""EN"")"),"Satisfied")</f>
        <v>Satisfied</v>
      </c>
    </row>
    <row r="4654" ht="14.25" customHeight="1">
      <c r="A4654" s="1">
        <v>100.0</v>
      </c>
      <c r="B4654" s="1" t="s">
        <v>1826</v>
      </c>
      <c r="C4654" s="1">
        <v>10.0</v>
      </c>
      <c r="D4654" s="1" t="s">
        <v>2095</v>
      </c>
      <c r="E4654" s="1" t="str">
        <f>IFERROR(__xludf.DUMMYFUNCTION("GOOGLETRANSLATE(D4654,""PT"",""EN"")"),"A very good bank")</f>
        <v>A very good bank</v>
      </c>
    </row>
    <row r="4655" ht="14.25" customHeight="1">
      <c r="A4655" s="1">
        <v>33.0</v>
      </c>
      <c r="B4655" s="1" t="s">
        <v>1826</v>
      </c>
      <c r="C4655" s="1">
        <v>3.0</v>
      </c>
      <c r="D4655" s="2" t="s">
        <v>2096</v>
      </c>
      <c r="E4655" s="1" t="str">
        <f>IFERROR(__xludf.DUMMYFUNCTION("GOOGLETRANSLATE(D4655,""PT"",""EN"")"),"Every time has a management change. Now they have put a super inefficient financial manager. You should prioritize the quality of service ...")</f>
        <v>Every time has a management change. Now they have put a super inefficient financial manager. You should prioritize the quality of service ...</v>
      </c>
    </row>
    <row r="4656" ht="14.25" customHeight="1">
      <c r="A4656" s="1">
        <v>66.0</v>
      </c>
      <c r="B4656" s="1" t="s">
        <v>1826</v>
      </c>
      <c r="C4656" s="1">
        <v>8.0</v>
      </c>
      <c r="D4656" s="1" t="s">
        <v>6</v>
      </c>
      <c r="E4656" s="1"/>
    </row>
    <row r="4657" ht="14.25" customHeight="1">
      <c r="A4657" s="1">
        <v>100.0</v>
      </c>
      <c r="B4657" s="1" t="s">
        <v>1826</v>
      </c>
      <c r="C4657" s="1">
        <v>10.0</v>
      </c>
      <c r="D4657" s="1" t="s">
        <v>85</v>
      </c>
      <c r="E4657" s="1" t="str">
        <f>IFERROR(__xludf.DUMMYFUNCTION("GOOGLETRANSLATE(D4657,""PT"",""EN"")"),"Service")</f>
        <v>Service</v>
      </c>
    </row>
    <row r="4658" ht="14.25" customHeight="1">
      <c r="A4658" s="1">
        <v>100.0</v>
      </c>
      <c r="B4658" s="1" t="s">
        <v>1826</v>
      </c>
      <c r="C4658" s="1">
        <v>10.0</v>
      </c>
      <c r="D4658" s="1" t="s">
        <v>456</v>
      </c>
      <c r="E4658" s="1" t="str">
        <f>IFERROR(__xludf.DUMMYFUNCTION("GOOGLETRANSLATE(D4658,""PT"",""EN"")"),"service")</f>
        <v>service</v>
      </c>
    </row>
    <row r="4659" ht="14.25" customHeight="1">
      <c r="A4659" s="1">
        <v>33.0</v>
      </c>
      <c r="B4659" s="1" t="s">
        <v>1826</v>
      </c>
      <c r="C4659" s="1">
        <v>6.0</v>
      </c>
      <c r="D4659" s="1" t="s">
        <v>6</v>
      </c>
      <c r="E4659" s="1"/>
    </row>
    <row r="4660" ht="14.25" customHeight="1">
      <c r="A4660" s="1">
        <v>66.0</v>
      </c>
      <c r="B4660" s="1" t="s">
        <v>1826</v>
      </c>
      <c r="C4660" s="1">
        <v>7.0</v>
      </c>
      <c r="D4660" s="2" t="s">
        <v>2097</v>
      </c>
      <c r="E4660" s="1" t="str">
        <f>IFERROR(__xludf.DUMMYFUNCTION("GOOGLETRANSLATE(D4660,""PT"",""EN"")"),"Very difficult to release credit")</f>
        <v>Very difficult to release credit</v>
      </c>
    </row>
    <row r="4661" ht="14.25" customHeight="1">
      <c r="A4661" s="1">
        <v>33.0</v>
      </c>
      <c r="B4661" s="1" t="s">
        <v>1826</v>
      </c>
      <c r="C4661" s="1">
        <v>4.0</v>
      </c>
      <c r="D4661" s="2" t="s">
        <v>2098</v>
      </c>
      <c r="E4661" s="1" t="str">
        <f>IFERROR(__xludf.DUMMYFUNCTION("GOOGLETRANSLATE(D4661,""PT"",""EN"")"),"consider me with politically exposed person. Mine has function so they are")</f>
        <v>consider me with politically exposed person. Mine has function so they are</v>
      </c>
    </row>
    <row r="4662" ht="14.25" customHeight="1">
      <c r="A4662" s="1">
        <v>100.0</v>
      </c>
      <c r="B4662" s="1" t="s">
        <v>1826</v>
      </c>
      <c r="C4662" s="1">
        <v>9.0</v>
      </c>
      <c r="D4662" s="1" t="s">
        <v>2099</v>
      </c>
      <c r="E4662" s="1" t="str">
        <f>IFERROR(__xludf.DUMMYFUNCTION("GOOGLETRANSLATE(D4662,""PT"",""EN"")"),"We always have to improve")</f>
        <v>We always have to improve</v>
      </c>
    </row>
    <row r="4663" ht="14.25" customHeight="1">
      <c r="A4663" s="1">
        <v>100.0</v>
      </c>
      <c r="B4663" s="1" t="s">
        <v>1826</v>
      </c>
      <c r="C4663" s="1">
        <v>10.0</v>
      </c>
      <c r="D4663" s="2" t="s">
        <v>2100</v>
      </c>
      <c r="E4663" s="1" t="str">
        <f>IFERROR(__xludf.DUMMYFUNCTION("GOOGLETRANSLATE(D4663,""PT"",""EN"")"),"Service made by the team is the practicality in solving the business")</f>
        <v>Service made by the team is the practicality in solving the business</v>
      </c>
    </row>
    <row r="4664" ht="14.25" customHeight="1">
      <c r="A4664" s="1">
        <v>100.0</v>
      </c>
      <c r="B4664" s="1" t="s">
        <v>1826</v>
      </c>
      <c r="C4664" s="1">
        <v>10.0</v>
      </c>
      <c r="D4664" s="1" t="s">
        <v>6</v>
      </c>
      <c r="E4664" s="1"/>
    </row>
    <row r="4665" ht="14.25" customHeight="1">
      <c r="A4665" s="1">
        <v>33.0</v>
      </c>
      <c r="B4665" s="1" t="s">
        <v>1826</v>
      </c>
      <c r="C4665" s="1">
        <v>5.0</v>
      </c>
      <c r="D4665" s="2" t="s">
        <v>2101</v>
      </c>
      <c r="E4665" s="1" t="str">
        <f>IFERROR(__xludf.DUMMYFUNCTION("GOOGLETRANSLATE(D4665,""PT"",""EN"")"),"Don't answer me as I would like. Even so I have recommended.")</f>
        <v>Don't answer me as I would like. Even so I have recommended.</v>
      </c>
    </row>
    <row r="4666" ht="14.25" customHeight="1">
      <c r="A4666" s="1">
        <v>100.0</v>
      </c>
      <c r="B4666" s="1" t="s">
        <v>1826</v>
      </c>
      <c r="C4666" s="1">
        <v>10.0</v>
      </c>
      <c r="D4666" s="2" t="s">
        <v>2102</v>
      </c>
      <c r="E4666" s="1" t="str">
        <f>IFERROR(__xludf.DUMMYFUNCTION("GOOGLETRANSLATE(D4666,""PT"",""EN"")"),"Excellent bank, is has many advantages for both individuals and legal.")</f>
        <v>Excellent bank, is has many advantages for both individuals and legal.</v>
      </c>
    </row>
    <row r="4667" ht="14.25" customHeight="1">
      <c r="A4667" s="1">
        <v>100.0</v>
      </c>
      <c r="B4667" s="1" t="s">
        <v>1826</v>
      </c>
      <c r="C4667" s="1">
        <v>10.0</v>
      </c>
      <c r="D4667" s="2" t="s">
        <v>2103</v>
      </c>
      <c r="E4667" s="1" t="str">
        <f>IFERROR(__xludf.DUMMYFUNCTION("GOOGLETRANSLATE(D4667,""PT"",""EN"")"),"Attention of management, ease and safety in the application, lower interest rates on overdraft is assigned.")</f>
        <v>Attention of management, ease and safety in the application, lower interest rates on overdraft is assigned.</v>
      </c>
    </row>
    <row r="4668" ht="14.25" customHeight="1">
      <c r="A4668" s="1">
        <v>33.0</v>
      </c>
      <c r="B4668" s="1" t="s">
        <v>1826</v>
      </c>
      <c r="C4668" s="1">
        <v>0.0</v>
      </c>
      <c r="D4668" s="2" t="s">
        <v>2104</v>
      </c>
      <c r="E4668" s="1" t="str">
        <f>IFERROR(__xludf.DUMMYFUNCTION("GOOGLETRANSLATE(D4668,""PT"",""EN"")"),"It is for nothing")</f>
        <v>It is for nothing</v>
      </c>
    </row>
    <row r="4669" ht="14.25" customHeight="1">
      <c r="A4669" s="1">
        <v>33.0</v>
      </c>
      <c r="B4669" s="1" t="s">
        <v>1826</v>
      </c>
      <c r="C4669" s="1">
        <v>3.0</v>
      </c>
      <c r="D4669" s="1" t="s">
        <v>2105</v>
      </c>
      <c r="E4669" s="1" t="str">
        <f>IFERROR(__xludf.DUMMYFUNCTION("GOOGLETRANSLATE(D4669,""PT"",""EN"")"),"Lack of relationship")</f>
        <v>Lack of relationship</v>
      </c>
    </row>
    <row r="4670" ht="14.25" customHeight="1">
      <c r="A4670" s="1">
        <v>33.0</v>
      </c>
      <c r="B4670" s="1" t="s">
        <v>1826</v>
      </c>
      <c r="C4670" s="1">
        <v>5.0</v>
      </c>
      <c r="D4670" s="1" t="s">
        <v>6</v>
      </c>
      <c r="E4670" s="1"/>
    </row>
    <row r="4671" ht="14.25" customHeight="1">
      <c r="A4671" s="1">
        <v>100.0</v>
      </c>
      <c r="B4671" s="1" t="s">
        <v>2106</v>
      </c>
      <c r="C4671" s="1">
        <v>10.0</v>
      </c>
      <c r="D4671" s="1" t="s">
        <v>2107</v>
      </c>
      <c r="E4671" s="1" t="str">
        <f>IFERROR(__xludf.DUMMYFUNCTION("GOOGLETRANSLATE(D4671,""PT"",""EN"")"),"Simply the best cooperative in Brazil")</f>
        <v>Simply the best cooperative in Brazil</v>
      </c>
    </row>
    <row r="4672" ht="14.25" customHeight="1">
      <c r="A4672" s="1">
        <v>100.0</v>
      </c>
      <c r="B4672" s="1" t="s">
        <v>2106</v>
      </c>
      <c r="C4672" s="1">
        <v>9.0</v>
      </c>
      <c r="D4672" s="1" t="s">
        <v>6</v>
      </c>
      <c r="E4672" s="1"/>
    </row>
    <row r="4673" ht="14.25" customHeight="1">
      <c r="A4673" s="1">
        <v>100.0</v>
      </c>
      <c r="B4673" s="1" t="s">
        <v>2106</v>
      </c>
      <c r="C4673" s="1">
        <v>10.0</v>
      </c>
      <c r="D4673" s="1" t="s">
        <v>2108</v>
      </c>
      <c r="E4673" s="1" t="str">
        <f>IFERROR(__xludf.DUMMYFUNCTION("GOOGLETRANSLATE(D4673,""PT"",""EN"")"),"I simply found it good in relation FACILITY APP Quick Navigation etc.")</f>
        <v>I simply found it good in relation FACILITY APP Quick Navigation etc.</v>
      </c>
    </row>
    <row r="4674" ht="14.25" customHeight="1">
      <c r="A4674" s="1">
        <v>66.0</v>
      </c>
      <c r="B4674" s="1" t="s">
        <v>2106</v>
      </c>
      <c r="C4674" s="1">
        <v>8.0</v>
      </c>
      <c r="D4674" s="1" t="s">
        <v>2109</v>
      </c>
      <c r="E4674" s="1" t="str">
        <f>IFERROR(__xludf.DUMMYFUNCTION("GOOGLETRANSLATE(D4674,""PT"",""EN"")"),"Because I think it's fair")</f>
        <v>Because I think it's fair</v>
      </c>
    </row>
    <row r="4675" ht="14.25" customHeight="1">
      <c r="A4675" s="1">
        <v>33.0</v>
      </c>
      <c r="B4675" s="1" t="s">
        <v>2106</v>
      </c>
      <c r="C4675" s="1">
        <v>3.0</v>
      </c>
      <c r="D4675" s="2" t="s">
        <v>2110</v>
      </c>
      <c r="E4675" s="1" t="str">
        <f>IFERROR(__xludf.DUMMYFUNCTION("GOOGLETRANSLATE(D4675,""PT"",""EN"")"),"Sicoob gives no opportunity for those who are starting. The rates are tall those who have MEI. Hard to start over without chances.")</f>
        <v>Sicoob gives no opportunity for those who are starting. The rates are tall those who have MEI. Hard to start over without chances.</v>
      </c>
    </row>
    <row r="4676" ht="14.25" customHeight="1">
      <c r="A4676" s="1">
        <v>100.0</v>
      </c>
      <c r="B4676" s="1" t="s">
        <v>2106</v>
      </c>
      <c r="C4676" s="1">
        <v>10.0</v>
      </c>
      <c r="D4676" s="1" t="s">
        <v>192</v>
      </c>
      <c r="E4676" s="1" t="str">
        <f>IFERROR(__xludf.DUMMYFUNCTION("GOOGLETRANSLATE(D4676,""PT"",""EN"")"),"Great")</f>
        <v>Great</v>
      </c>
    </row>
    <row r="4677" ht="14.25" customHeight="1">
      <c r="A4677" s="1">
        <v>66.0</v>
      </c>
      <c r="B4677" s="1" t="s">
        <v>2106</v>
      </c>
      <c r="C4677" s="1">
        <v>8.0</v>
      </c>
      <c r="D4677" s="1" t="s">
        <v>2111</v>
      </c>
      <c r="E4677" s="1" t="str">
        <f>IFERROR(__xludf.DUMMYFUNCTION("GOOGLETRANSLATE(D4677,""PT"",""EN"")"),"The practicality of operations")</f>
        <v>The practicality of operations</v>
      </c>
    </row>
    <row r="4678" ht="14.25" customHeight="1">
      <c r="A4678" s="1">
        <v>33.0</v>
      </c>
      <c r="B4678" s="1" t="s">
        <v>2106</v>
      </c>
      <c r="C4678" s="1">
        <v>1.0</v>
      </c>
      <c r="D4678" s="2" t="s">
        <v>2112</v>
      </c>
      <c r="E4678" s="1" t="str">
        <f>IFERROR(__xludf.DUMMYFUNCTION("GOOGLETRANSLATE(D4678,""PT"",""EN"")"),"I am an account holder is had a pre -approved credit card is so far I have not received, does not have a credit line for the customer, I already spoke with manager is nothing, if so I do not recommend to anyone")</f>
        <v>I am an account holder is had a pre -approved credit card is so far I have not received, does not have a credit line for the customer, I already spoke with manager is nothing, if so I do not recommend to anyone</v>
      </c>
    </row>
    <row r="4679" ht="14.25" customHeight="1">
      <c r="A4679" s="1">
        <v>100.0</v>
      </c>
      <c r="B4679" s="1" t="s">
        <v>2106</v>
      </c>
      <c r="C4679" s="1">
        <v>10.0</v>
      </c>
      <c r="D4679" s="2" t="s">
        <v>2113</v>
      </c>
      <c r="E4679" s="1" t="str">
        <f>IFERROR(__xludf.DUMMYFUNCTION("GOOGLETRANSLATE(D4679,""PT"",""EN"")"),"Promptness, attention and cordiality")</f>
        <v>Promptness, attention and cordiality</v>
      </c>
    </row>
    <row r="4680" ht="14.25" customHeight="1">
      <c r="A4680" s="1">
        <v>100.0</v>
      </c>
      <c r="B4680" s="1" t="s">
        <v>2106</v>
      </c>
      <c r="C4680" s="1">
        <v>10.0</v>
      </c>
      <c r="D4680" s="1" t="s">
        <v>6</v>
      </c>
      <c r="E4680" s="1"/>
    </row>
    <row r="4681" ht="14.25" customHeight="1">
      <c r="A4681" s="1">
        <v>33.0</v>
      </c>
      <c r="B4681" s="1" t="s">
        <v>2106</v>
      </c>
      <c r="C4681" s="1">
        <v>0.0</v>
      </c>
      <c r="D4681" s="1" t="s">
        <v>2114</v>
      </c>
      <c r="E4681" s="1" t="str">
        <f>IFERROR(__xludf.DUMMYFUNCTION("GOOGLETRANSLATE(D4681,""PT"",""EN"")"),"kkkkkkkk")</f>
        <v>kkkkkkkk</v>
      </c>
    </row>
    <row r="4682" ht="14.25" customHeight="1">
      <c r="A4682" s="1">
        <v>100.0</v>
      </c>
      <c r="B4682" s="1" t="s">
        <v>2106</v>
      </c>
      <c r="C4682" s="1">
        <v>10.0</v>
      </c>
      <c r="D4682" s="1" t="s">
        <v>6</v>
      </c>
      <c r="E4682" s="1"/>
    </row>
    <row r="4683" ht="14.25" customHeight="1">
      <c r="A4683" s="1">
        <v>100.0</v>
      </c>
      <c r="B4683" s="1" t="s">
        <v>2106</v>
      </c>
      <c r="C4683" s="1">
        <v>10.0</v>
      </c>
      <c r="D4683" s="1" t="s">
        <v>2115</v>
      </c>
      <c r="E4683" s="1" t="str">
        <f>IFERROR(__xludf.DUMMYFUNCTION("GOOGLETRANSLATE(D4683,""PT"",""EN"")"),"I own my own bank ...!")</f>
        <v>I own my own bank ...!</v>
      </c>
    </row>
    <row r="4684" ht="14.25" customHeight="1">
      <c r="A4684" s="1">
        <v>66.0</v>
      </c>
      <c r="B4684" s="1" t="s">
        <v>2106</v>
      </c>
      <c r="C4684" s="1">
        <v>8.0</v>
      </c>
      <c r="D4684" s="1" t="s">
        <v>6</v>
      </c>
      <c r="E4684" s="1"/>
    </row>
    <row r="4685" ht="14.25" customHeight="1">
      <c r="A4685" s="1">
        <v>66.0</v>
      </c>
      <c r="B4685" s="1" t="s">
        <v>2106</v>
      </c>
      <c r="C4685" s="1">
        <v>7.0</v>
      </c>
      <c r="D4685" s="2" t="s">
        <v>2116</v>
      </c>
      <c r="E4685" s="1" t="str">
        <f>IFERROR(__xludf.DUMMYFUNCTION("GOOGLETRANSLATE(D4685,""PT"",""EN"")"),"Since I created my account my card has not arrived yet")</f>
        <v>Since I created my account my card has not arrived yet</v>
      </c>
    </row>
    <row r="4686" ht="14.25" customHeight="1">
      <c r="A4686" s="1">
        <v>33.0</v>
      </c>
      <c r="B4686" s="1" t="s">
        <v>2106</v>
      </c>
      <c r="C4686" s="1">
        <v>0.0</v>
      </c>
      <c r="D4686" s="2" t="s">
        <v>2117</v>
      </c>
      <c r="E4686" s="1" t="str">
        <f>IFERROR(__xludf.DUMMYFUNCTION("GOOGLETRANSLATE(D4686,""PT"",""EN"")"),"Did not give me credit card")</f>
        <v>Did not give me credit card</v>
      </c>
    </row>
    <row r="4687" ht="14.25" customHeight="1">
      <c r="A4687" s="1">
        <v>33.0</v>
      </c>
      <c r="B4687" s="1" t="s">
        <v>2106</v>
      </c>
      <c r="C4687" s="1">
        <v>4.0</v>
      </c>
      <c r="D4687" s="2" t="s">
        <v>2118</v>
      </c>
      <c r="E4687" s="1" t="str">
        <f>IFERROR(__xludf.DUMMYFUNCTION("GOOGLETRANSLATE(D4687,""PT"",""EN"")"),"The bank does not release credit")</f>
        <v>The bank does not release credit</v>
      </c>
    </row>
    <row r="4688" ht="14.25" customHeight="1">
      <c r="A4688" s="1">
        <v>100.0</v>
      </c>
      <c r="B4688" s="1" t="s">
        <v>2106</v>
      </c>
      <c r="C4688" s="1">
        <v>10.0</v>
      </c>
      <c r="D4688" s="1" t="s">
        <v>37</v>
      </c>
      <c r="E4688" s="1" t="str">
        <f>IFERROR(__xludf.DUMMYFUNCTION("GOOGLETRANSLATE(D4688,""PT"",""EN"")"),"Great service")</f>
        <v>Great service</v>
      </c>
    </row>
    <row r="4689" ht="14.25" customHeight="1">
      <c r="A4689" s="1">
        <v>100.0</v>
      </c>
      <c r="B4689" s="1" t="s">
        <v>2106</v>
      </c>
      <c r="C4689" s="1">
        <v>10.0</v>
      </c>
      <c r="D4689" s="1" t="s">
        <v>6</v>
      </c>
      <c r="E4689" s="1"/>
    </row>
    <row r="4690" ht="14.25" customHeight="1">
      <c r="A4690" s="1">
        <v>100.0</v>
      </c>
      <c r="B4690" s="1" t="s">
        <v>2106</v>
      </c>
      <c r="C4690" s="1">
        <v>10.0</v>
      </c>
      <c r="D4690" s="1" t="s">
        <v>85</v>
      </c>
      <c r="E4690" s="1" t="str">
        <f>IFERROR(__xludf.DUMMYFUNCTION("GOOGLETRANSLATE(D4690,""PT"",""EN"")"),"Service")</f>
        <v>Service</v>
      </c>
    </row>
    <row r="4691" ht="14.25" customHeight="1">
      <c r="A4691" s="1">
        <v>33.0</v>
      </c>
      <c r="B4691" s="1" t="s">
        <v>2106</v>
      </c>
      <c r="C4691" s="1">
        <v>0.0</v>
      </c>
      <c r="D4691" s="1" t="s">
        <v>6</v>
      </c>
      <c r="E4691" s="1"/>
    </row>
    <row r="4692" ht="14.25" customHeight="1">
      <c r="A4692" s="1">
        <v>100.0</v>
      </c>
      <c r="B4692" s="1" t="s">
        <v>2106</v>
      </c>
      <c r="C4692" s="1">
        <v>10.0</v>
      </c>
      <c r="D4692" s="2" t="s">
        <v>2119</v>
      </c>
      <c r="E4692" s="1" t="str">
        <f>IFERROR(__xludf.DUMMYFUNCTION("GOOGLETRANSLATE(D4692,""PT"",""EN"")"),"Humanized care is ease.")</f>
        <v>Humanized care is ease.</v>
      </c>
    </row>
    <row r="4693" ht="14.25" customHeight="1">
      <c r="A4693" s="1">
        <v>33.0</v>
      </c>
      <c r="B4693" s="1" t="s">
        <v>2106</v>
      </c>
      <c r="C4693" s="1">
        <v>0.0</v>
      </c>
      <c r="D4693" s="1" t="s">
        <v>6</v>
      </c>
      <c r="E4693" s="1"/>
    </row>
    <row r="4694" ht="14.25" customHeight="1">
      <c r="A4694" s="1">
        <v>100.0</v>
      </c>
      <c r="B4694" s="1" t="s">
        <v>2106</v>
      </c>
      <c r="C4694" s="1">
        <v>10.0</v>
      </c>
      <c r="D4694" s="2" t="s">
        <v>2120</v>
      </c>
      <c r="E4694" s="1" t="str">
        <f>IFERROR(__xludf.DUMMYFUNCTION("GOOGLETRANSLATE(D4694,""PT"",""EN"")"),"For the excellence, attention and promptness in the service of its associates!")</f>
        <v>For the excellence, attention and promptness in the service of its associates!</v>
      </c>
    </row>
    <row r="4695" ht="14.25" customHeight="1">
      <c r="A4695" s="1">
        <v>33.0</v>
      </c>
      <c r="B4695" s="1" t="s">
        <v>2106</v>
      </c>
      <c r="C4695" s="1">
        <v>0.0</v>
      </c>
      <c r="D4695" s="2" t="s">
        <v>2121</v>
      </c>
      <c r="E4695" s="1" t="str">
        <f>IFERROR(__xludf.DUMMYFUNCTION("GOOGLETRANSLATE(D4695,""PT"",""EN"")"),"Each time I opened my account or received a payment, Sicoob discounted fees is more rates of my jump, this is inconceivable, I had a pesima experience. In addition I requested the cancellation of my account is the return of forced savings (which by the wa"&amp;"y was one of the random discounts of my money) is so far I have not received the reversal of my value. The app is difficult to access because it needs numerous information. I have a copy of the email that was requested with the appropriate information to "&amp;"close the account; Armed with this I will make a formal complaint with BACEN, because besides all the inconvenience I faced, my key Pix CNPJ is linked to my legal entity from Sicoob is, due to the excessive rigors of information to cease the application, "&amp;"I I can't detach it, since I lost such access information when I requested the closure of the account is uninstalled the application is I know how bureaucratic it is to contact SAC to get them again.")</f>
        <v>Each time I opened my account or received a payment, Sicoob discounted fees is more rates of my jump, this is inconceivable, I had a pesima experience. In addition I requested the cancellation of my account is the return of forced savings (which by the way was one of the random discounts of my money) is so far I have not received the reversal of my value. The app is difficult to access because it needs numerous information. I have a copy of the email that was requested with the appropriate information to close the account; Armed with this I will make a formal complaint with BACEN, because besides all the inconvenience I faced, my key Pix CNPJ is linked to my legal entity from Sicoob is, due to the excessive rigors of information to cease the application, I I can't detach it, since I lost such access information when I requested the closure of the account is uninstalled the application is I know how bureaucratic it is to contact SAC to get them again.</v>
      </c>
    </row>
    <row r="4696" ht="14.25" customHeight="1">
      <c r="A4696" s="1">
        <v>100.0</v>
      </c>
      <c r="B4696" s="1" t="s">
        <v>2106</v>
      </c>
      <c r="C4696" s="1">
        <v>10.0</v>
      </c>
      <c r="D4696" s="1" t="s">
        <v>2122</v>
      </c>
      <c r="E4696" s="1" t="str">
        <f>IFERROR(__xludf.DUMMYFUNCTION("GOOGLETRANSLATE(D4696,""PT"",""EN"")"),"Return")</f>
        <v>Return</v>
      </c>
    </row>
    <row r="4697" ht="14.25" customHeight="1">
      <c r="A4697" s="1">
        <v>100.0</v>
      </c>
      <c r="B4697" s="1" t="s">
        <v>2106</v>
      </c>
      <c r="C4697" s="1">
        <v>10.0</v>
      </c>
      <c r="D4697" s="1" t="s">
        <v>20</v>
      </c>
      <c r="E4697" s="1" t="str">
        <f>IFERROR(__xludf.DUMMYFUNCTION("GOOGLETRANSLATE(D4697,""PT"",""EN"")"),"Very good")</f>
        <v>Very good</v>
      </c>
    </row>
    <row r="4698" ht="14.25" customHeight="1">
      <c r="A4698" s="1">
        <v>100.0</v>
      </c>
      <c r="B4698" s="1" t="s">
        <v>2106</v>
      </c>
      <c r="C4698" s="1">
        <v>10.0</v>
      </c>
      <c r="D4698" s="2" t="s">
        <v>2123</v>
      </c>
      <c r="E4698" s="1" t="str">
        <f>IFERROR(__xludf.DUMMYFUNCTION("GOOGLETRANSLATE(D4698,""PT"",""EN"")"),"All very practical, fast and objective")</f>
        <v>All very practical, fast and objective</v>
      </c>
    </row>
    <row r="4699" ht="14.25" customHeight="1">
      <c r="A4699" s="1">
        <v>100.0</v>
      </c>
      <c r="B4699" s="1" t="s">
        <v>2106</v>
      </c>
      <c r="C4699" s="1">
        <v>10.0</v>
      </c>
      <c r="D4699" s="1" t="s">
        <v>6</v>
      </c>
      <c r="E4699" s="1"/>
    </row>
    <row r="4700" ht="14.25" customHeight="1">
      <c r="A4700" s="1">
        <v>100.0</v>
      </c>
      <c r="B4700" s="1" t="s">
        <v>2106</v>
      </c>
      <c r="C4700" s="1">
        <v>10.0</v>
      </c>
      <c r="D4700" s="1" t="s">
        <v>2124</v>
      </c>
      <c r="E4700" s="1" t="str">
        <f>IFERROR(__xludf.DUMMYFUNCTION("GOOGLETRANSLATE(D4700,""PT"",""EN"")"),"A great service.")</f>
        <v>A great service.</v>
      </c>
    </row>
    <row r="4701" ht="14.25" customHeight="1">
      <c r="A4701" s="1">
        <v>33.0</v>
      </c>
      <c r="B4701" s="1" t="s">
        <v>2106</v>
      </c>
      <c r="C4701" s="1">
        <v>0.0</v>
      </c>
      <c r="D4701" s="2" t="s">
        <v>2058</v>
      </c>
      <c r="E4701" s="1" t="str">
        <f>IFERROR(__xludf.DUMMYFUNCTION("GOOGLETRANSLATE(D4701,""PT"",""EN"")"),"Did not like")</f>
        <v>Did not like</v>
      </c>
    </row>
    <row r="4702" ht="14.25" customHeight="1">
      <c r="A4702" s="1">
        <v>100.0</v>
      </c>
      <c r="B4702" s="1" t="s">
        <v>2106</v>
      </c>
      <c r="C4702" s="1">
        <v>10.0</v>
      </c>
      <c r="D4702" s="1" t="s">
        <v>2125</v>
      </c>
      <c r="E4702" s="1" t="str">
        <f>IFERROR(__xludf.DUMMYFUNCTION("GOOGLETRANSLATE(D4702,""PT"",""EN"")"),"Amazing bank that offers opportunities.")</f>
        <v>Amazing bank that offers opportunities.</v>
      </c>
    </row>
    <row r="4703" ht="14.25" customHeight="1">
      <c r="A4703" s="1">
        <v>100.0</v>
      </c>
      <c r="B4703" s="1" t="s">
        <v>2106</v>
      </c>
      <c r="C4703" s="1">
        <v>10.0</v>
      </c>
      <c r="D4703" s="1" t="s">
        <v>6</v>
      </c>
      <c r="E4703" s="1"/>
    </row>
    <row r="4704" ht="14.25" customHeight="1">
      <c r="A4704" s="1">
        <v>33.0</v>
      </c>
      <c r="B4704" s="1" t="s">
        <v>2106</v>
      </c>
      <c r="C4704" s="1">
        <v>5.0</v>
      </c>
      <c r="D4704" s="2" t="s">
        <v>2126</v>
      </c>
      <c r="E4704" s="1" t="str">
        <f>IFERROR(__xludf.DUMMYFUNCTION("GOOGLETRANSLATE(D4704,""PT"",""EN"")"),"Credit offer.")</f>
        <v>Credit offer.</v>
      </c>
    </row>
    <row r="4705" ht="14.25" customHeight="1">
      <c r="A4705" s="1">
        <v>100.0</v>
      </c>
      <c r="B4705" s="1" t="s">
        <v>2106</v>
      </c>
      <c r="C4705" s="1">
        <v>10.0</v>
      </c>
      <c r="D4705" s="2" t="s">
        <v>2127</v>
      </c>
      <c r="E4705" s="1" t="str">
        <f>IFERROR(__xludf.DUMMYFUNCTION("GOOGLETRANSLATE(D4705,""PT"",""EN"")"),"Temperative service is of great quality")</f>
        <v>Temperative service is of great quality</v>
      </c>
    </row>
    <row r="4706" ht="14.25" customHeight="1">
      <c r="A4706" s="1">
        <v>100.0</v>
      </c>
      <c r="B4706" s="1" t="s">
        <v>2106</v>
      </c>
      <c r="C4706" s="1">
        <v>10.0</v>
      </c>
      <c r="D4706" s="1" t="s">
        <v>6</v>
      </c>
      <c r="E4706" s="1"/>
    </row>
    <row r="4707" ht="14.25" customHeight="1">
      <c r="A4707" s="1">
        <v>100.0</v>
      </c>
      <c r="B4707" s="1" t="s">
        <v>2106</v>
      </c>
      <c r="C4707" s="1">
        <v>10.0</v>
      </c>
      <c r="D4707" s="1" t="s">
        <v>2128</v>
      </c>
      <c r="E4707" s="1" t="str">
        <f>IFERROR(__xludf.DUMMYFUNCTION("GOOGLETRANSLATE(D4707,""PT"",""EN"")"),"The service is excellent")</f>
        <v>The service is excellent</v>
      </c>
    </row>
    <row r="4708" ht="14.25" customHeight="1">
      <c r="A4708" s="1">
        <v>100.0</v>
      </c>
      <c r="B4708" s="1" t="s">
        <v>2106</v>
      </c>
      <c r="C4708" s="1">
        <v>10.0</v>
      </c>
      <c r="D4708" s="1" t="s">
        <v>6</v>
      </c>
      <c r="E4708" s="1"/>
    </row>
    <row r="4709" ht="14.25" customHeight="1">
      <c r="A4709" s="1">
        <v>100.0</v>
      </c>
      <c r="B4709" s="1" t="s">
        <v>2106</v>
      </c>
      <c r="C4709" s="1">
        <v>10.0</v>
      </c>
      <c r="D4709" s="1" t="s">
        <v>6</v>
      </c>
      <c r="E4709" s="1"/>
    </row>
    <row r="4710" ht="14.25" customHeight="1">
      <c r="A4710" s="1">
        <v>100.0</v>
      </c>
      <c r="B4710" s="1" t="s">
        <v>2106</v>
      </c>
      <c r="C4710" s="1">
        <v>10.0</v>
      </c>
      <c r="D4710" s="1" t="s">
        <v>2129</v>
      </c>
      <c r="E4710" s="1" t="str">
        <f>IFERROR(__xludf.DUMMYFUNCTION("GOOGLETRANSLATE(D4710,""PT"",""EN"")"),"Excellent bank.")</f>
        <v>Excellent bank.</v>
      </c>
    </row>
    <row r="4711" ht="14.25" customHeight="1">
      <c r="A4711" s="1">
        <v>100.0</v>
      </c>
      <c r="B4711" s="1" t="s">
        <v>2106</v>
      </c>
      <c r="C4711" s="1">
        <v>10.0</v>
      </c>
      <c r="D4711" s="1" t="s">
        <v>6</v>
      </c>
      <c r="E4711" s="1"/>
    </row>
    <row r="4712" ht="14.25" customHeight="1">
      <c r="A4712" s="1">
        <v>33.0</v>
      </c>
      <c r="B4712" s="1" t="s">
        <v>2106</v>
      </c>
      <c r="C4712" s="1">
        <v>6.0</v>
      </c>
      <c r="D4712" s="2" t="s">
        <v>2130</v>
      </c>
      <c r="E4712" s="1" t="str">
        <f>IFERROR(__xludf.DUMMYFUNCTION("GOOGLETRANSLATE(D4712,""PT"",""EN"")"),"I believed but, but I didn't get results I wanted to be my bank")</f>
        <v>I believed but, but I didn't get results I wanted to be my bank</v>
      </c>
    </row>
    <row r="4713" ht="14.25" customHeight="1">
      <c r="A4713" s="1">
        <v>100.0</v>
      </c>
      <c r="B4713" s="1" t="s">
        <v>2106</v>
      </c>
      <c r="C4713" s="1">
        <v>10.0</v>
      </c>
      <c r="D4713" s="2" t="s">
        <v>2131</v>
      </c>
      <c r="E4713" s="1" t="str">
        <f>IFERROR(__xludf.DUMMYFUNCTION("GOOGLETRANSLATE(D4713,""PT"",""EN"")"),"Sicoob is modern is meets the needs of anyone within the profile of each.")</f>
        <v>Sicoob is modern is meets the needs of anyone within the profile of each.</v>
      </c>
    </row>
    <row r="4714" ht="14.25" customHeight="1">
      <c r="A4714" s="1">
        <v>100.0</v>
      </c>
      <c r="B4714" s="1" t="s">
        <v>2106</v>
      </c>
      <c r="C4714" s="1">
        <v>10.0</v>
      </c>
      <c r="D4714" s="2" t="s">
        <v>1059</v>
      </c>
      <c r="E4714" s="1" t="str">
        <f>IFERROR(__xludf.DUMMYFUNCTION("GOOGLETRANSLATE(D4714,""PT"",""EN"")"),"for")</f>
        <v>for</v>
      </c>
    </row>
    <row r="4715" ht="14.25" customHeight="1">
      <c r="A4715" s="1">
        <v>100.0</v>
      </c>
      <c r="B4715" s="1" t="s">
        <v>2106</v>
      </c>
      <c r="C4715" s="1">
        <v>10.0</v>
      </c>
      <c r="D4715" s="1" t="s">
        <v>6</v>
      </c>
      <c r="E4715" s="1"/>
    </row>
    <row r="4716" ht="14.25" customHeight="1">
      <c r="A4716" s="1">
        <v>100.0</v>
      </c>
      <c r="B4716" s="1" t="s">
        <v>2106</v>
      </c>
      <c r="C4716" s="1">
        <v>10.0</v>
      </c>
      <c r="D4716" s="1" t="s">
        <v>2132</v>
      </c>
      <c r="E4716" s="1" t="str">
        <f>IFERROR(__xludf.DUMMYFUNCTION("GOOGLETRANSLATE(D4716,""PT"",""EN"")"),"good")</f>
        <v>good</v>
      </c>
    </row>
    <row r="4717" ht="14.25" customHeight="1">
      <c r="A4717" s="1">
        <v>100.0</v>
      </c>
      <c r="B4717" s="1" t="s">
        <v>2106</v>
      </c>
      <c r="C4717" s="1">
        <v>9.0</v>
      </c>
      <c r="D4717" s="1" t="s">
        <v>6</v>
      </c>
      <c r="E4717" s="1"/>
    </row>
    <row r="4718" ht="14.25" customHeight="1">
      <c r="A4718" s="1">
        <v>100.0</v>
      </c>
      <c r="B4718" s="1" t="s">
        <v>2106</v>
      </c>
      <c r="C4718" s="1">
        <v>10.0</v>
      </c>
      <c r="D4718" s="1" t="s">
        <v>6</v>
      </c>
      <c r="E4718" s="1"/>
    </row>
    <row r="4719" ht="14.25" customHeight="1">
      <c r="A4719" s="1">
        <v>66.0</v>
      </c>
      <c r="B4719" s="1" t="s">
        <v>2106</v>
      </c>
      <c r="C4719" s="1">
        <v>7.0</v>
      </c>
      <c r="D4719" s="2" t="s">
        <v>2133</v>
      </c>
      <c r="E4719" s="1" t="str">
        <f>IFERROR(__xludf.DUMMYFUNCTION("GOOGLETRANSLATE(D4719,""PT"",""EN"")"),"It does not give credit card, does not distribute the leftovers, makes it difficult to rescue the social capital of those who want to end the account.")</f>
        <v>It does not give credit card, does not distribute the leftovers, makes it difficult to rescue the social capital of those who want to end the account.</v>
      </c>
    </row>
    <row r="4720" ht="14.25" customHeight="1">
      <c r="A4720" s="1">
        <v>100.0</v>
      </c>
      <c r="B4720" s="1" t="s">
        <v>2106</v>
      </c>
      <c r="C4720" s="1">
        <v>10.0</v>
      </c>
      <c r="D4720" s="2" t="s">
        <v>2134</v>
      </c>
      <c r="E4720" s="1" t="str">
        <f>IFERROR(__xludf.DUMMYFUNCTION("GOOGLETRANSLATE(D4720,""PT"",""EN"")"),"I am very pleased, ease of loan, feedback is excellent service")</f>
        <v>I am very pleased, ease of loan, feedback is excellent service</v>
      </c>
    </row>
    <row r="4721" ht="14.25" customHeight="1">
      <c r="A4721" s="1">
        <v>33.0</v>
      </c>
      <c r="B4721" s="1" t="s">
        <v>2106</v>
      </c>
      <c r="C4721" s="1">
        <v>0.0</v>
      </c>
      <c r="D4721" s="1" t="s">
        <v>6</v>
      </c>
      <c r="E4721" s="1"/>
    </row>
    <row r="4722" ht="14.25" customHeight="1">
      <c r="A4722" s="1">
        <v>100.0</v>
      </c>
      <c r="B4722" s="1" t="s">
        <v>2106</v>
      </c>
      <c r="C4722" s="1">
        <v>10.0</v>
      </c>
      <c r="D4722" s="1" t="s">
        <v>2135</v>
      </c>
      <c r="E4722" s="1" t="str">
        <f>IFERROR(__xludf.DUMMYFUNCTION("GOOGLETRANSLATE(D4722,""PT"",""EN"")"),"My DNA is Sicoob")</f>
        <v>My DNA is Sicoob</v>
      </c>
    </row>
    <row r="4723" ht="14.25" customHeight="1">
      <c r="A4723" s="1">
        <v>100.0</v>
      </c>
      <c r="B4723" s="1" t="s">
        <v>2106</v>
      </c>
      <c r="C4723" s="1">
        <v>9.0</v>
      </c>
      <c r="D4723" s="2" t="s">
        <v>2136</v>
      </c>
      <c r="E4723" s="1" t="str">
        <f>IFERROR(__xludf.DUMMYFUNCTION("GOOGLETRANSLATE(D4723,""PT"",""EN"")"),"It is a reliable institution is where we feel welcomed, unlike traditional banks. It offers all products that other financial institutions are less costly to your members. Easy access to solve any questions if you have. Very good to be Sicoobian!")</f>
        <v>It is a reliable institution is where we feel welcomed, unlike traditional banks. It offers all products that other financial institutions are less costly to your members. Easy access to solve any questions if you have. Very good to be Sicoobian!</v>
      </c>
    </row>
    <row r="4724" ht="14.25" customHeight="1">
      <c r="A4724" s="1">
        <v>100.0</v>
      </c>
      <c r="B4724" s="1" t="s">
        <v>2106</v>
      </c>
      <c r="C4724" s="1">
        <v>10.0</v>
      </c>
      <c r="D4724" s="1" t="s">
        <v>6</v>
      </c>
      <c r="E4724" s="1"/>
    </row>
    <row r="4725" ht="14.25" customHeight="1">
      <c r="A4725" s="1">
        <v>100.0</v>
      </c>
      <c r="B4725" s="1" t="s">
        <v>2106</v>
      </c>
      <c r="C4725" s="1">
        <v>10.0</v>
      </c>
      <c r="D4725" s="2" t="s">
        <v>2137</v>
      </c>
      <c r="E4725" s="1" t="str">
        <f>IFERROR(__xludf.DUMMYFUNCTION("GOOGLETRANSLATE(D4725,""PT"",""EN"")"),"Efficiency in service and cordiality to answer questions")</f>
        <v>Efficiency in service and cordiality to answer questions</v>
      </c>
    </row>
    <row r="4726" ht="14.25" customHeight="1">
      <c r="A4726" s="1">
        <v>100.0</v>
      </c>
      <c r="B4726" s="1" t="s">
        <v>2106</v>
      </c>
      <c r="C4726" s="1">
        <v>10.0</v>
      </c>
      <c r="D4726" s="2" t="s">
        <v>2138</v>
      </c>
      <c r="E4726" s="1" t="str">
        <f>IFERROR(__xludf.DUMMYFUNCTION("GOOGLETRANSLATE(D4726,""PT"",""EN"")"),"The account manager is at the agency.")</f>
        <v>The account manager is at the agency.</v>
      </c>
    </row>
    <row r="4727" ht="14.25" customHeight="1">
      <c r="A4727" s="1">
        <v>100.0</v>
      </c>
      <c r="B4727" s="1" t="s">
        <v>2106</v>
      </c>
      <c r="C4727" s="1">
        <v>10.0</v>
      </c>
      <c r="D4727" s="1" t="s">
        <v>6</v>
      </c>
      <c r="E4727" s="1"/>
    </row>
    <row r="4728" ht="14.25" customHeight="1">
      <c r="A4728" s="1">
        <v>100.0</v>
      </c>
      <c r="B4728" s="1" t="s">
        <v>2106</v>
      </c>
      <c r="C4728" s="1">
        <v>10.0</v>
      </c>
      <c r="D4728" s="2" t="s">
        <v>2139</v>
      </c>
      <c r="E4728" s="1" t="str">
        <f>IFERROR(__xludf.DUMMYFUNCTION("GOOGLETRANSLATE(D4728,""PT"",""EN"")"),"For over 20 years I am a client is cooperative is I have had a treatment is high quality service")</f>
        <v>For over 20 years I am a client is cooperative is I have had a treatment is high quality service</v>
      </c>
    </row>
    <row r="4729" ht="14.25" customHeight="1">
      <c r="A4729" s="1">
        <v>100.0</v>
      </c>
      <c r="B4729" s="1" t="s">
        <v>2106</v>
      </c>
      <c r="C4729" s="1">
        <v>10.0</v>
      </c>
      <c r="D4729" s="2" t="s">
        <v>2140</v>
      </c>
      <c r="E4729" s="1" t="str">
        <f>IFERROR(__xludf.DUMMYFUNCTION("GOOGLETRANSLATE(D4729,""PT"",""EN"")"),"Low interest on great service is many products for you is for your business")</f>
        <v>Low interest on great service is many products for you is for your business</v>
      </c>
    </row>
    <row r="4730" ht="14.25" customHeight="1">
      <c r="A4730" s="1">
        <v>33.0</v>
      </c>
      <c r="B4730" s="1" t="s">
        <v>2106</v>
      </c>
      <c r="C4730" s="1">
        <v>0.0</v>
      </c>
      <c r="D4730" s="1" t="s">
        <v>6</v>
      </c>
      <c r="E4730" s="1"/>
    </row>
    <row r="4731" ht="14.25" customHeight="1">
      <c r="A4731" s="1">
        <v>100.0</v>
      </c>
      <c r="B4731" s="1" t="s">
        <v>2106</v>
      </c>
      <c r="C4731" s="1">
        <v>10.0</v>
      </c>
      <c r="D4731" s="2" t="s">
        <v>2141</v>
      </c>
      <c r="E4731" s="1" t="str">
        <f>IFERROR(__xludf.DUMMYFUNCTION("GOOGLETRANSLATE(D4731,""PT"",""EN"")"),"Good service and agility.")</f>
        <v>Good service and agility.</v>
      </c>
    </row>
    <row r="4732" ht="14.25" customHeight="1">
      <c r="A4732" s="1">
        <v>33.0</v>
      </c>
      <c r="B4732" s="1" t="s">
        <v>2106</v>
      </c>
      <c r="C4732" s="1">
        <v>6.0</v>
      </c>
      <c r="D4732" s="1" t="s">
        <v>6</v>
      </c>
      <c r="E4732" s="1"/>
    </row>
    <row r="4733" ht="14.25" customHeight="1">
      <c r="A4733" s="1">
        <v>66.0</v>
      </c>
      <c r="B4733" s="1" t="s">
        <v>2106</v>
      </c>
      <c r="C4733" s="1">
        <v>8.0</v>
      </c>
      <c r="D4733" s="1" t="s">
        <v>6</v>
      </c>
      <c r="E4733" s="1"/>
    </row>
    <row r="4734" ht="14.25" customHeight="1">
      <c r="A4734" s="1">
        <v>33.0</v>
      </c>
      <c r="B4734" s="1" t="s">
        <v>2106</v>
      </c>
      <c r="C4734" s="1">
        <v>0.0</v>
      </c>
      <c r="D4734" s="2" t="s">
        <v>2142</v>
      </c>
      <c r="E4734" s="1" t="str">
        <f>IFERROR(__xludf.DUMMYFUNCTION("GOOGLETRANSLATE(D4734,""PT"",""EN"")"),"Weak bank, I have a credit limit in Bradesco of 50,000.00 Sicoob gave 0.00, I don't even want to know this bank, delete my email from this bank, account was closed")</f>
        <v>Weak bank, I have a credit limit in Bradesco of 50,000.00 Sicoob gave 0.00, I don't even want to know this bank, delete my email from this bank, account was closed</v>
      </c>
    </row>
    <row r="4735" ht="14.25" customHeight="1">
      <c r="A4735" s="1">
        <v>100.0</v>
      </c>
      <c r="B4735" s="1" t="s">
        <v>2106</v>
      </c>
      <c r="C4735" s="1">
        <v>10.0</v>
      </c>
      <c r="D4735" s="1" t="s">
        <v>6</v>
      </c>
      <c r="E4735" s="1"/>
    </row>
    <row r="4736" ht="14.25" customHeight="1">
      <c r="A4736" s="1">
        <v>100.0</v>
      </c>
      <c r="B4736" s="1" t="s">
        <v>2106</v>
      </c>
      <c r="C4736" s="1">
        <v>10.0</v>
      </c>
      <c r="D4736" s="1" t="s">
        <v>2143</v>
      </c>
      <c r="E4736" s="1" t="str">
        <f>IFERROR(__xludf.DUMMYFUNCTION("GOOGLETRANSLATE(D4736,""PT"",""EN"")"),"Great!!!")</f>
        <v>Great!!!</v>
      </c>
    </row>
    <row r="4737" ht="14.25" customHeight="1">
      <c r="A4737" s="1">
        <v>33.0</v>
      </c>
      <c r="B4737" s="1" t="s">
        <v>2106</v>
      </c>
      <c r="C4737" s="1">
        <v>0.0</v>
      </c>
      <c r="D4737" s="2" t="s">
        <v>2144</v>
      </c>
      <c r="E4737" s="1" t="str">
        <f>IFERROR(__xludf.DUMMYFUNCTION("GOOGLETRANSLATE(D4737,""PT"",""EN"")"),"Horrible, give you a boundless credit card, has no loan limit, ie note 0")</f>
        <v>Horrible, give you a boundless credit card, has no loan limit, ie note 0</v>
      </c>
    </row>
    <row r="4738" ht="14.25" customHeight="1">
      <c r="A4738" s="1">
        <v>66.0</v>
      </c>
      <c r="B4738" s="1" t="s">
        <v>2106</v>
      </c>
      <c r="C4738" s="1">
        <v>8.0</v>
      </c>
      <c r="D4738" s="1" t="s">
        <v>718</v>
      </c>
      <c r="E4738" s="1" t="str">
        <f>IFERROR(__xludf.DUMMYFUNCTION("GOOGLETRANSLATE(D4738,""PT"",""EN"")"),"agility")</f>
        <v>agility</v>
      </c>
    </row>
    <row r="4739" ht="14.25" customHeight="1">
      <c r="A4739" s="1">
        <v>100.0</v>
      </c>
      <c r="B4739" s="1" t="s">
        <v>2106</v>
      </c>
      <c r="C4739" s="1">
        <v>10.0</v>
      </c>
      <c r="D4739" s="1" t="s">
        <v>87</v>
      </c>
      <c r="E4739" s="1" t="str">
        <f>IFERROR(__xludf.DUMMYFUNCTION("GOOGLETRANSLATE(D4739,""PT"",""EN"")"),"Personalized service")</f>
        <v>Personalized service</v>
      </c>
    </row>
    <row r="4740" ht="14.25" customHeight="1">
      <c r="A4740" s="1">
        <v>100.0</v>
      </c>
      <c r="B4740" s="1" t="s">
        <v>2106</v>
      </c>
      <c r="C4740" s="1">
        <v>10.0</v>
      </c>
      <c r="D4740" s="1" t="s">
        <v>6</v>
      </c>
      <c r="E4740" s="1"/>
    </row>
    <row r="4741" ht="14.25" customHeight="1">
      <c r="A4741" s="1">
        <v>100.0</v>
      </c>
      <c r="B4741" s="1" t="s">
        <v>2106</v>
      </c>
      <c r="C4741" s="1">
        <v>10.0</v>
      </c>
      <c r="D4741" s="1" t="s">
        <v>6</v>
      </c>
      <c r="E4741" s="1"/>
    </row>
    <row r="4742" ht="14.25" customHeight="1">
      <c r="A4742" s="1">
        <v>33.0</v>
      </c>
      <c r="B4742" s="1" t="s">
        <v>2106</v>
      </c>
      <c r="C4742" s="1">
        <v>3.0</v>
      </c>
      <c r="D4742" s="2" t="s">
        <v>2145</v>
      </c>
      <c r="E4742" s="1" t="str">
        <f>IFERROR(__xludf.DUMMYFUNCTION("GOOGLETRANSLATE(D4742,""PT"",""EN"")"),"I can't contact Sicoob Judiciary of BSB")</f>
        <v>I can't contact Sicoob Judiciary of BSB</v>
      </c>
    </row>
    <row r="4743" ht="14.25" customHeight="1">
      <c r="A4743" s="1">
        <v>100.0</v>
      </c>
      <c r="B4743" s="1" t="s">
        <v>2106</v>
      </c>
      <c r="C4743" s="1">
        <v>9.0</v>
      </c>
      <c r="D4743" s="1" t="s">
        <v>6</v>
      </c>
      <c r="E4743" s="1"/>
    </row>
    <row r="4744" ht="14.25" customHeight="1">
      <c r="A4744" s="1">
        <v>100.0</v>
      </c>
      <c r="B4744" s="1" t="s">
        <v>2106</v>
      </c>
      <c r="C4744" s="1">
        <v>9.0</v>
      </c>
      <c r="D4744" s="1" t="s">
        <v>6</v>
      </c>
      <c r="E4744" s="1"/>
    </row>
    <row r="4745" ht="14.25" customHeight="1">
      <c r="A4745" s="1">
        <v>100.0</v>
      </c>
      <c r="B4745" s="1" t="s">
        <v>2106</v>
      </c>
      <c r="C4745" s="1">
        <v>10.0</v>
      </c>
      <c r="D4745" s="1" t="s">
        <v>6</v>
      </c>
      <c r="E4745" s="1"/>
    </row>
    <row r="4746" ht="14.25" customHeight="1">
      <c r="A4746" s="1">
        <v>33.0</v>
      </c>
      <c r="B4746" s="1" t="s">
        <v>2106</v>
      </c>
      <c r="C4746" s="1">
        <v>0.0</v>
      </c>
      <c r="D4746" s="2" t="s">
        <v>2146</v>
      </c>
      <c r="E4746" s="1" t="str">
        <f>IFERROR(__xludf.DUMMYFUNCTION("GOOGLETRANSLATE(D4746,""PT"",""EN"")"),"I have credit card but there is no balance")</f>
        <v>I have credit card but there is no balance</v>
      </c>
    </row>
    <row r="4747" ht="14.25" customHeight="1">
      <c r="A4747" s="1">
        <v>33.0</v>
      </c>
      <c r="B4747" s="1" t="s">
        <v>2106</v>
      </c>
      <c r="C4747" s="1">
        <v>0.0</v>
      </c>
      <c r="D4747" s="2" t="s">
        <v>2147</v>
      </c>
      <c r="E4747" s="1" t="str">
        <f>IFERROR(__xludf.DUMMYFUNCTION("GOOGLETRANSLATE(D4747,""PT"",""EN"")"),"Unlucky limit")</f>
        <v>Unlucky limit</v>
      </c>
    </row>
    <row r="4748" ht="14.25" customHeight="1">
      <c r="A4748" s="1">
        <v>100.0</v>
      </c>
      <c r="B4748" s="1" t="s">
        <v>2106</v>
      </c>
      <c r="C4748" s="1">
        <v>10.0</v>
      </c>
      <c r="D4748" s="1" t="s">
        <v>2148</v>
      </c>
      <c r="E4748" s="1" t="str">
        <f>IFERROR(__xludf.DUMMYFUNCTION("GOOGLETRANSLATE(D4748,""PT"",""EN"")"),"Excellent bank")</f>
        <v>Excellent bank</v>
      </c>
    </row>
    <row r="4749" ht="14.25" customHeight="1">
      <c r="A4749" s="1">
        <v>100.0</v>
      </c>
      <c r="B4749" s="1" t="s">
        <v>2106</v>
      </c>
      <c r="C4749" s="1">
        <v>10.0</v>
      </c>
      <c r="D4749" s="1" t="s">
        <v>6</v>
      </c>
      <c r="E4749" s="1"/>
    </row>
    <row r="4750" ht="14.25" customHeight="1">
      <c r="A4750" s="1">
        <v>66.0</v>
      </c>
      <c r="B4750" s="1" t="s">
        <v>2106</v>
      </c>
      <c r="C4750" s="1">
        <v>8.0</v>
      </c>
      <c r="D4750" s="1" t="s">
        <v>6</v>
      </c>
      <c r="E4750" s="1"/>
    </row>
    <row r="4751" ht="14.25" customHeight="1">
      <c r="A4751" s="1">
        <v>100.0</v>
      </c>
      <c r="B4751" s="1" t="s">
        <v>2106</v>
      </c>
      <c r="C4751" s="1">
        <v>10.0</v>
      </c>
      <c r="D4751" s="1" t="s">
        <v>6</v>
      </c>
      <c r="E4751" s="1"/>
    </row>
    <row r="4752" ht="14.25" customHeight="1">
      <c r="A4752" s="1">
        <v>33.0</v>
      </c>
      <c r="B4752" s="1" t="s">
        <v>2106</v>
      </c>
      <c r="C4752" s="1">
        <v>4.0</v>
      </c>
      <c r="D4752" s="2" t="s">
        <v>2149</v>
      </c>
      <c r="E4752" s="1" t="str">
        <f>IFERROR(__xludf.DUMMYFUNCTION("GOOGLETRANSLATE(D4752,""PT"",""EN"")"),"Credit release")</f>
        <v>Credit release</v>
      </c>
    </row>
    <row r="4753" ht="14.25" customHeight="1">
      <c r="A4753" s="1">
        <v>66.0</v>
      </c>
      <c r="B4753" s="1" t="s">
        <v>2106</v>
      </c>
      <c r="C4753" s="1">
        <v>7.0</v>
      </c>
      <c r="D4753" s="1" t="s">
        <v>6</v>
      </c>
      <c r="E4753" s="1"/>
    </row>
    <row r="4754" ht="14.25" customHeight="1">
      <c r="A4754" s="1">
        <v>33.0</v>
      </c>
      <c r="B4754" s="1" t="s">
        <v>2106</v>
      </c>
      <c r="C4754" s="1">
        <v>6.0</v>
      </c>
      <c r="D4754" s="1" t="s">
        <v>6</v>
      </c>
      <c r="E4754" s="1"/>
    </row>
    <row r="4755" ht="14.25" customHeight="1">
      <c r="A4755" s="1">
        <v>100.0</v>
      </c>
      <c r="B4755" s="1" t="s">
        <v>2106</v>
      </c>
      <c r="C4755" s="1">
        <v>10.0</v>
      </c>
      <c r="D4755" s="2" t="s">
        <v>2150</v>
      </c>
      <c r="E4755" s="1" t="str">
        <f>IFERROR(__xludf.DUMMYFUNCTION("GOOGLETRANSLATE(D4755,""PT"",""EN"")"),"I am a participant in cooperativism to decadas is always found the best options in Sicoob")</f>
        <v>I am a participant in cooperativism to decadas is always found the best options in Sicoob</v>
      </c>
    </row>
    <row r="4756" ht="14.25" customHeight="1">
      <c r="A4756" s="1">
        <v>100.0</v>
      </c>
      <c r="B4756" s="1" t="s">
        <v>2106</v>
      </c>
      <c r="C4756" s="1">
        <v>10.0</v>
      </c>
      <c r="D4756" s="1" t="s">
        <v>2151</v>
      </c>
      <c r="E4756" s="1" t="str">
        <f>IFERROR(__xludf.DUMMYFUNCTION("GOOGLETRANSLATE(D4756,""PT"",""EN"")"),"Contentment with good service.")</f>
        <v>Contentment with good service.</v>
      </c>
    </row>
    <row r="4757" ht="14.25" customHeight="1">
      <c r="A4757" s="1">
        <v>33.0</v>
      </c>
      <c r="B4757" s="1" t="s">
        <v>2106</v>
      </c>
      <c r="C4757" s="1">
        <v>5.0</v>
      </c>
      <c r="D4757" s="1" t="s">
        <v>6</v>
      </c>
      <c r="E4757" s="1"/>
    </row>
    <row r="4758" ht="14.25" customHeight="1">
      <c r="A4758" s="1">
        <v>33.0</v>
      </c>
      <c r="B4758" s="1" t="s">
        <v>2106</v>
      </c>
      <c r="C4758" s="1">
        <v>0.0</v>
      </c>
      <c r="D4758" s="2" t="s">
        <v>2152</v>
      </c>
      <c r="E4758" s="1" t="str">
        <f>IFERROR(__xludf.DUMMYFUNCTION("GOOGLETRANSLATE(D4758,""PT"",""EN"")"),"Why I opened the account of me gave the card with a limit of 1,000.00 reais this is how the card arrived was zero the limit without use")</f>
        <v>Why I opened the account of me gave the card with a limit of 1,000.00 reais this is how the card arrived was zero the limit without use</v>
      </c>
    </row>
    <row r="4759" ht="14.25" customHeight="1">
      <c r="A4759" s="1">
        <v>66.0</v>
      </c>
      <c r="B4759" s="1" t="s">
        <v>2106</v>
      </c>
      <c r="C4759" s="1">
        <v>8.0</v>
      </c>
      <c r="D4759" s="1" t="s">
        <v>6</v>
      </c>
      <c r="E4759" s="1"/>
    </row>
    <row r="4760" ht="14.25" customHeight="1">
      <c r="A4760" s="1">
        <v>100.0</v>
      </c>
      <c r="B4760" s="1" t="s">
        <v>2106</v>
      </c>
      <c r="C4760" s="1">
        <v>10.0</v>
      </c>
      <c r="D4760" s="1" t="s">
        <v>37</v>
      </c>
      <c r="E4760" s="1" t="str">
        <f>IFERROR(__xludf.DUMMYFUNCTION("GOOGLETRANSLATE(D4760,""PT"",""EN"")"),"Great service")</f>
        <v>Great service</v>
      </c>
    </row>
    <row r="4761" ht="14.25" customHeight="1">
      <c r="A4761" s="1">
        <v>33.0</v>
      </c>
      <c r="B4761" s="1" t="s">
        <v>2106</v>
      </c>
      <c r="C4761" s="1">
        <v>1.0</v>
      </c>
      <c r="D4761" s="1" t="s">
        <v>6</v>
      </c>
      <c r="E4761" s="1"/>
    </row>
    <row r="4762" ht="14.25" customHeight="1">
      <c r="A4762" s="1">
        <v>100.0</v>
      </c>
      <c r="B4762" s="1" t="s">
        <v>2106</v>
      </c>
      <c r="C4762" s="1">
        <v>10.0</v>
      </c>
      <c r="D4762" s="1" t="s">
        <v>6</v>
      </c>
      <c r="E4762" s="1"/>
    </row>
    <row r="4763" ht="14.25" customHeight="1">
      <c r="A4763" s="1">
        <v>33.0</v>
      </c>
      <c r="B4763" s="1" t="s">
        <v>2106</v>
      </c>
      <c r="C4763" s="1">
        <v>2.0</v>
      </c>
      <c r="D4763" s="1" t="s">
        <v>2153</v>
      </c>
      <c r="E4763" s="1" t="str">
        <f>IFERROR(__xludf.DUMMYFUNCTION("GOOGLETRANSLATE(D4763,""PT"",""EN"")"),"Charges of some default in a psychological aggressive way, management of posts without autonomy")</f>
        <v>Charges of some default in a psychological aggressive way, management of posts without autonomy</v>
      </c>
    </row>
    <row r="4764" ht="14.25" customHeight="1">
      <c r="A4764" s="1">
        <v>100.0</v>
      </c>
      <c r="B4764" s="1" t="s">
        <v>2106</v>
      </c>
      <c r="C4764" s="1">
        <v>9.0</v>
      </c>
      <c r="D4764" s="1" t="s">
        <v>2154</v>
      </c>
      <c r="E4764" s="1" t="str">
        <f>IFERROR(__xludf.DUMMYFUNCTION("GOOGLETRANSLATE(D4764,""PT"",""EN"")"),"Attentive service")</f>
        <v>Attentive service</v>
      </c>
    </row>
    <row r="4765" ht="14.25" customHeight="1">
      <c r="A4765" s="1">
        <v>100.0</v>
      </c>
      <c r="B4765" s="1" t="s">
        <v>2106</v>
      </c>
      <c r="C4765" s="1">
        <v>10.0</v>
      </c>
      <c r="D4765" s="1" t="s">
        <v>6</v>
      </c>
      <c r="E4765" s="1"/>
    </row>
    <row r="4766" ht="14.25" customHeight="1">
      <c r="A4766" s="1">
        <v>66.0</v>
      </c>
      <c r="B4766" s="1" t="s">
        <v>2106</v>
      </c>
      <c r="C4766" s="1">
        <v>8.0</v>
      </c>
      <c r="D4766" s="2" t="s">
        <v>2155</v>
      </c>
      <c r="E4766" s="1" t="str">
        <f>IFERROR(__xludf.DUMMYFUNCTION("GOOGLETRANSLATE(D4766,""PT"",""EN"")"),"Still need to improve at rates is service in the app")</f>
        <v>Still need to improve at rates is service in the app</v>
      </c>
    </row>
    <row r="4767" ht="14.25" customHeight="1">
      <c r="A4767" s="1">
        <v>100.0</v>
      </c>
      <c r="B4767" s="1" t="s">
        <v>2106</v>
      </c>
      <c r="C4767" s="1">
        <v>10.0</v>
      </c>
      <c r="D4767" s="1" t="s">
        <v>2156</v>
      </c>
      <c r="E4767" s="1" t="str">
        <f>IFERROR(__xludf.DUMMYFUNCTION("GOOGLETRANSLATE(D4767,""PT"",""EN"")"),"Excellence in service. Lower market rates")</f>
        <v>Excellence in service. Lower market rates</v>
      </c>
    </row>
    <row r="4768" ht="14.25" customHeight="1">
      <c r="A4768" s="1">
        <v>33.0</v>
      </c>
      <c r="B4768" s="1" t="s">
        <v>2106</v>
      </c>
      <c r="C4768" s="1">
        <v>1.0</v>
      </c>
      <c r="D4768" s="2" t="s">
        <v>2157</v>
      </c>
      <c r="E4768" s="1" t="str">
        <f>IFERROR(__xludf.DUMMYFUNCTION("GOOGLETRANSLATE(D4768,""PT"",""EN"")"),"negotiation")</f>
        <v>negotiation</v>
      </c>
    </row>
    <row r="4769" ht="14.25" customHeight="1">
      <c r="A4769" s="1">
        <v>100.0</v>
      </c>
      <c r="B4769" s="1" t="s">
        <v>2106</v>
      </c>
      <c r="C4769" s="1">
        <v>10.0</v>
      </c>
      <c r="D4769" s="1" t="s">
        <v>2158</v>
      </c>
      <c r="E4769" s="1" t="str">
        <f>IFERROR(__xludf.DUMMYFUNCTION("GOOGLETRANSLATE(D4769,""PT"",""EN"")"),"Thanks")</f>
        <v>Thanks</v>
      </c>
    </row>
    <row r="4770" ht="14.25" customHeight="1">
      <c r="A4770" s="1">
        <v>100.0</v>
      </c>
      <c r="B4770" s="1" t="s">
        <v>2106</v>
      </c>
      <c r="C4770" s="1">
        <v>10.0</v>
      </c>
      <c r="D4770" s="1" t="s">
        <v>20</v>
      </c>
      <c r="E4770" s="1" t="str">
        <f>IFERROR(__xludf.DUMMYFUNCTION("GOOGLETRANSLATE(D4770,""PT"",""EN"")"),"Very good")</f>
        <v>Very good</v>
      </c>
    </row>
    <row r="4771" ht="14.25" customHeight="1">
      <c r="A4771" s="1">
        <v>100.0</v>
      </c>
      <c r="B4771" s="1" t="s">
        <v>2106</v>
      </c>
      <c r="C4771" s="1">
        <v>9.0</v>
      </c>
      <c r="D4771" s="1" t="s">
        <v>6</v>
      </c>
      <c r="E4771" s="1"/>
    </row>
    <row r="4772" ht="14.25" customHeight="1">
      <c r="A4772" s="1">
        <v>33.0</v>
      </c>
      <c r="B4772" s="1" t="s">
        <v>2106</v>
      </c>
      <c r="C4772" s="1">
        <v>6.0</v>
      </c>
      <c r="D4772" s="2" t="s">
        <v>2159</v>
      </c>
      <c r="E4772" s="1" t="str">
        <f>IFERROR(__xludf.DUMMYFUNCTION("GOOGLETRANSLATE(D4772,""PT"",""EN"")"),"I just think you should have more credits to outsourced example, borrowing limit does not count, 13 addeds ....")</f>
        <v>I just think you should have more credits to outsourced example, borrowing limit does not count, 13 addeds ....</v>
      </c>
    </row>
    <row r="4773" ht="14.25" customHeight="1">
      <c r="A4773" s="1">
        <v>100.0</v>
      </c>
      <c r="B4773" s="1" t="s">
        <v>2106</v>
      </c>
      <c r="C4773" s="1">
        <v>9.0</v>
      </c>
      <c r="D4773" s="2" t="s">
        <v>2160</v>
      </c>
      <c r="E4773" s="1" t="str">
        <f>IFERROR(__xludf.DUMMYFUNCTION("GOOGLETRANSLATE(D4773,""PT"",""EN"")"),"Company would be its professionals serve with agility and safety.")</f>
        <v>Company would be its professionals serve with agility and safety.</v>
      </c>
    </row>
    <row r="4774" ht="14.25" customHeight="1">
      <c r="A4774" s="1">
        <v>100.0</v>
      </c>
      <c r="B4774" s="1" t="s">
        <v>2106</v>
      </c>
      <c r="C4774" s="1">
        <v>10.0</v>
      </c>
      <c r="D4774" s="1" t="s">
        <v>6</v>
      </c>
      <c r="E4774" s="1"/>
    </row>
    <row r="4775" ht="14.25" customHeight="1">
      <c r="A4775" s="1">
        <v>100.0</v>
      </c>
      <c r="B4775" s="1" t="s">
        <v>2106</v>
      </c>
      <c r="C4775" s="1">
        <v>10.0</v>
      </c>
      <c r="D4775" s="1" t="s">
        <v>6</v>
      </c>
      <c r="E4775" s="1"/>
    </row>
    <row r="4776" ht="14.25" customHeight="1">
      <c r="A4776" s="1">
        <v>100.0</v>
      </c>
      <c r="B4776" s="1" t="s">
        <v>2106</v>
      </c>
      <c r="C4776" s="1">
        <v>10.0</v>
      </c>
      <c r="D4776" s="1" t="s">
        <v>9</v>
      </c>
      <c r="E4776" s="1" t="str">
        <f>IFERROR(__xludf.DUMMYFUNCTION("GOOGLETRANSLATE(D4776,""PT"",""EN"")"),"10")</f>
        <v>10</v>
      </c>
    </row>
    <row r="4777" ht="14.25" customHeight="1">
      <c r="A4777" s="1">
        <v>66.0</v>
      </c>
      <c r="B4777" s="1" t="s">
        <v>2106</v>
      </c>
      <c r="C4777" s="1">
        <v>8.0</v>
      </c>
      <c r="D4777" s="1" t="s">
        <v>6</v>
      </c>
      <c r="E4777" s="1"/>
    </row>
    <row r="4778" ht="14.25" customHeight="1">
      <c r="A4778" s="1">
        <v>33.0</v>
      </c>
      <c r="B4778" s="1" t="s">
        <v>2106</v>
      </c>
      <c r="C4778" s="1">
        <v>0.0</v>
      </c>
      <c r="D4778" s="1" t="s">
        <v>6</v>
      </c>
      <c r="E4778" s="1"/>
    </row>
    <row r="4779" ht="14.25" customHeight="1">
      <c r="A4779" s="1">
        <v>100.0</v>
      </c>
      <c r="B4779" s="1" t="s">
        <v>2106</v>
      </c>
      <c r="C4779" s="1">
        <v>10.0</v>
      </c>
      <c r="D4779" s="1" t="s">
        <v>2161</v>
      </c>
      <c r="E4779" s="1" t="str">
        <f>IFERROR(__xludf.DUMMYFUNCTION("GOOGLETRANSLATE(D4779,""PT"",""EN"")"),"Personalized service!")</f>
        <v>Personalized service!</v>
      </c>
    </row>
    <row r="4780" ht="14.25" customHeight="1">
      <c r="A4780" s="1">
        <v>33.0</v>
      </c>
      <c r="B4780" s="1" t="s">
        <v>2106</v>
      </c>
      <c r="C4780" s="1">
        <v>0.0</v>
      </c>
      <c r="D4780" s="2" t="s">
        <v>2162</v>
      </c>
      <c r="E4780" s="1" t="str">
        <f>IFERROR(__xludf.DUMMYFUNCTION("GOOGLETRANSLATE(D4780,""PT"",""EN"")"),"Notwithstanding having to withdraw money to pay taxes such as IPVA, traffic fines, etc., due to the absence of agreements with these entities, also the automatic debit requests for simple accounts, such as internet providers, etc ... I have to resort to A"&amp;"ccount of my wife (santander). On two distinct occasions I had to make a pre-restraint of homes for holidays is not successful, simply the card was refused, I have to resort to other people to pay with their cards, I make the transfer to them. This when t"&amp;"here was no more time is the reservation was canceled! At least humiliating")</f>
        <v>Notwithstanding having to withdraw money to pay taxes such as IPVA, traffic fines, etc., due to the absence of agreements with these entities, also the automatic debit requests for simple accounts, such as internet providers, etc ... I have to resort to Account of my wife (santander). On two distinct occasions I had to make a pre-restraint of homes for holidays is not successful, simply the card was refused, I have to resort to other people to pay with their cards, I make the transfer to them. This when there was no more time is the reservation was canceled! At least humiliating</v>
      </c>
    </row>
    <row r="4781" ht="14.25" customHeight="1">
      <c r="A4781" s="1">
        <v>33.0</v>
      </c>
      <c r="B4781" s="1" t="s">
        <v>2106</v>
      </c>
      <c r="C4781" s="1">
        <v>0.0</v>
      </c>
      <c r="D4781" s="1" t="s">
        <v>6</v>
      </c>
      <c r="E4781" s="1"/>
    </row>
    <row r="4782" ht="14.25" customHeight="1">
      <c r="A4782" s="1">
        <v>100.0</v>
      </c>
      <c r="B4782" s="1" t="s">
        <v>2106</v>
      </c>
      <c r="C4782" s="1">
        <v>10.0</v>
      </c>
      <c r="D4782" s="1" t="s">
        <v>6</v>
      </c>
      <c r="E4782" s="1"/>
    </row>
    <row r="4783" ht="14.25" customHeight="1">
      <c r="A4783" s="1">
        <v>33.0</v>
      </c>
      <c r="B4783" s="1" t="s">
        <v>2106</v>
      </c>
      <c r="C4783" s="1">
        <v>0.0</v>
      </c>
      <c r="D4783" s="2" t="s">
        <v>2163</v>
      </c>
      <c r="E4783" s="1" t="str">
        <f>IFERROR(__xludf.DUMMYFUNCTION("GOOGLETRANSLATE(D4783,""PT"",""EN"")"),"Debit card the Brazilian does not like the grade is 0 ok")</f>
        <v>Debit card the Brazilian does not like the grade is 0 ok</v>
      </c>
    </row>
    <row r="4784" ht="14.25" customHeight="1">
      <c r="A4784" s="1">
        <v>100.0</v>
      </c>
      <c r="B4784" s="1" t="s">
        <v>2106</v>
      </c>
      <c r="C4784" s="1">
        <v>10.0</v>
      </c>
      <c r="D4784" s="1" t="s">
        <v>2164</v>
      </c>
      <c r="E4784" s="1" t="str">
        <f>IFERROR(__xludf.DUMMYFUNCTION("GOOGLETRANSLATE(D4784,""PT"",""EN"")"),"The Cooperative of My Life")</f>
        <v>The Cooperative of My Life</v>
      </c>
    </row>
    <row r="4785" ht="14.25" customHeight="1">
      <c r="A4785" s="1">
        <v>100.0</v>
      </c>
      <c r="B4785" s="1" t="s">
        <v>2106</v>
      </c>
      <c r="C4785" s="1">
        <v>10.0</v>
      </c>
      <c r="D4785" s="2" t="s">
        <v>2165</v>
      </c>
      <c r="E4785" s="1" t="str">
        <f>IFERROR(__xludf.DUMMYFUNCTION("GOOGLETRANSLATE(D4785,""PT"",""EN"")"),"Personalized, agile and direct service!")</f>
        <v>Personalized, agile and direct service!</v>
      </c>
    </row>
    <row r="4786" ht="14.25" customHeight="1">
      <c r="A4786" s="1">
        <v>100.0</v>
      </c>
      <c r="B4786" s="1" t="s">
        <v>2106</v>
      </c>
      <c r="C4786" s="1">
        <v>10.0</v>
      </c>
      <c r="D4786" s="1" t="s">
        <v>6</v>
      </c>
      <c r="E4786" s="1"/>
    </row>
    <row r="4787" ht="14.25" customHeight="1">
      <c r="A4787" s="1">
        <v>100.0</v>
      </c>
      <c r="B4787" s="1" t="s">
        <v>2106</v>
      </c>
      <c r="C4787" s="1">
        <v>9.0</v>
      </c>
      <c r="D4787" s="1" t="s">
        <v>6</v>
      </c>
      <c r="E4787" s="1"/>
    </row>
    <row r="4788" ht="14.25" customHeight="1">
      <c r="A4788" s="1">
        <v>100.0</v>
      </c>
      <c r="B4788" s="1" t="s">
        <v>2106</v>
      </c>
      <c r="C4788" s="1">
        <v>10.0</v>
      </c>
      <c r="D4788" s="2" t="s">
        <v>2166</v>
      </c>
      <c r="E4788" s="1" t="str">
        <f>IFERROR(__xludf.DUMMYFUNCTION("GOOGLETRANSLATE(D4788,""PT"",""EN"")"),"Service of the manager and employees")</f>
        <v>Service of the manager and employees</v>
      </c>
    </row>
    <row r="4789" ht="14.25" customHeight="1">
      <c r="A4789" s="1">
        <v>100.0</v>
      </c>
      <c r="B4789" s="1" t="s">
        <v>2106</v>
      </c>
      <c r="C4789" s="1">
        <v>10.0</v>
      </c>
      <c r="D4789" s="1" t="s">
        <v>6</v>
      </c>
      <c r="E4789" s="1"/>
    </row>
    <row r="4790" ht="14.25" customHeight="1">
      <c r="A4790" s="1">
        <v>66.0</v>
      </c>
      <c r="B4790" s="1" t="s">
        <v>2106</v>
      </c>
      <c r="C4790" s="1">
        <v>8.0</v>
      </c>
      <c r="D4790" s="2" t="s">
        <v>2167</v>
      </c>
      <c r="E4790" s="1" t="str">
        <f>IFERROR(__xludf.DUMMYFUNCTION("GOOGLETRANSLATE(D4790,""PT"",""EN"")"),"Bank with good fees, the only reason for 10 is that my agency is in a very complicated place of access")</f>
        <v>Bank with good fees, the only reason for 10 is that my agency is in a very complicated place of access</v>
      </c>
    </row>
    <row r="4791" ht="14.25" customHeight="1">
      <c r="A4791" s="1">
        <v>100.0</v>
      </c>
      <c r="B4791" s="1" t="s">
        <v>2106</v>
      </c>
      <c r="C4791" s="1">
        <v>9.0</v>
      </c>
      <c r="D4791" s="1" t="s">
        <v>62</v>
      </c>
      <c r="E4791" s="1" t="str">
        <f>IFERROR(__xludf.DUMMYFUNCTION("GOOGLETRANSLATE(D4791,""PT"",""EN"")"),"Good service")</f>
        <v>Good service</v>
      </c>
    </row>
    <row r="4792" ht="14.25" customHeight="1">
      <c r="A4792" s="1">
        <v>100.0</v>
      </c>
      <c r="B4792" s="1" t="s">
        <v>2106</v>
      </c>
      <c r="C4792" s="1">
        <v>9.0</v>
      </c>
      <c r="D4792" s="1" t="s">
        <v>62</v>
      </c>
      <c r="E4792" s="1" t="str">
        <f>IFERROR(__xludf.DUMMYFUNCTION("GOOGLETRANSLATE(D4792,""PT"",""EN"")"),"Good service")</f>
        <v>Good service</v>
      </c>
    </row>
    <row r="4793" ht="14.25" customHeight="1">
      <c r="A4793" s="1">
        <v>100.0</v>
      </c>
      <c r="B4793" s="1" t="s">
        <v>2106</v>
      </c>
      <c r="C4793" s="1">
        <v>10.0</v>
      </c>
      <c r="D4793" s="2" t="s">
        <v>2168</v>
      </c>
      <c r="E4793" s="1" t="str">
        <f>IFERROR(__xludf.DUMMYFUNCTION("GOOGLETRANSLATE(D4793,""PT"",""EN"")"),"Service is confidence")</f>
        <v>Service is confidence</v>
      </c>
    </row>
    <row r="4794" ht="14.25" customHeight="1">
      <c r="A4794" s="1">
        <v>100.0</v>
      </c>
      <c r="B4794" s="1" t="s">
        <v>2106</v>
      </c>
      <c r="C4794" s="1">
        <v>9.0</v>
      </c>
      <c r="D4794" s="1" t="s">
        <v>62</v>
      </c>
      <c r="E4794" s="1" t="str">
        <f>IFERROR(__xludf.DUMMYFUNCTION("GOOGLETRANSLATE(D4794,""PT"",""EN"")"),"Good service")</f>
        <v>Good service</v>
      </c>
    </row>
    <row r="4795" ht="14.25" customHeight="1">
      <c r="A4795" s="1">
        <v>100.0</v>
      </c>
      <c r="B4795" s="1" t="s">
        <v>2106</v>
      </c>
      <c r="C4795" s="1">
        <v>10.0</v>
      </c>
      <c r="D4795" s="1" t="s">
        <v>6</v>
      </c>
      <c r="E4795" s="1"/>
    </row>
    <row r="4796" ht="14.25" customHeight="1">
      <c r="A4796" s="1">
        <v>100.0</v>
      </c>
      <c r="B4796" s="1" t="s">
        <v>2106</v>
      </c>
      <c r="C4796" s="1">
        <v>10.0</v>
      </c>
      <c r="D4796" s="1" t="s">
        <v>2169</v>
      </c>
      <c r="E4796" s="1" t="str">
        <f>IFERROR(__xludf.DUMMYFUNCTION("GOOGLETRANSLATE(D4796,""PT"",""EN"")"),"Very good relationship")</f>
        <v>Very good relationship</v>
      </c>
    </row>
    <row r="4797" ht="14.25" customHeight="1">
      <c r="A4797" s="1">
        <v>100.0</v>
      </c>
      <c r="B4797" s="1" t="s">
        <v>2106</v>
      </c>
      <c r="C4797" s="1">
        <v>10.0</v>
      </c>
      <c r="D4797" s="2" t="s">
        <v>2170</v>
      </c>
      <c r="E4797" s="1" t="str">
        <f>IFERROR(__xludf.DUMMYFUNCTION("GOOGLETRANSLATE(D4797,""PT"",""EN"")"),"The good service, seriously, is ready to meet customer needs.")</f>
        <v>The good service, seriously, is ready to meet customer needs.</v>
      </c>
    </row>
    <row r="4798" ht="14.25" customHeight="1">
      <c r="A4798" s="1">
        <v>66.0</v>
      </c>
      <c r="B4798" s="1" t="s">
        <v>2106</v>
      </c>
      <c r="C4798" s="1">
        <v>8.0</v>
      </c>
      <c r="D4798" s="2" t="s">
        <v>2171</v>
      </c>
      <c r="E4798" s="1" t="str">
        <f>IFERROR(__xludf.DUMMYFUNCTION("GOOGLETRANSLATE(D4798,""PT"",""EN"")"),"Positive we have the feeling of belonging, the possibility of lower interest rates is the kind care of most of the team. Of negative, communication. Previously, we talked straight with the agency, obtaining immediate solutions. In recent times, communicat"&amp;"ion with Sicoob has been bad, as messages are slow to be answered. This is when the answers come.")</f>
        <v>Positive we have the feeling of belonging, the possibility of lower interest rates is the kind care of most of the team. Of negative, communication. Previously, we talked straight with the agency, obtaining immediate solutions. In recent times, communication with Sicoob has been bad, as messages are slow to be answered. This is when the answers come.</v>
      </c>
    </row>
    <row r="4799" ht="14.25" customHeight="1">
      <c r="A4799" s="1">
        <v>33.0</v>
      </c>
      <c r="B4799" s="1" t="s">
        <v>2106</v>
      </c>
      <c r="C4799" s="1">
        <v>0.0</v>
      </c>
      <c r="D4799" s="2" t="s">
        <v>2172</v>
      </c>
      <c r="E4799" s="1" t="str">
        <f>IFERROR(__xludf.DUMMYFUNCTION("GOOGLETRANSLATE(D4799,""PT"",""EN"")"),"Sipag Rental Reduction Promise is a ticket tariff that has not reversed so far")</f>
        <v>Sipag Rental Reduction Promise is a ticket tariff that has not reversed so far</v>
      </c>
    </row>
    <row r="4800" ht="14.25" customHeight="1">
      <c r="A4800" s="1">
        <v>33.0</v>
      </c>
      <c r="B4800" s="1" t="s">
        <v>2106</v>
      </c>
      <c r="C4800" s="1">
        <v>1.0</v>
      </c>
      <c r="D4800" s="2" t="s">
        <v>2173</v>
      </c>
      <c r="E4800" s="1" t="str">
        <f>IFERROR(__xludf.DUMMYFUNCTION("GOOGLETRANSLATE(D4800,""PT"",""EN"")"),"I needed it is the committee turned my back on a health accuracy.")</f>
        <v>I needed it is the committee turned my back on a health accuracy.</v>
      </c>
    </row>
    <row r="4801" ht="14.25" customHeight="1">
      <c r="A4801" s="1">
        <v>100.0</v>
      </c>
      <c r="B4801" s="1" t="s">
        <v>2106</v>
      </c>
      <c r="C4801" s="1">
        <v>10.0</v>
      </c>
      <c r="D4801" s="1" t="s">
        <v>20</v>
      </c>
      <c r="E4801" s="1" t="str">
        <f>IFERROR(__xludf.DUMMYFUNCTION("GOOGLETRANSLATE(D4801,""PT"",""EN"")"),"Very good")</f>
        <v>Very good</v>
      </c>
    </row>
    <row r="4802" ht="14.25" customHeight="1">
      <c r="A4802" s="1">
        <v>100.0</v>
      </c>
      <c r="B4802" s="1" t="s">
        <v>2106</v>
      </c>
      <c r="C4802" s="1">
        <v>10.0</v>
      </c>
      <c r="D4802" s="1" t="s">
        <v>6</v>
      </c>
      <c r="E4802" s="1"/>
    </row>
    <row r="4803" ht="14.25" customHeight="1">
      <c r="A4803" s="1">
        <v>66.0</v>
      </c>
      <c r="B4803" s="1" t="s">
        <v>2106</v>
      </c>
      <c r="C4803" s="1">
        <v>7.0</v>
      </c>
      <c r="D4803" s="1" t="s">
        <v>6</v>
      </c>
      <c r="E4803" s="1"/>
    </row>
    <row r="4804" ht="14.25" customHeight="1">
      <c r="A4804" s="1">
        <v>100.0</v>
      </c>
      <c r="B4804" s="1" t="s">
        <v>2106</v>
      </c>
      <c r="C4804" s="1">
        <v>9.0</v>
      </c>
      <c r="D4804" s="1" t="s">
        <v>6</v>
      </c>
      <c r="E4804" s="1"/>
    </row>
    <row r="4805" ht="14.25" customHeight="1">
      <c r="A4805" s="1">
        <v>100.0</v>
      </c>
      <c r="B4805" s="1" t="s">
        <v>2106</v>
      </c>
      <c r="C4805" s="1">
        <v>10.0</v>
      </c>
      <c r="D4805" s="1" t="s">
        <v>6</v>
      </c>
      <c r="E4805" s="1"/>
    </row>
    <row r="4806" ht="14.25" customHeight="1">
      <c r="A4806" s="1">
        <v>33.0</v>
      </c>
      <c r="B4806" s="1" t="s">
        <v>2106</v>
      </c>
      <c r="C4806" s="1">
        <v>5.0</v>
      </c>
      <c r="D4806" s="1" t="s">
        <v>6</v>
      </c>
      <c r="E4806" s="1"/>
    </row>
    <row r="4807" ht="14.25" customHeight="1">
      <c r="A4807" s="1">
        <v>33.0</v>
      </c>
      <c r="B4807" s="1" t="s">
        <v>2106</v>
      </c>
      <c r="C4807" s="1">
        <v>0.0</v>
      </c>
      <c r="D4807" s="1" t="s">
        <v>6</v>
      </c>
      <c r="E4807" s="1"/>
    </row>
    <row r="4808" ht="14.25" customHeight="1">
      <c r="A4808" s="1">
        <v>100.0</v>
      </c>
      <c r="B4808" s="1" t="s">
        <v>2106</v>
      </c>
      <c r="C4808" s="1">
        <v>10.0</v>
      </c>
      <c r="D4808" s="1" t="s">
        <v>2174</v>
      </c>
      <c r="E4808" s="1" t="str">
        <f>IFERROR(__xludf.DUMMYFUNCTION("GOOGLETRANSLATE(D4808,""PT"",""EN"")"),"excelent reception")</f>
        <v>excelent reception</v>
      </c>
    </row>
    <row r="4809" ht="14.25" customHeight="1">
      <c r="A4809" s="1">
        <v>33.0</v>
      </c>
      <c r="B4809" s="1" t="s">
        <v>2106</v>
      </c>
      <c r="C4809" s="1">
        <v>0.0</v>
      </c>
      <c r="D4809" s="1" t="s">
        <v>2175</v>
      </c>
      <c r="E4809" s="1" t="str">
        <f>IFERROR(__xludf.DUMMYFUNCTION("GOOGLETRANSLATE(D4809,""PT"",""EN"")"),"Trash")</f>
        <v>Trash</v>
      </c>
    </row>
    <row r="4810" ht="14.25" customHeight="1">
      <c r="A4810" s="1">
        <v>33.0</v>
      </c>
      <c r="B4810" s="1" t="s">
        <v>2106</v>
      </c>
      <c r="C4810" s="1">
        <v>0.0</v>
      </c>
      <c r="D4810" s="1" t="s">
        <v>2176</v>
      </c>
      <c r="E4810" s="1" t="str">
        <f>IFERROR(__xludf.DUMMYFUNCTION("GOOGLETRANSLATE(D4810,""PT"",""EN"")"),"Bad")</f>
        <v>Bad</v>
      </c>
    </row>
    <row r="4811" ht="14.25" customHeight="1">
      <c r="A4811" s="1">
        <v>100.0</v>
      </c>
      <c r="B4811" s="1" t="s">
        <v>2106</v>
      </c>
      <c r="C4811" s="1">
        <v>10.0</v>
      </c>
      <c r="D4811" s="1" t="s">
        <v>6</v>
      </c>
      <c r="E4811" s="1"/>
    </row>
    <row r="4812" ht="14.25" customHeight="1">
      <c r="A4812" s="1">
        <v>100.0</v>
      </c>
      <c r="B4812" s="1" t="s">
        <v>2106</v>
      </c>
      <c r="C4812" s="1">
        <v>10.0</v>
      </c>
      <c r="D4812" s="2" t="s">
        <v>2177</v>
      </c>
      <c r="E4812" s="1" t="str">
        <f>IFERROR(__xludf.DUMMYFUNCTION("GOOGLETRANSLATE(D4812,""PT"",""EN"")"),"Simplicity is prompt.")</f>
        <v>Simplicity is prompt.</v>
      </c>
    </row>
    <row r="4813" ht="14.25" customHeight="1">
      <c r="A4813" s="1">
        <v>100.0</v>
      </c>
      <c r="B4813" s="1" t="s">
        <v>2106</v>
      </c>
      <c r="C4813" s="1">
        <v>10.0</v>
      </c>
      <c r="D4813" s="1" t="s">
        <v>2178</v>
      </c>
      <c r="E4813" s="1" t="str">
        <f>IFERROR(__xludf.DUMMYFUNCTION("GOOGLETRANSLATE(D4813,""PT"",""EN"")"),"Great service from my manager Dilma of Cooperative 3233.")</f>
        <v>Great service from my manager Dilma of Cooperative 3233.</v>
      </c>
    </row>
    <row r="4814" ht="14.25" customHeight="1">
      <c r="A4814" s="1">
        <v>100.0</v>
      </c>
      <c r="B4814" s="1" t="s">
        <v>2106</v>
      </c>
      <c r="C4814" s="1">
        <v>10.0</v>
      </c>
      <c r="D4814" s="1" t="s">
        <v>412</v>
      </c>
      <c r="E4814" s="1" t="str">
        <f>IFERROR(__xludf.DUMMYFUNCTION("GOOGLETRANSLATE(D4814,""PT"",""EN"")"),"Efficiency")</f>
        <v>Efficiency</v>
      </c>
    </row>
    <row r="4815" ht="14.25" customHeight="1">
      <c r="A4815" s="1">
        <v>100.0</v>
      </c>
      <c r="B4815" s="1" t="s">
        <v>2106</v>
      </c>
      <c r="C4815" s="1">
        <v>10.0</v>
      </c>
      <c r="D4815" s="1" t="s">
        <v>6</v>
      </c>
      <c r="E4815" s="1"/>
    </row>
    <row r="4816" ht="14.25" customHeight="1">
      <c r="A4816" s="1">
        <v>33.0</v>
      </c>
      <c r="B4816" s="1" t="s">
        <v>2106</v>
      </c>
      <c r="C4816" s="1">
        <v>0.0</v>
      </c>
      <c r="D4816" s="2" t="s">
        <v>2179</v>
      </c>
      <c r="E4816" s="1" t="str">
        <f>IFERROR(__xludf.DUMMYFUNCTION("GOOGLETRANSLATE(D4816,""PT"",""EN"")"),"They do for 5 years that I try to close the account is I can not, because my money account money can not be returned.")</f>
        <v>They do for 5 years that I try to close the account is I can not, because my money account money can not be returned.</v>
      </c>
    </row>
    <row r="4817" ht="14.25" customHeight="1">
      <c r="A4817" s="1">
        <v>100.0</v>
      </c>
      <c r="B4817" s="1" t="s">
        <v>2106</v>
      </c>
      <c r="C4817" s="1">
        <v>9.0</v>
      </c>
      <c r="D4817" s="1" t="s">
        <v>2180</v>
      </c>
      <c r="E4817" s="1" t="str">
        <f>IFERROR(__xludf.DUMMYFUNCTION("GOOGLETRANSLATE(D4817,""PT"",""EN"")"),"Excellent work of all")</f>
        <v>Excellent work of all</v>
      </c>
    </row>
    <row r="4818" ht="14.25" customHeight="1">
      <c r="A4818" s="1">
        <v>66.0</v>
      </c>
      <c r="B4818" s="1" t="s">
        <v>2106</v>
      </c>
      <c r="C4818" s="1">
        <v>8.0</v>
      </c>
      <c r="D4818" s="2" t="s">
        <v>2181</v>
      </c>
      <c r="E4818" s="1" t="str">
        <f>IFERROR(__xludf.DUMMYFUNCTION("GOOGLETRANSLATE(D4818,""PT"",""EN"")"),"I don't have much financial movement.")</f>
        <v>I don't have much financial movement.</v>
      </c>
    </row>
    <row r="4819" ht="14.25" customHeight="1">
      <c r="A4819" s="1">
        <v>66.0</v>
      </c>
      <c r="B4819" s="1" t="s">
        <v>2106</v>
      </c>
      <c r="C4819" s="1">
        <v>8.0</v>
      </c>
      <c r="D4819" s="1" t="s">
        <v>6</v>
      </c>
      <c r="E4819" s="1"/>
    </row>
    <row r="4820" ht="14.25" customHeight="1">
      <c r="A4820" s="1">
        <v>66.0</v>
      </c>
      <c r="B4820" s="1" t="s">
        <v>2106</v>
      </c>
      <c r="C4820" s="1">
        <v>8.0</v>
      </c>
      <c r="D4820" s="2" t="s">
        <v>2182</v>
      </c>
      <c r="E4820" s="1" t="str">
        <f>IFERROR(__xludf.DUMMYFUNCTION("GOOGLETRANSLATE(D4820,""PT"",""EN"")"),"I have my salary account in Sicoob is a credit limit is very low")</f>
        <v>I have my salary account in Sicoob is a credit limit is very low</v>
      </c>
    </row>
    <row r="4821" ht="14.25" customHeight="1">
      <c r="A4821" s="1">
        <v>33.0</v>
      </c>
      <c r="B4821" s="1" t="s">
        <v>2106</v>
      </c>
      <c r="C4821" s="1">
        <v>0.0</v>
      </c>
      <c r="D4821" s="2" t="s">
        <v>2183</v>
      </c>
      <c r="E4821" s="1" t="str">
        <f>IFERROR(__xludf.DUMMYFUNCTION("GOOGLETRANSLATE(D4821,""PT"",""EN"")"),"Worst experience you had with an institution that offers financial products. Card without advantage is with annuity. Landing payable with CDC interest. It did not make the slightest sense to have adhered is therefore, I ordered the cancellation")</f>
        <v>Worst experience you had with an institution that offers financial products. Card without advantage is with annuity. Landing payable with CDC interest. It did not make the slightest sense to have adhered is therefore, I ordered the cancellation</v>
      </c>
    </row>
    <row r="4822" ht="14.25" customHeight="1">
      <c r="A4822" s="1">
        <v>33.0</v>
      </c>
      <c r="B4822" s="1" t="s">
        <v>2106</v>
      </c>
      <c r="C4822" s="1">
        <v>5.0</v>
      </c>
      <c r="D4822" s="1" t="s">
        <v>6</v>
      </c>
      <c r="E4822" s="1"/>
    </row>
    <row r="4823" ht="14.25" customHeight="1">
      <c r="A4823" s="1">
        <v>33.0</v>
      </c>
      <c r="B4823" s="1" t="s">
        <v>2106</v>
      </c>
      <c r="C4823" s="1">
        <v>0.0</v>
      </c>
      <c r="D4823" s="1" t="s">
        <v>6</v>
      </c>
      <c r="E4823" s="1"/>
    </row>
    <row r="4824" ht="14.25" customHeight="1">
      <c r="A4824" s="1">
        <v>100.0</v>
      </c>
      <c r="B4824" s="1" t="s">
        <v>2106</v>
      </c>
      <c r="C4824" s="1">
        <v>10.0</v>
      </c>
      <c r="D4824" s="1" t="s">
        <v>2184</v>
      </c>
      <c r="E4824" s="1" t="str">
        <f>IFERROR(__xludf.DUMMYFUNCTION("GOOGLETRANSLATE(D4824,""PT"",""EN"")"),"Sicoob realizes dreams of those who dream.")</f>
        <v>Sicoob realizes dreams of those who dream.</v>
      </c>
    </row>
    <row r="4825" ht="14.25" customHeight="1">
      <c r="A4825" s="1">
        <v>100.0</v>
      </c>
      <c r="B4825" s="1" t="s">
        <v>2106</v>
      </c>
      <c r="C4825" s="1">
        <v>10.0</v>
      </c>
      <c r="D4825" s="1" t="s">
        <v>2185</v>
      </c>
      <c r="E4825" s="1" t="str">
        <f>IFERROR(__xludf.DUMMYFUNCTION("GOOGLETRANSLATE(D4825,""PT"",""EN"")"),"I was always promptly attended. Excellent service")</f>
        <v>I was always promptly attended. Excellent service</v>
      </c>
    </row>
    <row r="4826" ht="14.25" customHeight="1">
      <c r="A4826" s="1">
        <v>100.0</v>
      </c>
      <c r="B4826" s="1" t="s">
        <v>2106</v>
      </c>
      <c r="C4826" s="1">
        <v>9.0</v>
      </c>
      <c r="D4826" s="1" t="s">
        <v>6</v>
      </c>
      <c r="E4826" s="1"/>
    </row>
    <row r="4827" ht="14.25" customHeight="1">
      <c r="A4827" s="1">
        <v>66.0</v>
      </c>
      <c r="B4827" s="1" t="s">
        <v>2106</v>
      </c>
      <c r="C4827" s="1">
        <v>8.0</v>
      </c>
      <c r="D4827" s="1" t="s">
        <v>6</v>
      </c>
      <c r="E4827" s="1"/>
    </row>
    <row r="4828" ht="14.25" customHeight="1">
      <c r="A4828" s="1">
        <v>33.0</v>
      </c>
      <c r="B4828" s="1" t="s">
        <v>2106</v>
      </c>
      <c r="C4828" s="1">
        <v>6.0</v>
      </c>
      <c r="D4828" s="1" t="s">
        <v>2186</v>
      </c>
      <c r="E4828" s="1" t="str">
        <f>IFERROR(__xludf.DUMMYFUNCTION("GOOGLETRANSLATE(D4828,""PT"",""EN"")"),"I really liked it at the beginning that we were treated with a more humanized service, then the other banks was just like.")</f>
        <v>I really liked it at the beginning that we were treated with a more humanized service, then the other banks was just like.</v>
      </c>
    </row>
    <row r="4829" ht="14.25" customHeight="1">
      <c r="A4829" s="1">
        <v>100.0</v>
      </c>
      <c r="B4829" s="1" t="s">
        <v>2106</v>
      </c>
      <c r="C4829" s="1">
        <v>9.0</v>
      </c>
      <c r="D4829" s="2" t="s">
        <v>2187</v>
      </c>
      <c r="E4829" s="1" t="str">
        <f>IFERROR(__xludf.DUMMYFUNCTION("GOOGLETRANSLATE(D4829,""PT"",""EN"")"),"Functional account for the company, I'm adapting, before I would not like it;")</f>
        <v>Functional account for the company, I'm adapting, before I would not like it;</v>
      </c>
    </row>
    <row r="4830" ht="14.25" customHeight="1">
      <c r="A4830" s="1">
        <v>100.0</v>
      </c>
      <c r="B4830" s="1" t="s">
        <v>2106</v>
      </c>
      <c r="C4830" s="1">
        <v>10.0</v>
      </c>
      <c r="D4830" s="1" t="s">
        <v>2188</v>
      </c>
      <c r="E4830" s="1" t="str">
        <f>IFERROR(__xludf.DUMMYFUNCTION("GOOGLETRANSLATE(D4830,""PT"",""EN"")"),"exceptional!")</f>
        <v>exceptional!</v>
      </c>
    </row>
    <row r="4831" ht="14.25" customHeight="1">
      <c r="A4831" s="1">
        <v>66.0</v>
      </c>
      <c r="B4831" s="1" t="s">
        <v>2106</v>
      </c>
      <c r="C4831" s="1">
        <v>8.0</v>
      </c>
      <c r="D4831" s="1" t="s">
        <v>803</v>
      </c>
      <c r="E4831" s="1" t="str">
        <f>IFERROR(__xludf.DUMMYFUNCTION("GOOGLETRANSLATE(D4831,""PT"",""EN"")"),"Good")</f>
        <v>Good</v>
      </c>
    </row>
    <row r="4832" ht="14.25" customHeight="1">
      <c r="A4832" s="1">
        <v>100.0</v>
      </c>
      <c r="B4832" s="1" t="s">
        <v>2106</v>
      </c>
      <c r="C4832" s="1">
        <v>10.0</v>
      </c>
      <c r="D4832" s="1" t="s">
        <v>6</v>
      </c>
      <c r="E4832" s="1"/>
    </row>
    <row r="4833" ht="14.25" customHeight="1">
      <c r="A4833" s="1">
        <v>100.0</v>
      </c>
      <c r="B4833" s="1" t="s">
        <v>2106</v>
      </c>
      <c r="C4833" s="1">
        <v>10.0</v>
      </c>
      <c r="D4833" s="2" t="s">
        <v>2189</v>
      </c>
      <c r="E4833" s="1" t="str">
        <f>IFERROR(__xludf.DUMMYFUNCTION("GOOGLETRANSLATE(D4833,""PT"",""EN"")"),"It is a cooperative that leaves nothing to duty to any traditional banking institution. In addition, as cooperative, you feel the owner of the business.")</f>
        <v>It is a cooperative that leaves nothing to duty to any traditional banking institution. In addition, as cooperative, you feel the owner of the business.</v>
      </c>
    </row>
    <row r="4834" ht="14.25" customHeight="1">
      <c r="A4834" s="1">
        <v>100.0</v>
      </c>
      <c r="B4834" s="1" t="s">
        <v>2106</v>
      </c>
      <c r="C4834" s="1">
        <v>10.0</v>
      </c>
      <c r="D4834" s="2" t="s">
        <v>2190</v>
      </c>
      <c r="E4834" s="1" t="str">
        <f>IFERROR(__xludf.DUMMYFUNCTION("GOOGLETRANSLATE(D4834,""PT"",""EN"")"),"I am very pleased to be part of Sicoob, there are many advantages and facilities we have at our disposal.")</f>
        <v>I am very pleased to be part of Sicoob, there are many advantages and facilities we have at our disposal.</v>
      </c>
    </row>
    <row r="4835" ht="14.25" customHeight="1">
      <c r="A4835" s="1">
        <v>100.0</v>
      </c>
      <c r="B4835" s="1" t="s">
        <v>2106</v>
      </c>
      <c r="C4835" s="1">
        <v>10.0</v>
      </c>
      <c r="D4835" s="1" t="s">
        <v>1629</v>
      </c>
      <c r="E4835" s="1" t="str">
        <f>IFERROR(__xludf.DUMMYFUNCTION("GOOGLETRANSLATE(D4835,""PT"",""EN"")"),"Excellence in service.")</f>
        <v>Excellence in service.</v>
      </c>
    </row>
    <row r="4836" ht="14.25" customHeight="1">
      <c r="A4836" s="1">
        <v>100.0</v>
      </c>
      <c r="B4836" s="1" t="s">
        <v>2106</v>
      </c>
      <c r="C4836" s="1">
        <v>10.0</v>
      </c>
      <c r="D4836" s="2" t="s">
        <v>42</v>
      </c>
      <c r="E4836" s="1" t="str">
        <f>IFERROR(__xludf.DUMMYFUNCTION("GOOGLETRANSLATE(D4836,""PT"",""EN"")"),"good service")</f>
        <v>good service</v>
      </c>
    </row>
    <row r="4837" ht="14.25" customHeight="1">
      <c r="A4837" s="1">
        <v>100.0</v>
      </c>
      <c r="B4837" s="1" t="s">
        <v>2106</v>
      </c>
      <c r="C4837" s="1">
        <v>10.0</v>
      </c>
      <c r="D4837" s="1" t="s">
        <v>6</v>
      </c>
      <c r="E4837" s="1"/>
    </row>
    <row r="4838" ht="14.25" customHeight="1">
      <c r="A4838" s="1">
        <v>100.0</v>
      </c>
      <c r="B4838" s="1" t="s">
        <v>2106</v>
      </c>
      <c r="C4838" s="1">
        <v>10.0</v>
      </c>
      <c r="D4838" s="2" t="s">
        <v>2191</v>
      </c>
      <c r="E4838" s="1" t="str">
        <f>IFERROR(__xludf.DUMMYFUNCTION("GOOGLETRANSLATE(D4838,""PT"",""EN"")"),"By its strength is because it is a credit cooperative, I recommend Sicoob to everyone in my network of relationships.")</f>
        <v>By its strength is because it is a credit cooperative, I recommend Sicoob to everyone in my network of relationships.</v>
      </c>
    </row>
    <row r="4839" ht="14.25" customHeight="1">
      <c r="A4839" s="1">
        <v>100.0</v>
      </c>
      <c r="B4839" s="1" t="s">
        <v>2106</v>
      </c>
      <c r="C4839" s="1">
        <v>10.0</v>
      </c>
      <c r="D4839" s="2" t="s">
        <v>2192</v>
      </c>
      <c r="E4839" s="1" t="str">
        <f>IFERROR(__xludf.DUMMYFUNCTION("GOOGLETRANSLATE(D4839,""PT"",""EN"")"),"I was always very well attended, quickly and clearly.")</f>
        <v>I was always very well attended, quickly and clearly.</v>
      </c>
    </row>
    <row r="4840" ht="14.25" customHeight="1">
      <c r="A4840" s="1">
        <v>100.0</v>
      </c>
      <c r="B4840" s="1" t="s">
        <v>2106</v>
      </c>
      <c r="C4840" s="1">
        <v>10.0</v>
      </c>
      <c r="D4840" s="1" t="s">
        <v>2193</v>
      </c>
      <c r="E4840" s="1" t="str">
        <f>IFERROR(__xludf.DUMMYFUNCTION("GOOGLETRANSLATE(D4840,""PT"",""EN"")"),"Efficient team.")</f>
        <v>Efficient team.</v>
      </c>
    </row>
    <row r="4841" ht="14.25" customHeight="1">
      <c r="A4841" s="1">
        <v>100.0</v>
      </c>
      <c r="B4841" s="1" t="s">
        <v>2106</v>
      </c>
      <c r="C4841" s="1">
        <v>10.0</v>
      </c>
      <c r="D4841" s="1" t="s">
        <v>6</v>
      </c>
      <c r="E4841" s="1"/>
    </row>
    <row r="4842" ht="14.25" customHeight="1">
      <c r="A4842" s="1">
        <v>100.0</v>
      </c>
      <c r="B4842" s="1" t="s">
        <v>2106</v>
      </c>
      <c r="C4842" s="1">
        <v>10.0</v>
      </c>
      <c r="D4842" s="1" t="s">
        <v>2194</v>
      </c>
      <c r="E4842" s="1" t="str">
        <f>IFERROR(__xludf.DUMMYFUNCTION("GOOGLETRANSLATE(D4842,""PT"",""EN"")"),"Everything I needed was very well attended")</f>
        <v>Everything I needed was very well attended</v>
      </c>
    </row>
    <row r="4843" ht="14.25" customHeight="1">
      <c r="A4843" s="1">
        <v>33.0</v>
      </c>
      <c r="B4843" s="1" t="s">
        <v>2106</v>
      </c>
      <c r="C4843" s="1">
        <v>0.0</v>
      </c>
      <c r="D4843" s="2" t="s">
        <v>2195</v>
      </c>
      <c r="E4843" s="1" t="str">
        <f>IFERROR(__xludf.DUMMYFUNCTION("GOOGLETRANSLATE(D4843,""PT"",""EN"")"),"A cooperative that does not have a manager to serve by WhatsApp, gets in touch for nothing, I am a Sicredi customer is totally different, I will close the account.")</f>
        <v>A cooperative that does not have a manager to serve by WhatsApp, gets in touch for nothing, I am a Sicredi customer is totally different, I will close the account.</v>
      </c>
    </row>
    <row r="4844" ht="14.25" customHeight="1">
      <c r="A4844" s="1">
        <v>100.0</v>
      </c>
      <c r="B4844" s="1" t="s">
        <v>2106</v>
      </c>
      <c r="C4844" s="1">
        <v>9.0</v>
      </c>
      <c r="D4844" s="1" t="s">
        <v>6</v>
      </c>
      <c r="E4844" s="1"/>
    </row>
    <row r="4845" ht="14.25" customHeight="1">
      <c r="A4845" s="1">
        <v>100.0</v>
      </c>
      <c r="B4845" s="1" t="s">
        <v>2106</v>
      </c>
      <c r="C4845" s="1">
        <v>10.0</v>
      </c>
      <c r="D4845" s="1" t="s">
        <v>6</v>
      </c>
      <c r="E4845" s="1"/>
    </row>
    <row r="4846" ht="14.25" customHeight="1">
      <c r="A4846" s="1">
        <v>66.0</v>
      </c>
      <c r="B4846" s="1" t="s">
        <v>2106</v>
      </c>
      <c r="C4846" s="1">
        <v>8.0</v>
      </c>
      <c r="D4846" s="1" t="s">
        <v>6</v>
      </c>
      <c r="E4846" s="1"/>
    </row>
    <row r="4847" ht="14.25" customHeight="1">
      <c r="A4847" s="1">
        <v>100.0</v>
      </c>
      <c r="B4847" s="1" t="s">
        <v>2106</v>
      </c>
      <c r="C4847" s="1">
        <v>10.0</v>
      </c>
      <c r="D4847" s="1" t="s">
        <v>6</v>
      </c>
      <c r="E4847" s="1"/>
    </row>
    <row r="4848" ht="14.25" customHeight="1">
      <c r="A4848" s="1">
        <v>33.0</v>
      </c>
      <c r="B4848" s="1" t="s">
        <v>2106</v>
      </c>
      <c r="C4848" s="1">
        <v>4.0</v>
      </c>
      <c r="D4848" s="2" t="s">
        <v>2196</v>
      </c>
      <c r="E4848" s="1" t="str">
        <f>IFERROR(__xludf.DUMMYFUNCTION("GOOGLETRANSLATE(D4848,""PT"",""EN"")"),"So far they have not offered me overdraft, credit card is already acquired life insurance without help.")</f>
        <v>So far they have not offered me overdraft, credit card is already acquired life insurance without help.</v>
      </c>
    </row>
    <row r="4849" ht="14.25" customHeight="1">
      <c r="A4849" s="1">
        <v>33.0</v>
      </c>
      <c r="B4849" s="1" t="s">
        <v>2106</v>
      </c>
      <c r="C4849" s="1">
        <v>0.0</v>
      </c>
      <c r="D4849" s="2" t="s">
        <v>2197</v>
      </c>
      <c r="E4849" s="1" t="str">
        <f>IFERROR(__xludf.DUMMYFUNCTION("GOOGLETRANSLATE(D4849,""PT"",""EN"")"),"You are worse than banks. I made a loan of 10,000. I will pay with 23,000. I never want to do business with you")</f>
        <v>You are worse than banks. I made a loan of 10,000. I will pay with 23,000. I never want to do business with you</v>
      </c>
    </row>
    <row r="4850" ht="14.25" customHeight="1">
      <c r="A4850" s="1">
        <v>100.0</v>
      </c>
      <c r="B4850" s="1" t="s">
        <v>2106</v>
      </c>
      <c r="C4850" s="1">
        <v>10.0</v>
      </c>
      <c r="D4850" s="1" t="s">
        <v>2198</v>
      </c>
      <c r="E4850" s="1" t="str">
        <f>IFERROR(__xludf.DUMMYFUNCTION("GOOGLETRANSLATE(D4850,""PT"",""EN"")"),"I am a customer over 6 years.")</f>
        <v>I am a customer over 6 years.</v>
      </c>
    </row>
    <row r="4851" ht="14.25" customHeight="1">
      <c r="A4851" s="1">
        <v>33.0</v>
      </c>
      <c r="B4851" s="1" t="s">
        <v>2106</v>
      </c>
      <c r="C4851" s="1">
        <v>0.0</v>
      </c>
      <c r="D4851" s="2" t="s">
        <v>2199</v>
      </c>
      <c r="E4851" s="1" t="str">
        <f>IFERROR(__xludf.DUMMYFUNCTION("GOOGLETRANSLATE(D4851,""PT"",""EN"")"),"I created an account account, put my address from Recife is the account went to an agency in João Pessoa, it was a chaos to change to a Recife agency, until giving up having an account in Sicoob")</f>
        <v>I created an account account, put my address from Recife is the account went to an agency in João Pessoa, it was a chaos to change to a Recife agency, until giving up having an account in Sicoob</v>
      </c>
    </row>
    <row r="4852" ht="14.25" customHeight="1">
      <c r="A4852" s="1">
        <v>66.0</v>
      </c>
      <c r="B4852" s="1" t="s">
        <v>2106</v>
      </c>
      <c r="C4852" s="1">
        <v>8.0</v>
      </c>
      <c r="D4852" s="1" t="s">
        <v>2200</v>
      </c>
      <c r="E4852" s="1" t="str">
        <f>IFERROR(__xludf.DUMMYFUNCTION("GOOGLETRANSLATE(D4852,""PT"",""EN"")"),"It's a good bank just that")</f>
        <v>It's a good bank just that</v>
      </c>
    </row>
    <row r="4853" ht="14.25" customHeight="1">
      <c r="A4853" s="1">
        <v>66.0</v>
      </c>
      <c r="B4853" s="1" t="s">
        <v>2106</v>
      </c>
      <c r="C4853" s="1">
        <v>7.0</v>
      </c>
      <c r="D4853" s="2" t="s">
        <v>2201</v>
      </c>
      <c r="E4853" s="1" t="str">
        <f>IFERROR(__xludf.DUMMYFUNCTION("GOOGLETRANSLATE(D4853,""PT"",""EN"")"),"Bureaucratic, a little complicated app, difficult service channels are uncommon systems sometimes when using the debit card.")</f>
        <v>Bureaucratic, a little complicated app, difficult service channels are uncommon systems sometimes when using the debit card.</v>
      </c>
    </row>
    <row r="4854" ht="14.25" customHeight="1">
      <c r="A4854" s="1">
        <v>100.0</v>
      </c>
      <c r="B4854" s="1" t="s">
        <v>2106</v>
      </c>
      <c r="C4854" s="1">
        <v>10.0</v>
      </c>
      <c r="D4854" s="1" t="s">
        <v>2202</v>
      </c>
      <c r="E4854" s="1" t="str">
        <f>IFERROR(__xludf.DUMMYFUNCTION("GOOGLETRANSLATE(D4854,""PT"",""EN"")"),"Conviction of being a great financial market alternative, with the differential of community engagement")</f>
        <v>Conviction of being a great financial market alternative, with the differential of community engagement</v>
      </c>
    </row>
    <row r="4855" ht="14.25" customHeight="1">
      <c r="A4855" s="1">
        <v>33.0</v>
      </c>
      <c r="B4855" s="1" t="s">
        <v>2106</v>
      </c>
      <c r="C4855" s="1">
        <v>0.0</v>
      </c>
      <c r="D4855" s="2" t="s">
        <v>2203</v>
      </c>
      <c r="E4855" s="1" t="str">
        <f>IFERROR(__xludf.DUMMYFUNCTION("GOOGLETRANSLATE(D4855,""PT"",""EN"")"),"Sicoob does not offer any line of credit was a section of my choice of open account in Sicoob")</f>
        <v>Sicoob does not offer any line of credit was a section of my choice of open account in Sicoob</v>
      </c>
    </row>
    <row r="4856" ht="14.25" customHeight="1">
      <c r="A4856" s="1">
        <v>100.0</v>
      </c>
      <c r="B4856" s="1" t="s">
        <v>2106</v>
      </c>
      <c r="C4856" s="1">
        <v>9.0</v>
      </c>
      <c r="D4856" s="1" t="s">
        <v>6</v>
      </c>
      <c r="E4856" s="1"/>
    </row>
    <row r="4857" ht="14.25" customHeight="1">
      <c r="A4857" s="1">
        <v>100.0</v>
      </c>
      <c r="B4857" s="1" t="s">
        <v>2106</v>
      </c>
      <c r="C4857" s="1">
        <v>10.0</v>
      </c>
      <c r="D4857" s="1" t="s">
        <v>6</v>
      </c>
      <c r="E4857" s="1"/>
    </row>
    <row r="4858" ht="14.25" customHeight="1">
      <c r="A4858" s="1">
        <v>100.0</v>
      </c>
      <c r="B4858" s="1" t="s">
        <v>2106</v>
      </c>
      <c r="C4858" s="1">
        <v>10.0</v>
      </c>
      <c r="D4858" s="2" t="s">
        <v>2204</v>
      </c>
      <c r="E4858" s="1" t="str">
        <f>IFERROR(__xludf.DUMMYFUNCTION("GOOGLETRANSLATE(D4858,""PT"",""EN"")"),"Good service, ease of solving problems, practical for benefit, credit card")</f>
        <v>Good service, ease of solving problems, practical for benefit, credit card</v>
      </c>
    </row>
    <row r="4859" ht="14.25" customHeight="1">
      <c r="A4859" s="1">
        <v>100.0</v>
      </c>
      <c r="B4859" s="1" t="s">
        <v>2106</v>
      </c>
      <c r="C4859" s="1">
        <v>10.0</v>
      </c>
      <c r="D4859" s="1" t="s">
        <v>2205</v>
      </c>
      <c r="E4859" s="1" t="str">
        <f>IFERROR(__xludf.DUMMYFUNCTION("GOOGLETRANSLATE(D4859,""PT"",""EN"")"),"Very good!!")</f>
        <v>Very good!!</v>
      </c>
    </row>
    <row r="4860" ht="14.25" customHeight="1">
      <c r="A4860" s="1">
        <v>33.0</v>
      </c>
      <c r="B4860" s="1" t="s">
        <v>2106</v>
      </c>
      <c r="C4860" s="1">
        <v>5.0</v>
      </c>
      <c r="D4860" s="2" t="s">
        <v>2206</v>
      </c>
      <c r="E4860" s="1" t="str">
        <f>IFERROR(__xludf.DUMMYFUNCTION("GOOGLETRANSLATE(D4860,""PT"",""EN"")"),"Sicoob's service is very good. But Sicoob has promised to appreciate profits among associates is not being fulfilled. Currently it is both associated with Sicoob or is a client of another traditional bank because we have no right to profit sharing. Not ev"&amp;"en 1% of profits. Sicoob now has everything is associated with the rest ... that is, nothing, nothing, nothing .... they need to rethink this mistaken policy with the associates Sicoob!")</f>
        <v>Sicoob's service is very good. But Sicoob has promised to appreciate profits among associates is not being fulfilled. Currently it is both associated with Sicoob or is a client of another traditional bank because we have no right to profit sharing. Not even 1% of profits. Sicoob now has everything is associated with the rest ... that is, nothing, nothing, nothing .... they need to rethink this mistaken policy with the associates Sicoob!</v>
      </c>
    </row>
    <row r="4861" ht="14.25" customHeight="1">
      <c r="A4861" s="1">
        <v>100.0</v>
      </c>
      <c r="B4861" s="1" t="s">
        <v>2106</v>
      </c>
      <c r="C4861" s="1">
        <v>9.0</v>
      </c>
      <c r="D4861" s="1" t="s">
        <v>654</v>
      </c>
      <c r="E4861" s="1" t="str">
        <f>IFERROR(__xludf.DUMMYFUNCTION("GOOGLETRANSLATE(D4861,""PT"",""EN"")"),"trust")</f>
        <v>trust</v>
      </c>
    </row>
    <row r="4862" ht="14.25" customHeight="1">
      <c r="A4862" s="1">
        <v>100.0</v>
      </c>
      <c r="B4862" s="1" t="s">
        <v>2106</v>
      </c>
      <c r="C4862" s="1">
        <v>10.0</v>
      </c>
      <c r="D4862" s="2" t="s">
        <v>2207</v>
      </c>
      <c r="E4862" s="1" t="str">
        <f>IFERROR(__xludf.DUMMYFUNCTION("GOOGLETRANSLATE(D4862,""PT"",""EN"")"),"congratulations")</f>
        <v>congratulations</v>
      </c>
    </row>
    <row r="4863" ht="14.25" customHeight="1">
      <c r="A4863" s="1">
        <v>100.0</v>
      </c>
      <c r="B4863" s="1" t="s">
        <v>2106</v>
      </c>
      <c r="C4863" s="1">
        <v>9.0</v>
      </c>
      <c r="D4863" s="1" t="s">
        <v>2208</v>
      </c>
      <c r="E4863" s="1" t="str">
        <f>IFERROR(__xludf.DUMMYFUNCTION("GOOGLETRANSLATE(D4863,""PT"",""EN"")"),"Service, products offered, good fees.")</f>
        <v>Service, products offered, good fees.</v>
      </c>
    </row>
    <row r="4864" ht="14.25" customHeight="1">
      <c r="A4864" s="1">
        <v>100.0</v>
      </c>
      <c r="B4864" s="1" t="s">
        <v>2106</v>
      </c>
      <c r="C4864" s="1">
        <v>9.0</v>
      </c>
      <c r="D4864" s="1" t="s">
        <v>803</v>
      </c>
      <c r="E4864" s="1" t="str">
        <f>IFERROR(__xludf.DUMMYFUNCTION("GOOGLETRANSLATE(D4864,""PT"",""EN"")"),"Good")</f>
        <v>Good</v>
      </c>
    </row>
    <row r="4865" ht="14.25" customHeight="1">
      <c r="A4865" s="1">
        <v>100.0</v>
      </c>
      <c r="B4865" s="1" t="s">
        <v>2106</v>
      </c>
      <c r="C4865" s="1">
        <v>10.0</v>
      </c>
      <c r="D4865" s="1" t="s">
        <v>6</v>
      </c>
      <c r="E4865" s="1"/>
    </row>
    <row r="4866" ht="14.25" customHeight="1">
      <c r="A4866" s="1">
        <v>33.0</v>
      </c>
      <c r="B4866" s="1" t="s">
        <v>2106</v>
      </c>
      <c r="C4866" s="1">
        <v>0.0</v>
      </c>
      <c r="D4866" s="2" t="s">
        <v>2209</v>
      </c>
      <c r="E4866" s="1" t="str">
        <f>IFERROR(__xludf.DUMMYFUNCTION("GOOGLETRANSLATE(D4866,""PT"",""EN"")"),"Open my account, I have no credit on the credit card!")</f>
        <v>Open my account, I have no credit on the credit card!</v>
      </c>
    </row>
    <row r="4867" ht="14.25" customHeight="1">
      <c r="A4867" s="1">
        <v>100.0</v>
      </c>
      <c r="B4867" s="1" t="s">
        <v>2106</v>
      </c>
      <c r="C4867" s="1">
        <v>10.0</v>
      </c>
      <c r="D4867" s="1" t="s">
        <v>6</v>
      </c>
      <c r="E4867" s="1"/>
    </row>
    <row r="4868" ht="14.25" customHeight="1">
      <c r="A4868" s="1">
        <v>100.0</v>
      </c>
      <c r="B4868" s="1" t="s">
        <v>2106</v>
      </c>
      <c r="C4868" s="1">
        <v>10.0</v>
      </c>
      <c r="D4868" s="1" t="s">
        <v>192</v>
      </c>
      <c r="E4868" s="1" t="str">
        <f>IFERROR(__xludf.DUMMYFUNCTION("GOOGLETRANSLATE(D4868,""PT"",""EN"")"),"Great")</f>
        <v>Great</v>
      </c>
    </row>
    <row r="4869" ht="14.25" customHeight="1">
      <c r="A4869" s="1">
        <v>100.0</v>
      </c>
      <c r="B4869" s="1" t="s">
        <v>2106</v>
      </c>
      <c r="C4869" s="1">
        <v>10.0</v>
      </c>
      <c r="D4869" s="1" t="s">
        <v>6</v>
      </c>
      <c r="E4869" s="1"/>
    </row>
    <row r="4870" ht="14.25" customHeight="1">
      <c r="A4870" s="1">
        <v>100.0</v>
      </c>
      <c r="B4870" s="1" t="s">
        <v>2106</v>
      </c>
      <c r="C4870" s="1">
        <v>10.0</v>
      </c>
      <c r="D4870" s="1" t="s">
        <v>2210</v>
      </c>
      <c r="E4870" s="1" t="str">
        <f>IFERROR(__xludf.DUMMYFUNCTION("GOOGLETRANSLATE(D4870,""PT"",""EN"")"),"It is a bank that facilitates our daily life")</f>
        <v>It is a bank that facilitates our daily life</v>
      </c>
    </row>
    <row r="4871" ht="14.25" customHeight="1">
      <c r="A4871" s="1">
        <v>100.0</v>
      </c>
      <c r="B4871" s="1" t="s">
        <v>2106</v>
      </c>
      <c r="C4871" s="1">
        <v>10.0</v>
      </c>
      <c r="D4871" s="1" t="s">
        <v>6</v>
      </c>
      <c r="E4871" s="1"/>
    </row>
    <row r="4872" ht="14.25" customHeight="1">
      <c r="A4872" s="1">
        <v>33.0</v>
      </c>
      <c r="B4872" s="1" t="s">
        <v>2106</v>
      </c>
      <c r="C4872" s="1">
        <v>0.0</v>
      </c>
      <c r="D4872" s="1" t="s">
        <v>6</v>
      </c>
      <c r="E4872" s="1"/>
    </row>
    <row r="4873" ht="14.25" customHeight="1">
      <c r="A4873" s="1">
        <v>100.0</v>
      </c>
      <c r="B4873" s="1" t="s">
        <v>2106</v>
      </c>
      <c r="C4873" s="1">
        <v>10.0</v>
      </c>
      <c r="D4873" s="1" t="s">
        <v>6</v>
      </c>
      <c r="E4873" s="1"/>
    </row>
    <row r="4874" ht="14.25" customHeight="1">
      <c r="A4874" s="1">
        <v>33.0</v>
      </c>
      <c r="B4874" s="1" t="s">
        <v>2106</v>
      </c>
      <c r="C4874" s="1">
        <v>0.0</v>
      </c>
      <c r="D4874" s="2" t="s">
        <v>2211</v>
      </c>
      <c r="E4874" s="1" t="str">
        <f>IFERROR(__xludf.DUMMYFUNCTION("GOOGLETRANSLATE(D4874,""PT"",""EN"")"),"Soon discounted 100 reais from my account, unfortunately I do not recommend")</f>
        <v>Soon discounted 100 reais from my account, unfortunately I do not recommend</v>
      </c>
    </row>
    <row r="4875" ht="14.25" customHeight="1">
      <c r="A4875" s="1">
        <v>66.0</v>
      </c>
      <c r="B4875" s="1" t="s">
        <v>2106</v>
      </c>
      <c r="C4875" s="1">
        <v>8.0</v>
      </c>
      <c r="D4875" s="2" t="s">
        <v>2212</v>
      </c>
      <c r="E4875" s="1" t="str">
        <f>IFERROR(__xludf.DUMMYFUNCTION("GOOGLETRANSLATE(D4875,""PT"",""EN"")"),"It is a bank that offers good services is at good rates but in some services there is a certain bureaucracy and it takes inherent in a cooperative bank.")</f>
        <v>It is a bank that offers good services is at good rates but in some services there is a certain bureaucracy and it takes inherent in a cooperative bank.</v>
      </c>
    </row>
    <row r="4876" ht="14.25" customHeight="1">
      <c r="A4876" s="1">
        <v>100.0</v>
      </c>
      <c r="B4876" s="1" t="s">
        <v>2106</v>
      </c>
      <c r="C4876" s="1">
        <v>10.0</v>
      </c>
      <c r="D4876" s="2" t="s">
        <v>2213</v>
      </c>
      <c r="E4876" s="1" t="str">
        <f>IFERROR(__xludf.DUMMYFUNCTION("GOOGLETRANSLATE(D4876,""PT"",""EN"")"),"The form of care, promptness and agility.")</f>
        <v>The form of care, promptness and agility.</v>
      </c>
    </row>
    <row r="4877" ht="14.25" customHeight="1">
      <c r="A4877" s="1">
        <v>100.0</v>
      </c>
      <c r="B4877" s="1" t="s">
        <v>2106</v>
      </c>
      <c r="C4877" s="1">
        <v>10.0</v>
      </c>
      <c r="D4877" s="2" t="s">
        <v>2214</v>
      </c>
      <c r="E4877" s="1" t="str">
        <f>IFERROR(__xludf.DUMMYFUNCTION("GOOGLETRANSLATE(D4877,""PT"",""EN"")"),"The good relationship is the advantages I have obtained.")</f>
        <v>The good relationship is the advantages I have obtained.</v>
      </c>
    </row>
    <row r="4878" ht="14.25" customHeight="1">
      <c r="A4878" s="1">
        <v>100.0</v>
      </c>
      <c r="B4878" s="1" t="s">
        <v>2106</v>
      </c>
      <c r="C4878" s="1">
        <v>10.0</v>
      </c>
      <c r="D4878" s="1" t="s">
        <v>6</v>
      </c>
      <c r="E4878" s="1"/>
    </row>
    <row r="4879" ht="14.25" customHeight="1">
      <c r="A4879" s="1">
        <v>100.0</v>
      </c>
      <c r="B4879" s="1" t="s">
        <v>2106</v>
      </c>
      <c r="C4879" s="1">
        <v>9.0</v>
      </c>
      <c r="D4879" s="1" t="s">
        <v>6</v>
      </c>
      <c r="E4879" s="1"/>
    </row>
    <row r="4880" ht="14.25" customHeight="1">
      <c r="A4880" s="1">
        <v>33.0</v>
      </c>
      <c r="B4880" s="1" t="s">
        <v>2106</v>
      </c>
      <c r="C4880" s="1">
        <v>0.0</v>
      </c>
      <c r="D4880" s="1" t="s">
        <v>6</v>
      </c>
      <c r="E4880" s="1"/>
    </row>
    <row r="4881" ht="14.25" customHeight="1">
      <c r="A4881" s="1">
        <v>100.0</v>
      </c>
      <c r="B4881" s="1" t="s">
        <v>2106</v>
      </c>
      <c r="C4881" s="1">
        <v>9.0</v>
      </c>
      <c r="D4881" s="1" t="s">
        <v>62</v>
      </c>
      <c r="E4881" s="1" t="str">
        <f>IFERROR(__xludf.DUMMYFUNCTION("GOOGLETRANSLATE(D4881,""PT"",""EN"")"),"Good service")</f>
        <v>Good service</v>
      </c>
    </row>
    <row r="4882" ht="14.25" customHeight="1">
      <c r="A4882" s="1">
        <v>100.0</v>
      </c>
      <c r="B4882" s="1" t="s">
        <v>2106</v>
      </c>
      <c r="C4882" s="1">
        <v>10.0</v>
      </c>
      <c r="D4882" s="1" t="s">
        <v>2215</v>
      </c>
      <c r="E4882" s="1" t="str">
        <f>IFERROR(__xludf.DUMMYFUNCTION("GOOGLETRANSLATE(D4882,""PT"",""EN"")"),"Knowledge of the system")</f>
        <v>Knowledge of the system</v>
      </c>
    </row>
    <row r="4883" ht="14.25" customHeight="1">
      <c r="A4883" s="1">
        <v>100.0</v>
      </c>
      <c r="B4883" s="1" t="s">
        <v>2106</v>
      </c>
      <c r="C4883" s="1">
        <v>10.0</v>
      </c>
      <c r="D4883" s="1" t="s">
        <v>2216</v>
      </c>
      <c r="E4883" s="1" t="str">
        <f>IFERROR(__xludf.DUMMYFUNCTION("GOOGLETRANSLATE(D4883,""PT"",""EN"")"),"I was always well received")</f>
        <v>I was always well received</v>
      </c>
    </row>
    <row r="4884" ht="14.25" customHeight="1">
      <c r="A4884" s="1">
        <v>100.0</v>
      </c>
      <c r="B4884" s="1" t="s">
        <v>2106</v>
      </c>
      <c r="C4884" s="1">
        <v>10.0</v>
      </c>
      <c r="D4884" s="1" t="s">
        <v>6</v>
      </c>
      <c r="E4884" s="1"/>
    </row>
    <row r="4885" ht="14.25" customHeight="1">
      <c r="A4885" s="1">
        <v>100.0</v>
      </c>
      <c r="B4885" s="1" t="s">
        <v>2106</v>
      </c>
      <c r="C4885" s="1">
        <v>10.0</v>
      </c>
      <c r="D4885" s="1" t="s">
        <v>2217</v>
      </c>
      <c r="E4885" s="1" t="str">
        <f>IFERROR(__xludf.DUMMYFUNCTION("GOOGLETRANSLATE(D4885,""PT"",""EN"")"),"Good service in general.")</f>
        <v>Good service in general.</v>
      </c>
    </row>
    <row r="4886" ht="14.25" customHeight="1">
      <c r="A4886" s="1">
        <v>100.0</v>
      </c>
      <c r="B4886" s="1" t="s">
        <v>2106</v>
      </c>
      <c r="C4886" s="1">
        <v>10.0</v>
      </c>
      <c r="D4886" s="1" t="s">
        <v>6</v>
      </c>
      <c r="E4886" s="1"/>
    </row>
    <row r="4887" ht="14.25" customHeight="1">
      <c r="A4887" s="1">
        <v>33.0</v>
      </c>
      <c r="B4887" s="1" t="s">
        <v>2106</v>
      </c>
      <c r="C4887" s="1">
        <v>0.0</v>
      </c>
      <c r="D4887" s="1" t="s">
        <v>6</v>
      </c>
      <c r="E4887" s="1"/>
    </row>
    <row r="4888" ht="14.25" customHeight="1">
      <c r="A4888" s="1">
        <v>100.0</v>
      </c>
      <c r="B4888" s="1" t="s">
        <v>2106</v>
      </c>
      <c r="C4888" s="1">
        <v>10.0</v>
      </c>
      <c r="D4888" s="1" t="s">
        <v>9</v>
      </c>
      <c r="E4888" s="1" t="str">
        <f>IFERROR(__xludf.DUMMYFUNCTION("GOOGLETRANSLATE(D4888,""PT"",""EN"")"),"10")</f>
        <v>10</v>
      </c>
    </row>
    <row r="4889" ht="14.25" customHeight="1">
      <c r="A4889" s="1">
        <v>100.0</v>
      </c>
      <c r="B4889" s="1" t="s">
        <v>2106</v>
      </c>
      <c r="C4889" s="1">
        <v>10.0</v>
      </c>
      <c r="D4889" s="1" t="s">
        <v>6</v>
      </c>
      <c r="E4889" s="1"/>
    </row>
    <row r="4890" ht="14.25" customHeight="1">
      <c r="A4890" s="1">
        <v>33.0</v>
      </c>
      <c r="B4890" s="1" t="s">
        <v>2106</v>
      </c>
      <c r="C4890" s="1">
        <v>0.0</v>
      </c>
      <c r="D4890" s="2" t="s">
        <v>2218</v>
      </c>
      <c r="E4890" s="1" t="str">
        <f>IFERROR(__xludf.DUMMYFUNCTION("GOOGLETRANSLATE(D4890,""PT"",""EN"")"),"Very complicated request the credit card since when requesting the card only appeared limit 0.00")</f>
        <v>Very complicated request the credit card since when requesting the card only appeared limit 0.00</v>
      </c>
    </row>
    <row r="4891" ht="14.25" customHeight="1">
      <c r="A4891" s="1">
        <v>100.0</v>
      </c>
      <c r="B4891" s="1" t="s">
        <v>2106</v>
      </c>
      <c r="C4891" s="1">
        <v>10.0</v>
      </c>
      <c r="D4891" s="1" t="s">
        <v>6</v>
      </c>
      <c r="E4891" s="1"/>
    </row>
    <row r="4892" ht="14.25" customHeight="1">
      <c r="A4892" s="1">
        <v>33.0</v>
      </c>
      <c r="B4892" s="1" t="s">
        <v>2106</v>
      </c>
      <c r="C4892" s="1">
        <v>0.0</v>
      </c>
      <c r="D4892" s="2" t="s">
        <v>2219</v>
      </c>
      <c r="E4892" s="1" t="str">
        <f>IFERROR(__xludf.DUMMYFUNCTION("GOOGLETRANSLATE(D4892,""PT"",""EN"")"),"Difficult credit is high interest")</f>
        <v>Difficult credit is high interest</v>
      </c>
    </row>
    <row r="4893" ht="14.25" customHeight="1">
      <c r="A4893" s="1">
        <v>100.0</v>
      </c>
      <c r="B4893" s="1" t="s">
        <v>2106</v>
      </c>
      <c r="C4893" s="1">
        <v>10.0</v>
      </c>
      <c r="D4893" s="1" t="s">
        <v>20</v>
      </c>
      <c r="E4893" s="1" t="str">
        <f>IFERROR(__xludf.DUMMYFUNCTION("GOOGLETRANSLATE(D4893,""PT"",""EN"")"),"Very good")</f>
        <v>Very good</v>
      </c>
    </row>
    <row r="4894" ht="14.25" customHeight="1">
      <c r="A4894" s="1">
        <v>33.0</v>
      </c>
      <c r="B4894" s="1" t="s">
        <v>2106</v>
      </c>
      <c r="C4894" s="1">
        <v>0.0</v>
      </c>
      <c r="D4894" s="2" t="s">
        <v>2220</v>
      </c>
      <c r="E4894" s="1" t="str">
        <f>IFERROR(__xludf.DUMMYFUNCTION("GOOGLETRANSLATE(D4894,""PT"",""EN"")"),"Note Zero, canceled my card even paying everything on the right date is even before the due date.")</f>
        <v>Note Zero, canceled my card even paying everything on the right date is even before the due date.</v>
      </c>
    </row>
    <row r="4895" ht="14.25" customHeight="1">
      <c r="A4895" s="1">
        <v>33.0</v>
      </c>
      <c r="B4895" s="1" t="s">
        <v>2106</v>
      </c>
      <c r="C4895" s="1">
        <v>0.0</v>
      </c>
      <c r="D4895" s="2" t="s">
        <v>2221</v>
      </c>
      <c r="E4895" s="1" t="str">
        <f>IFERROR(__xludf.DUMMYFUNCTION("GOOGLETRANSLATE(D4895,""PT"",""EN"")"),"Difficulty closing the account charging fee among others")</f>
        <v>Difficulty closing the account charging fee among others</v>
      </c>
    </row>
    <row r="4896" ht="14.25" customHeight="1">
      <c r="A4896" s="1">
        <v>33.0</v>
      </c>
      <c r="B4896" s="1" t="s">
        <v>2106</v>
      </c>
      <c r="C4896" s="1">
        <v>5.0</v>
      </c>
      <c r="D4896" s="1" t="s">
        <v>6</v>
      </c>
      <c r="E4896" s="1"/>
    </row>
    <row r="4897" ht="14.25" customHeight="1">
      <c r="A4897" s="1">
        <v>100.0</v>
      </c>
      <c r="B4897" s="1" t="s">
        <v>2106</v>
      </c>
      <c r="C4897" s="1">
        <v>10.0</v>
      </c>
      <c r="D4897" s="1" t="s">
        <v>2222</v>
      </c>
      <c r="E4897" s="1" t="str">
        <f>IFERROR(__xludf.DUMMYFUNCTION("GOOGLETRANSLATE(D4897,""PT"",""EN"")"),"Wonderful service, respect for the members.")</f>
        <v>Wonderful service, respect for the members.</v>
      </c>
    </row>
    <row r="4898" ht="14.25" customHeight="1">
      <c r="A4898" s="1">
        <v>66.0</v>
      </c>
      <c r="B4898" s="1" t="s">
        <v>2106</v>
      </c>
      <c r="C4898" s="1">
        <v>8.0</v>
      </c>
      <c r="D4898" s="2" t="s">
        <v>2223</v>
      </c>
      <c r="E4898" s="1" t="str">
        <f>IFERROR(__xludf.DUMMYFUNCTION("GOOGLETRANSLATE(D4898,""PT"",""EN"")"),"Low rates, but bad investments.")</f>
        <v>Low rates, but bad investments.</v>
      </c>
    </row>
    <row r="4899" ht="14.25" customHeight="1">
      <c r="A4899" s="1">
        <v>100.0</v>
      </c>
      <c r="B4899" s="1" t="s">
        <v>2106</v>
      </c>
      <c r="C4899" s="1">
        <v>10.0</v>
      </c>
      <c r="D4899" s="1" t="s">
        <v>2224</v>
      </c>
      <c r="E4899" s="1" t="str">
        <f>IFERROR(__xludf.DUMMYFUNCTION("GOOGLETRANSLATE(D4899,""PT"",""EN"")"),"The service is of excellence.")</f>
        <v>The service is of excellence.</v>
      </c>
    </row>
    <row r="4900" ht="14.25" customHeight="1">
      <c r="A4900" s="1">
        <v>100.0</v>
      </c>
      <c r="B4900" s="1" t="s">
        <v>2106</v>
      </c>
      <c r="C4900" s="1">
        <v>10.0</v>
      </c>
      <c r="D4900" s="1" t="s">
        <v>9</v>
      </c>
      <c r="E4900" s="1" t="str">
        <f>IFERROR(__xludf.DUMMYFUNCTION("GOOGLETRANSLATE(D4900,""PT"",""EN"")"),"10")</f>
        <v>10</v>
      </c>
    </row>
    <row r="4901" ht="14.25" customHeight="1">
      <c r="A4901" s="1">
        <v>100.0</v>
      </c>
      <c r="B4901" s="1" t="s">
        <v>2106</v>
      </c>
      <c r="C4901" s="1">
        <v>10.0</v>
      </c>
      <c r="D4901" s="1" t="s">
        <v>97</v>
      </c>
      <c r="E4901" s="1" t="str">
        <f>IFERROR(__xludf.DUMMYFUNCTION("GOOGLETRANSLATE(D4901,""PT"",""EN"")"),"Excellent")</f>
        <v>Excellent</v>
      </c>
    </row>
    <row r="4902" ht="14.25" customHeight="1">
      <c r="A4902" s="1">
        <v>100.0</v>
      </c>
      <c r="B4902" s="1" t="s">
        <v>2106</v>
      </c>
      <c r="C4902" s="1">
        <v>10.0</v>
      </c>
      <c r="D4902" s="1" t="s">
        <v>22</v>
      </c>
      <c r="E4902" s="1" t="str">
        <f>IFERROR(__xludf.DUMMYFUNCTION("GOOGLETRANSLATE(D4902,""PT"",""EN"")"),"Excellent service")</f>
        <v>Excellent service</v>
      </c>
    </row>
    <row r="4903" ht="14.25" customHeight="1">
      <c r="A4903" s="1">
        <v>100.0</v>
      </c>
      <c r="B4903" s="1" t="s">
        <v>2106</v>
      </c>
      <c r="C4903" s="1">
        <v>10.0</v>
      </c>
      <c r="D4903" s="1" t="s">
        <v>6</v>
      </c>
      <c r="E4903" s="1"/>
    </row>
    <row r="4904" ht="14.25" customHeight="1">
      <c r="A4904" s="1">
        <v>100.0</v>
      </c>
      <c r="B4904" s="1" t="s">
        <v>2106</v>
      </c>
      <c r="C4904" s="1">
        <v>10.0</v>
      </c>
      <c r="D4904" s="1" t="s">
        <v>6</v>
      </c>
      <c r="E4904" s="1"/>
    </row>
    <row r="4905" ht="14.25" customHeight="1">
      <c r="A4905" s="1">
        <v>33.0</v>
      </c>
      <c r="B4905" s="1" t="s">
        <v>2106</v>
      </c>
      <c r="C4905" s="1">
        <v>0.0</v>
      </c>
      <c r="D4905" s="2" t="s">
        <v>2225</v>
      </c>
      <c r="E4905" s="1" t="str">
        <f>IFERROR(__xludf.DUMMYFUNCTION("GOOGLETRANSLATE(D4905,""PT"",""EN"")"),"Stopped paying profit sharing. I'm falling out")</f>
        <v>Stopped paying profit sharing. I'm falling out</v>
      </c>
    </row>
    <row r="4906" ht="14.25" customHeight="1">
      <c r="A4906" s="1">
        <v>100.0</v>
      </c>
      <c r="B4906" s="1" t="s">
        <v>2106</v>
      </c>
      <c r="C4906" s="1">
        <v>10.0</v>
      </c>
      <c r="D4906" s="2" t="s">
        <v>2226</v>
      </c>
      <c r="E4906" s="1" t="str">
        <f>IFERROR(__xludf.DUMMYFUNCTION("GOOGLETRANSLATE(D4906,""PT"",""EN"")"),"Excellent service and good products.")</f>
        <v>Excellent service and good products.</v>
      </c>
    </row>
    <row r="4907" ht="14.25" customHeight="1">
      <c r="A4907" s="1">
        <v>100.0</v>
      </c>
      <c r="B4907" s="1" t="s">
        <v>2106</v>
      </c>
      <c r="C4907" s="1">
        <v>10.0</v>
      </c>
      <c r="D4907" s="2" t="s">
        <v>2227</v>
      </c>
      <c r="E4907" s="1" t="str">
        <f>IFERROR(__xludf.DUMMYFUNCTION("GOOGLETRANSLATE(D4907,""PT"",""EN"")"),"Promptness and security in service.")</f>
        <v>Promptness and security in service.</v>
      </c>
    </row>
    <row r="4908" ht="14.25" customHeight="1">
      <c r="A4908" s="1">
        <v>100.0</v>
      </c>
      <c r="B4908" s="1" t="s">
        <v>2106</v>
      </c>
      <c r="C4908" s="1">
        <v>10.0</v>
      </c>
      <c r="D4908" s="1" t="s">
        <v>6</v>
      </c>
      <c r="E4908" s="1"/>
    </row>
    <row r="4909" ht="14.25" customHeight="1">
      <c r="A4909" s="1">
        <v>33.0</v>
      </c>
      <c r="B4909" s="1" t="s">
        <v>2106</v>
      </c>
      <c r="C4909" s="1">
        <v>0.0</v>
      </c>
      <c r="D4909" s="2" t="s">
        <v>2228</v>
      </c>
      <c r="E4909" s="1" t="str">
        <f>IFERROR(__xludf.DUMMYFUNCTION("GOOGLETRANSLATE(D4909,""PT"",""EN"")"),"Without credit")</f>
        <v>Without credit</v>
      </c>
    </row>
    <row r="4910" ht="14.25" customHeight="1">
      <c r="A4910" s="1">
        <v>100.0</v>
      </c>
      <c r="B4910" s="1" t="s">
        <v>2106</v>
      </c>
      <c r="C4910" s="1">
        <v>10.0</v>
      </c>
      <c r="D4910" s="2" t="s">
        <v>2229</v>
      </c>
      <c r="E4910" s="1" t="str">
        <f>IFERROR(__xludf.DUMMYFUNCTION("GOOGLETRANSLATE(D4910,""PT"",""EN"")"),"I took, paid is ended!")</f>
        <v>I took, paid is ended!</v>
      </c>
    </row>
    <row r="4911" ht="14.25" customHeight="1">
      <c r="A4911" s="1">
        <v>100.0</v>
      </c>
      <c r="B4911" s="1" t="s">
        <v>2106</v>
      </c>
      <c r="C4911" s="1">
        <v>10.0</v>
      </c>
      <c r="D4911" s="1" t="s">
        <v>6</v>
      </c>
      <c r="E4911" s="1"/>
    </row>
    <row r="4912" ht="14.25" customHeight="1">
      <c r="A4912" s="1">
        <v>100.0</v>
      </c>
      <c r="B4912" s="1" t="s">
        <v>2106</v>
      </c>
      <c r="C4912" s="1">
        <v>10.0</v>
      </c>
      <c r="D4912" s="1" t="s">
        <v>6</v>
      </c>
      <c r="E4912" s="1"/>
    </row>
    <row r="4913" ht="14.25" customHeight="1">
      <c r="A4913" s="1">
        <v>100.0</v>
      </c>
      <c r="B4913" s="1" t="s">
        <v>2106</v>
      </c>
      <c r="C4913" s="1">
        <v>9.0</v>
      </c>
      <c r="D4913" s="1" t="s">
        <v>505</v>
      </c>
      <c r="E4913" s="1" t="str">
        <f>IFERROR(__xludf.DUMMYFUNCTION("GOOGLETRANSLATE(D4913,""PT"",""EN"")"),"9")</f>
        <v>9</v>
      </c>
    </row>
    <row r="4914" ht="14.25" customHeight="1">
      <c r="A4914" s="1">
        <v>33.0</v>
      </c>
      <c r="B4914" s="1" t="s">
        <v>2106</v>
      </c>
      <c r="C4914" s="1">
        <v>1.0</v>
      </c>
      <c r="D4914" s="2" t="s">
        <v>2230</v>
      </c>
      <c r="E4914" s="1" t="str">
        <f>IFERROR(__xludf.DUMMYFUNCTION("GOOGLETRANSLATE(D4914,""PT"",""EN"")"),"1. Extremely bureaucratic bank. To this day it requires 2 references to open an account. Mine was stopped for days for lack of it. 2. My company's paperwork was completely digital. I explained this to the attendant. But she insisted that I should go to th"&amp;"e registry is to authenticate the signatures! Hey! Like this?! How does an authentic registry office digital signature? kkk 3. The capital account is a trap. The monthly contribution has no correction is deteriorated by the inflationary effect. Not only t"&amp;"hat, you only take it withdrawn from it with the closing of relationship is at this moment that Sicoob warns you that it will return you in gentle installments without interest or correction!")</f>
        <v>1. Extremely bureaucratic bank. To this day it requires 2 references to open an account. Mine was stopped for days for lack of it. 2. My company's paperwork was completely digital. I explained this to the attendant. But she insisted that I should go to the registry is to authenticate the signatures! Hey! Like this?! How does an authentic registry office digital signature? kkk 3. The capital account is a trap. The monthly contribution has no correction is deteriorated by the inflationary effect. Not only that, you only take it withdrawn from it with the closing of relationship is at this moment that Sicoob warns you that it will return you in gentle installments without interest or correction!</v>
      </c>
    </row>
    <row r="4915" ht="14.25" customHeight="1">
      <c r="A4915" s="1">
        <v>66.0</v>
      </c>
      <c r="B4915" s="1" t="s">
        <v>2106</v>
      </c>
      <c r="C4915" s="1">
        <v>8.0</v>
      </c>
      <c r="D4915" s="1" t="s">
        <v>6</v>
      </c>
      <c r="E4915" s="1"/>
    </row>
    <row r="4916" ht="14.25" customHeight="1">
      <c r="A4916" s="1">
        <v>100.0</v>
      </c>
      <c r="B4916" s="1" t="s">
        <v>2106</v>
      </c>
      <c r="C4916" s="1">
        <v>10.0</v>
      </c>
      <c r="D4916" s="1" t="s">
        <v>6</v>
      </c>
      <c r="E4916" s="1"/>
    </row>
    <row r="4917" ht="14.25" customHeight="1">
      <c r="A4917" s="1">
        <v>100.0</v>
      </c>
      <c r="B4917" s="1" t="s">
        <v>2106</v>
      </c>
      <c r="C4917" s="1">
        <v>10.0</v>
      </c>
      <c r="D4917" s="2" t="s">
        <v>2231</v>
      </c>
      <c r="E4917" s="1" t="str">
        <f>IFERROR(__xludf.DUMMYFUNCTION("GOOGLETRANSLATE(D4917,""PT"",""EN"")"),"Everything works very well is without much bureaucracy. The mobile app works very well. When I rarely need cash, I can easily withdraw money in the 24h boxes, when there is no Sicoob agency around.")</f>
        <v>Everything works very well is without much bureaucracy. The mobile app works very well. When I rarely need cash, I can easily withdraw money in the 24h boxes, when there is no Sicoob agency around.</v>
      </c>
    </row>
    <row r="4918" ht="14.25" customHeight="1">
      <c r="A4918" s="1">
        <v>66.0</v>
      </c>
      <c r="B4918" s="1" t="s">
        <v>2106</v>
      </c>
      <c r="C4918" s="1">
        <v>7.0</v>
      </c>
      <c r="D4918" s="1" t="s">
        <v>6</v>
      </c>
      <c r="E4918" s="1"/>
    </row>
    <row r="4919" ht="14.25" customHeight="1">
      <c r="A4919" s="1">
        <v>100.0</v>
      </c>
      <c r="B4919" s="1" t="s">
        <v>2106</v>
      </c>
      <c r="C4919" s="1">
        <v>9.0</v>
      </c>
      <c r="D4919" s="1" t="s">
        <v>1405</v>
      </c>
      <c r="E4919" s="1" t="str">
        <f>IFERROR(__xludf.DUMMYFUNCTION("GOOGLETRANSLATE(D4919,""PT"",""EN"")"),"Agility in service")</f>
        <v>Agility in service</v>
      </c>
    </row>
    <row r="4920" ht="14.25" customHeight="1">
      <c r="A4920" s="1">
        <v>100.0</v>
      </c>
      <c r="B4920" s="1" t="s">
        <v>2106</v>
      </c>
      <c r="C4920" s="1">
        <v>10.0</v>
      </c>
      <c r="D4920" s="2" t="s">
        <v>2232</v>
      </c>
      <c r="E4920" s="1" t="str">
        <f>IFERROR(__xludf.DUMMYFUNCTION("GOOGLETRANSLATE(D4920,""PT"",""EN"")"),"TRANQUILITY. Lower interest. Comfortable workline.")</f>
        <v>TRANQUILITY. Lower interest. Comfortable workline.</v>
      </c>
    </row>
    <row r="4921" ht="14.25" customHeight="1">
      <c r="A4921" s="1">
        <v>100.0</v>
      </c>
      <c r="B4921" s="1" t="s">
        <v>2106</v>
      </c>
      <c r="C4921" s="1">
        <v>10.0</v>
      </c>
      <c r="D4921" s="1" t="s">
        <v>6</v>
      </c>
      <c r="E4921" s="1"/>
    </row>
    <row r="4922" ht="14.25" customHeight="1">
      <c r="A4922" s="1">
        <v>100.0</v>
      </c>
      <c r="B4922" s="1" t="s">
        <v>2106</v>
      </c>
      <c r="C4922" s="1">
        <v>9.0</v>
      </c>
      <c r="D4922" s="1" t="s">
        <v>6</v>
      </c>
      <c r="E4922" s="1"/>
    </row>
    <row r="4923" ht="14.25" customHeight="1">
      <c r="A4923" s="1">
        <v>100.0</v>
      </c>
      <c r="B4923" s="1" t="s">
        <v>2106</v>
      </c>
      <c r="C4923" s="1">
        <v>10.0</v>
      </c>
      <c r="D4923" s="2" t="s">
        <v>2233</v>
      </c>
      <c r="E4923" s="1" t="str">
        <f>IFERROR(__xludf.DUMMYFUNCTION("GOOGLETRANSLATE(D4923,""PT"",""EN"")"),"I solved my problem fast")</f>
        <v>I solved my problem fast</v>
      </c>
    </row>
    <row r="4924" ht="14.25" customHeight="1">
      <c r="A4924" s="1">
        <v>33.0</v>
      </c>
      <c r="B4924" s="1" t="s">
        <v>2106</v>
      </c>
      <c r="C4924" s="1">
        <v>0.0</v>
      </c>
      <c r="D4924" s="1" t="s">
        <v>2234</v>
      </c>
      <c r="E4924" s="1"/>
    </row>
    <row r="4925" ht="14.25" customHeight="1">
      <c r="A4925" s="1">
        <v>100.0</v>
      </c>
      <c r="B4925" s="1" t="s">
        <v>2106</v>
      </c>
      <c r="C4925" s="1">
        <v>10.0</v>
      </c>
      <c r="D4925" s="2" t="s">
        <v>2235</v>
      </c>
      <c r="E4925" s="1" t="str">
        <f>IFERROR(__xludf.DUMMYFUNCTION("GOOGLETRANSLATE(D4925,""PT"",""EN"")"),"The strong commitment to overcome resistance to make a service more than necessary to a needy paúbling available.")</f>
        <v>The strong commitment to overcome resistance to make a service more than necessary to a needy paúbling available.</v>
      </c>
    </row>
    <row r="4926" ht="14.25" customHeight="1">
      <c r="A4926" s="1">
        <v>100.0</v>
      </c>
      <c r="B4926" s="1" t="s">
        <v>2106</v>
      </c>
      <c r="C4926" s="1">
        <v>9.0</v>
      </c>
      <c r="D4926" s="1" t="s">
        <v>2236</v>
      </c>
      <c r="E4926" s="1" t="str">
        <f>IFERROR(__xludf.DUMMYFUNCTION("GOOGLETRANSLATE(D4926,""PT"",""EN"")"),"The treatment")</f>
        <v>The treatment</v>
      </c>
    </row>
    <row r="4927" ht="14.25" customHeight="1">
      <c r="A4927" s="1">
        <v>100.0</v>
      </c>
      <c r="B4927" s="1" t="s">
        <v>2106</v>
      </c>
      <c r="C4927" s="1">
        <v>10.0</v>
      </c>
      <c r="D4927" s="1" t="s">
        <v>6</v>
      </c>
      <c r="E4927" s="1"/>
    </row>
    <row r="4928" ht="14.25" customHeight="1">
      <c r="A4928" s="1">
        <v>33.0</v>
      </c>
      <c r="B4928" s="1" t="s">
        <v>2106</v>
      </c>
      <c r="C4928" s="1">
        <v>6.0</v>
      </c>
      <c r="D4928" s="1" t="s">
        <v>2237</v>
      </c>
      <c r="E4928" s="1" t="str">
        <f>IFERROR(__xludf.DUMMYFUNCTION("GOOGLETRANSLATE(D4928,""PT"",""EN"")"),"The provision of services")</f>
        <v>The provision of services</v>
      </c>
    </row>
    <row r="4929" ht="14.25" customHeight="1">
      <c r="A4929" s="1">
        <v>33.0</v>
      </c>
      <c r="B4929" s="1" t="s">
        <v>2106</v>
      </c>
      <c r="C4929" s="1">
        <v>5.0</v>
      </c>
      <c r="D4929" s="1" t="s">
        <v>2238</v>
      </c>
      <c r="E4929" s="1" t="str">
        <f>IFERROR(__xludf.DUMMYFUNCTION("GOOGLETRANSLATE(D4929,""PT"",""EN"")"),"I had difficulty with money at the terminal")</f>
        <v>I had difficulty with money at the terminal</v>
      </c>
    </row>
    <row r="4930" ht="14.25" customHeight="1">
      <c r="A4930" s="1">
        <v>100.0</v>
      </c>
      <c r="B4930" s="1" t="s">
        <v>2106</v>
      </c>
      <c r="C4930" s="1">
        <v>10.0</v>
      </c>
      <c r="D4930" s="1" t="s">
        <v>2239</v>
      </c>
      <c r="E4930" s="1" t="str">
        <f>IFERROR(__xludf.DUMMYFUNCTION("GOOGLETRANSLATE(D4930,""PT"",""EN"")"),"evolution")</f>
        <v>evolution</v>
      </c>
    </row>
    <row r="4931" ht="14.25" customHeight="1">
      <c r="A4931" s="1">
        <v>33.0</v>
      </c>
      <c r="B4931" s="1" t="s">
        <v>2106</v>
      </c>
      <c r="C4931" s="1">
        <v>5.0</v>
      </c>
      <c r="D4931" s="2" t="s">
        <v>2240</v>
      </c>
      <c r="E4931" s="1" t="str">
        <f>IFERROR(__xludf.DUMMYFUNCTION("GOOGLETRANSLATE(D4931,""PT"",""EN"")"),"In a business manner, the manager leaves something to be desired. Several times I tried to negotiate the cooperative's own machine in my ""SISPAG"" establishment is I had no position of the manager. The Sicoobcard invoice, does not arrive at the address, "&amp;"is via email only arrives late.")</f>
        <v>In a business manner, the manager leaves something to be desired. Several times I tried to negotiate the cooperative's own machine in my "SISPAG" establishment is I had no position of the manager. The Sicoobcard invoice, does not arrive at the address, is via email only arrives late.</v>
      </c>
    </row>
    <row r="4932" ht="14.25" customHeight="1">
      <c r="A4932" s="1">
        <v>100.0</v>
      </c>
      <c r="B4932" s="1" t="s">
        <v>2106</v>
      </c>
      <c r="C4932" s="1">
        <v>10.0</v>
      </c>
      <c r="D4932" s="1" t="s">
        <v>6</v>
      </c>
      <c r="E4932" s="1"/>
    </row>
    <row r="4933" ht="14.25" customHeight="1">
      <c r="A4933" s="1">
        <v>100.0</v>
      </c>
      <c r="B4933" s="1" t="s">
        <v>2106</v>
      </c>
      <c r="C4933" s="1">
        <v>10.0</v>
      </c>
      <c r="D4933" s="2" t="s">
        <v>2241</v>
      </c>
      <c r="E4933" s="1" t="str">
        <f>IFERROR(__xludf.DUMMYFUNCTION("GOOGLETRANSLATE(D4933,""PT"",""EN"")"),"It's very cool bank reliable, it helped me a lot when I opened my business. A good bank to invest the money is also to save.")</f>
        <v>It's very cool bank reliable, it helped me a lot when I opened my business. A good bank to invest the money is also to save.</v>
      </c>
    </row>
    <row r="4934" ht="14.25" customHeight="1">
      <c r="A4934" s="1">
        <v>33.0</v>
      </c>
      <c r="B4934" s="1" t="s">
        <v>2106</v>
      </c>
      <c r="C4934" s="1">
        <v>1.0</v>
      </c>
      <c r="D4934" s="2" t="s">
        <v>2242</v>
      </c>
      <c r="E4934" s="1" t="str">
        <f>IFERROR(__xludf.DUMMYFUNCTION("GOOGLETRANSLATE(D4934,""PT"",""EN"")"),"Open the account I have no restrictions, my score in Serasa is 928 points is the bank did not free $ 10 reais of credit. 😭")</f>
        <v>Open the account I have no restrictions, my score in Serasa is 928 points is the bank did not free $ 10 reais of credit. 😭</v>
      </c>
    </row>
    <row r="4935" ht="14.25" customHeight="1">
      <c r="A4935" s="1">
        <v>100.0</v>
      </c>
      <c r="B4935" s="1" t="s">
        <v>2106</v>
      </c>
      <c r="C4935" s="1">
        <v>10.0</v>
      </c>
      <c r="D4935" s="1" t="s">
        <v>6</v>
      </c>
      <c r="E4935" s="1"/>
    </row>
    <row r="4936" ht="14.25" customHeight="1">
      <c r="A4936" s="1">
        <v>33.0</v>
      </c>
      <c r="B4936" s="1" t="s">
        <v>2106</v>
      </c>
      <c r="C4936" s="1">
        <v>0.0</v>
      </c>
      <c r="D4936" s="1" t="s">
        <v>6</v>
      </c>
      <c r="E4936" s="1"/>
    </row>
    <row r="4937" ht="14.25" customHeight="1">
      <c r="A4937" s="1">
        <v>100.0</v>
      </c>
      <c r="B4937" s="1" t="s">
        <v>2106</v>
      </c>
      <c r="C4937" s="1">
        <v>10.0</v>
      </c>
      <c r="D4937" s="2" t="s">
        <v>2243</v>
      </c>
      <c r="E4937" s="1" t="str">
        <f>IFERROR(__xludf.DUMMYFUNCTION("GOOGLETRANSLATE(D4937,""PT"",""EN"")"),"confidence and ease of service")</f>
        <v>confidence and ease of service</v>
      </c>
    </row>
    <row r="4938" ht="14.25" customHeight="1">
      <c r="A4938" s="1">
        <v>100.0</v>
      </c>
      <c r="B4938" s="1" t="s">
        <v>2106</v>
      </c>
      <c r="C4938" s="1">
        <v>10.0</v>
      </c>
      <c r="D4938" s="1" t="s">
        <v>166</v>
      </c>
      <c r="E4938" s="1" t="str">
        <f>IFERROR(__xludf.DUMMYFUNCTION("GOOGLETRANSLATE(D4938,""PT"",""EN"")"),"Excellent service.")</f>
        <v>Excellent service.</v>
      </c>
    </row>
    <row r="4939" ht="14.25" customHeight="1">
      <c r="A4939" s="1">
        <v>66.0</v>
      </c>
      <c r="B4939" s="1" t="s">
        <v>2106</v>
      </c>
      <c r="C4939" s="1">
        <v>8.0</v>
      </c>
      <c r="D4939" s="1" t="s">
        <v>6</v>
      </c>
      <c r="E4939" s="1"/>
    </row>
    <row r="4940" ht="14.25" customHeight="1">
      <c r="A4940" s="1">
        <v>100.0</v>
      </c>
      <c r="B4940" s="1" t="s">
        <v>2106</v>
      </c>
      <c r="C4940" s="1">
        <v>10.0</v>
      </c>
      <c r="D4940" s="1" t="s">
        <v>6</v>
      </c>
      <c r="E4940" s="1"/>
    </row>
    <row r="4941" ht="14.25" customHeight="1">
      <c r="A4941" s="1">
        <v>66.0</v>
      </c>
      <c r="B4941" s="1" t="s">
        <v>2106</v>
      </c>
      <c r="C4941" s="1">
        <v>8.0</v>
      </c>
      <c r="D4941" s="1" t="s">
        <v>2244</v>
      </c>
      <c r="E4941" s="1" t="str">
        <f>IFERROR(__xludf.DUMMYFUNCTION("GOOGLETRANSLATE(D4941,""PT"",""EN"")"),"I think is cool")</f>
        <v>I think is cool</v>
      </c>
    </row>
    <row r="4942" ht="14.25" customHeight="1">
      <c r="A4942" s="1">
        <v>33.0</v>
      </c>
      <c r="B4942" s="1" t="s">
        <v>2106</v>
      </c>
      <c r="C4942" s="1">
        <v>1.0</v>
      </c>
      <c r="D4942" s="1" t="s">
        <v>1545</v>
      </c>
      <c r="E4942" s="1" t="str">
        <f>IFERROR(__xludf.DUMMYFUNCTION("GOOGLETRANSLATE(D4942,""PT"",""EN"")"),"Relationship")</f>
        <v>Relationship</v>
      </c>
    </row>
    <row r="4943" ht="14.25" customHeight="1">
      <c r="A4943" s="1">
        <v>33.0</v>
      </c>
      <c r="B4943" s="1" t="s">
        <v>2106</v>
      </c>
      <c r="C4943" s="1">
        <v>4.0</v>
      </c>
      <c r="D4943" s="2" t="s">
        <v>2245</v>
      </c>
      <c r="E4943" s="1" t="str">
        <f>IFERROR(__xludf.DUMMYFUNCTION("GOOGLETRANSLATE(D4943,""PT"",""EN"")"),"Lots of bureaucracy to take the letter of credit")</f>
        <v>Lots of bureaucracy to take the letter of credit</v>
      </c>
    </row>
    <row r="4944" ht="14.25" customHeight="1">
      <c r="A4944" s="1">
        <v>100.0</v>
      </c>
      <c r="B4944" s="1" t="s">
        <v>2106</v>
      </c>
      <c r="C4944" s="1">
        <v>10.0</v>
      </c>
      <c r="D4944" s="1" t="s">
        <v>17</v>
      </c>
      <c r="E4944" s="1" t="str">
        <f>IFERROR(__xludf.DUMMYFUNCTION("GOOGLETRANSLATE(D4944,""PT"",""EN"")"),"Satisfaction")</f>
        <v>Satisfaction</v>
      </c>
    </row>
    <row r="4945" ht="14.25" customHeight="1">
      <c r="A4945" s="1">
        <v>100.0</v>
      </c>
      <c r="B4945" s="1" t="s">
        <v>2106</v>
      </c>
      <c r="C4945" s="1">
        <v>10.0</v>
      </c>
      <c r="D4945" s="1" t="s">
        <v>6</v>
      </c>
      <c r="E4945" s="1"/>
    </row>
    <row r="4946" ht="14.25" customHeight="1">
      <c r="A4946" s="1">
        <v>33.0</v>
      </c>
      <c r="B4946" s="1" t="s">
        <v>2106</v>
      </c>
      <c r="C4946" s="1">
        <v>5.0</v>
      </c>
      <c r="D4946" s="2" t="s">
        <v>2246</v>
      </c>
      <c r="E4946" s="1" t="str">
        <f>IFERROR(__xludf.DUMMYFUNCTION("GOOGLETRANSLATE(D4946,""PT"",""EN"")"),"Sicoob no longer the same to its partners.")</f>
        <v>Sicoob no longer the same to its partners.</v>
      </c>
    </row>
    <row r="4947" ht="14.25" customHeight="1">
      <c r="A4947" s="1">
        <v>66.0</v>
      </c>
      <c r="B4947" s="1" t="s">
        <v>2106</v>
      </c>
      <c r="C4947" s="1">
        <v>7.0</v>
      </c>
      <c r="D4947" s="1" t="s">
        <v>6</v>
      </c>
      <c r="E4947" s="1"/>
    </row>
    <row r="4948" ht="14.25" customHeight="1">
      <c r="A4948" s="1">
        <v>100.0</v>
      </c>
      <c r="B4948" s="1" t="s">
        <v>2106</v>
      </c>
      <c r="C4948" s="1">
        <v>10.0</v>
      </c>
      <c r="D4948" s="1" t="s">
        <v>2247</v>
      </c>
      <c r="E4948" s="1" t="str">
        <f>IFERROR(__xludf.DUMMYFUNCTION("GOOGLETRANSLATE(D4948,""PT"",""EN"")"),"Too good")</f>
        <v>Too good</v>
      </c>
    </row>
    <row r="4949" ht="14.25" customHeight="1">
      <c r="A4949" s="1">
        <v>100.0</v>
      </c>
      <c r="B4949" s="1" t="s">
        <v>2106</v>
      </c>
      <c r="C4949" s="1">
        <v>9.0</v>
      </c>
      <c r="D4949" s="1" t="s">
        <v>2248</v>
      </c>
      <c r="E4949" s="1" t="str">
        <f>IFERROR(__xludf.DUMMYFUNCTION("GOOGLETRANSLATE(D4949,""PT"",""EN"")"),"Attention exempted by its representatives in the city.")</f>
        <v>Attention exempted by its representatives in the city.</v>
      </c>
    </row>
    <row r="4950" ht="14.25" customHeight="1">
      <c r="A4950" s="1">
        <v>100.0</v>
      </c>
      <c r="B4950" s="1" t="s">
        <v>2106</v>
      </c>
      <c r="C4950" s="1">
        <v>10.0</v>
      </c>
      <c r="D4950" s="1" t="s">
        <v>6</v>
      </c>
      <c r="E4950" s="1"/>
    </row>
    <row r="4951" ht="14.25" customHeight="1">
      <c r="A4951" s="1">
        <v>100.0</v>
      </c>
      <c r="B4951" s="1" t="s">
        <v>2106</v>
      </c>
      <c r="C4951" s="1">
        <v>10.0</v>
      </c>
      <c r="D4951" s="1" t="s">
        <v>2249</v>
      </c>
      <c r="E4951" s="1" t="str">
        <f>IFERROR(__xludf.DUMMYFUNCTION("GOOGLETRANSLATE(D4951,""PT"",""EN"")"),"Great bank recommend")</f>
        <v>Great bank recommend</v>
      </c>
    </row>
    <row r="4952" ht="14.25" customHeight="1">
      <c r="A4952" s="1">
        <v>100.0</v>
      </c>
      <c r="B4952" s="1" t="s">
        <v>2106</v>
      </c>
      <c r="C4952" s="1">
        <v>9.0</v>
      </c>
      <c r="D4952" s="1" t="s">
        <v>1903</v>
      </c>
      <c r="E4952" s="1" t="str">
        <f>IFERROR(__xludf.DUMMYFUNCTION("GOOGLETRANSLATE(D4952,""PT"",""EN"")"),"Promptness in service")</f>
        <v>Promptness in service</v>
      </c>
    </row>
    <row r="4953" ht="14.25" customHeight="1">
      <c r="A4953" s="1">
        <v>100.0</v>
      </c>
      <c r="B4953" s="1" t="s">
        <v>2106</v>
      </c>
      <c r="C4953" s="1">
        <v>10.0</v>
      </c>
      <c r="D4953" s="1" t="s">
        <v>2250</v>
      </c>
      <c r="E4953" s="1" t="str">
        <f>IFERROR(__xludf.DUMMYFUNCTION("GOOGLETRANSLATE(D4953,""PT"",""EN"")"),"Investment")</f>
        <v>Investment</v>
      </c>
    </row>
    <row r="4954" ht="14.25" customHeight="1">
      <c r="A4954" s="1">
        <v>33.0</v>
      </c>
      <c r="B4954" s="1" t="s">
        <v>2106</v>
      </c>
      <c r="C4954" s="1">
        <v>5.0</v>
      </c>
      <c r="D4954" s="2" t="s">
        <v>2251</v>
      </c>
      <c r="E4954" s="1" t="str">
        <f>IFERROR(__xludf.DUMMYFUNCTION("GOOGLETRANSLATE(D4954,""PT"",""EN"")"),"Because while we have money to invest or move it is a large bank, we wear the customer's shirt, but when things have changed is unemployment, it has no availability for negotiation, imposing values ​​of up to 40% of the debt in order to start an onset of "&amp;"negotiation , that is not making us feel partners, it really is not worth being honest, telling the truth, is to present ourselves in good faith without even being charged, unfortunately the immediate trip to negotiation without even being negative, this "&amp;"attitude was not valued not valued … Anyway, like every bank, we are worth what we have")</f>
        <v>Because while we have money to invest or move it is a large bank, we wear the customer's shirt, but when things have changed is unemployment, it has no availability for negotiation, imposing values ​​of up to 40% of the debt in order to start an onset of negotiation , that is not making us feel partners, it really is not worth being honest, telling the truth, is to present ourselves in good faith without even being charged, unfortunately the immediate trip to negotiation without even being negative, this attitude was not valued not valued … Anyway, like every bank, we are worth what we have</v>
      </c>
    </row>
    <row r="4955" ht="14.25" customHeight="1">
      <c r="A4955" s="1">
        <v>100.0</v>
      </c>
      <c r="B4955" s="1" t="s">
        <v>2106</v>
      </c>
      <c r="C4955" s="1">
        <v>9.0</v>
      </c>
      <c r="D4955" s="1" t="s">
        <v>2252</v>
      </c>
      <c r="E4955" s="1" t="str">
        <f>IFERROR(__xludf.DUMMYFUNCTION("GOOGLETRANSLATE(D4955,""PT"",""EN"")"),"Best rates")</f>
        <v>Best rates</v>
      </c>
    </row>
    <row r="4956" ht="14.25" customHeight="1">
      <c r="A4956" s="1">
        <v>33.0</v>
      </c>
      <c r="B4956" s="1" t="s">
        <v>2106</v>
      </c>
      <c r="C4956" s="1">
        <v>0.0</v>
      </c>
      <c r="D4956" s="1" t="s">
        <v>2253</v>
      </c>
      <c r="E4956" s="1" t="str">
        <f>IFERROR(__xludf.DUMMYFUNCTION("GOOGLETRANSLATE(D4956,""PT"",""EN"")"),"Misleading")</f>
        <v>Misleading</v>
      </c>
    </row>
    <row r="4957" ht="14.25" customHeight="1">
      <c r="A4957" s="1">
        <v>100.0</v>
      </c>
      <c r="B4957" s="1" t="s">
        <v>2106</v>
      </c>
      <c r="C4957" s="1">
        <v>10.0</v>
      </c>
      <c r="D4957" s="1" t="s">
        <v>2254</v>
      </c>
      <c r="E4957" s="1" t="str">
        <f>IFERROR(__xludf.DUMMYFUNCTION("GOOGLETRANSLATE(D4957,""PT"",""EN"")"),"The services provided by the team are very good")</f>
        <v>The services provided by the team are very good</v>
      </c>
    </row>
    <row r="4958" ht="14.25" customHeight="1">
      <c r="A4958" s="1">
        <v>100.0</v>
      </c>
      <c r="B4958" s="1" t="s">
        <v>2106</v>
      </c>
      <c r="C4958" s="1">
        <v>10.0</v>
      </c>
      <c r="D4958" s="1" t="s">
        <v>2255</v>
      </c>
      <c r="E4958" s="1" t="str">
        <f>IFERROR(__xludf.DUMMYFUNCTION("GOOGLETRANSLATE(D4958,""PT"",""EN"")"),"Sicoob is ten")</f>
        <v>Sicoob is ten</v>
      </c>
    </row>
    <row r="4959" ht="14.25" customHeight="1">
      <c r="A4959" s="1">
        <v>66.0</v>
      </c>
      <c r="B4959" s="1" t="s">
        <v>2106</v>
      </c>
      <c r="C4959" s="1">
        <v>7.0</v>
      </c>
      <c r="D4959" s="1" t="s">
        <v>2256</v>
      </c>
      <c r="E4959" s="1" t="str">
        <f>IFERROR(__xludf.DUMMYFUNCTION("GOOGLETRANSLATE(D4959,""PT"",""EN"")"),"Friendly cooperative.")</f>
        <v>Friendly cooperative.</v>
      </c>
    </row>
    <row r="4960" ht="14.25" customHeight="1">
      <c r="A4960" s="1">
        <v>33.0</v>
      </c>
      <c r="B4960" s="1" t="s">
        <v>2106</v>
      </c>
      <c r="C4960" s="1">
        <v>2.0</v>
      </c>
      <c r="D4960" s="1" t="s">
        <v>6</v>
      </c>
      <c r="E4960" s="1"/>
    </row>
    <row r="4961" ht="14.25" customHeight="1">
      <c r="A4961" s="1">
        <v>66.0</v>
      </c>
      <c r="B4961" s="1" t="s">
        <v>2106</v>
      </c>
      <c r="C4961" s="1">
        <v>8.0</v>
      </c>
      <c r="D4961" s="2" t="s">
        <v>2257</v>
      </c>
      <c r="E4961" s="1" t="str">
        <f>IFERROR(__xludf.DUMMYFUNCTION("GOOGLETRANSLATE(D4961,""PT"",""EN"")"),"easy comunication")</f>
        <v>easy comunication</v>
      </c>
    </row>
    <row r="4962" ht="14.25" customHeight="1">
      <c r="A4962" s="1">
        <v>100.0</v>
      </c>
      <c r="B4962" s="1" t="s">
        <v>2106</v>
      </c>
      <c r="C4962" s="1">
        <v>10.0</v>
      </c>
      <c r="D4962" s="1" t="s">
        <v>2258</v>
      </c>
      <c r="E4962" s="1" t="str">
        <f>IFERROR(__xludf.DUMMYFUNCTION("GOOGLETRANSLATE(D4962,""PT"",""EN"")"),"I indicate without fear because it is the best!")</f>
        <v>I indicate without fear because it is the best!</v>
      </c>
    </row>
    <row r="4963" ht="14.25" customHeight="1">
      <c r="A4963" s="1">
        <v>33.0</v>
      </c>
      <c r="B4963" s="1" t="s">
        <v>2106</v>
      </c>
      <c r="C4963" s="1">
        <v>0.0</v>
      </c>
      <c r="D4963" s="2" t="s">
        <v>2228</v>
      </c>
      <c r="E4963" s="1" t="str">
        <f>IFERROR(__xludf.DUMMYFUNCTION("GOOGLETRANSLATE(D4963,""PT"",""EN"")"),"Without credit")</f>
        <v>Without credit</v>
      </c>
    </row>
    <row r="4964" ht="14.25" customHeight="1">
      <c r="A4964" s="1">
        <v>100.0</v>
      </c>
      <c r="B4964" s="1" t="s">
        <v>2106</v>
      </c>
      <c r="C4964" s="1">
        <v>10.0</v>
      </c>
      <c r="D4964" s="1" t="s">
        <v>6</v>
      </c>
      <c r="E4964" s="1"/>
    </row>
    <row r="4965" ht="14.25" customHeight="1">
      <c r="A4965" s="1">
        <v>100.0</v>
      </c>
      <c r="B4965" s="1" t="s">
        <v>2106</v>
      </c>
      <c r="C4965" s="1">
        <v>9.0</v>
      </c>
      <c r="D4965" s="1" t="s">
        <v>6</v>
      </c>
      <c r="E4965" s="1"/>
    </row>
    <row r="4966" ht="14.25" customHeight="1">
      <c r="A4966" s="1">
        <v>66.0</v>
      </c>
      <c r="B4966" s="1" t="s">
        <v>2106</v>
      </c>
      <c r="C4966" s="1">
        <v>8.0</v>
      </c>
      <c r="D4966" s="2" t="s">
        <v>2259</v>
      </c>
      <c r="E4966" s="1" t="str">
        <f>IFERROR(__xludf.DUMMYFUNCTION("GOOGLETRANSLATE(D4966,""PT"",""EN"")"),"I have been in account for a long time at Sicoob.")</f>
        <v>I have been in account for a long time at Sicoob.</v>
      </c>
    </row>
    <row r="4967" ht="14.25" customHeight="1">
      <c r="A4967" s="1">
        <v>100.0</v>
      </c>
      <c r="B4967" s="1" t="s">
        <v>2106</v>
      </c>
      <c r="C4967" s="1">
        <v>9.0</v>
      </c>
      <c r="D4967" s="1" t="s">
        <v>6</v>
      </c>
      <c r="E4967" s="1"/>
    </row>
    <row r="4968" ht="14.25" customHeight="1">
      <c r="A4968" s="1">
        <v>100.0</v>
      </c>
      <c r="B4968" s="1" t="s">
        <v>2106</v>
      </c>
      <c r="C4968" s="1">
        <v>10.0</v>
      </c>
      <c r="D4968" s="1" t="s">
        <v>6</v>
      </c>
      <c r="E4968" s="1"/>
    </row>
    <row r="4969" ht="14.25" customHeight="1">
      <c r="A4969" s="1">
        <v>100.0</v>
      </c>
      <c r="B4969" s="1" t="s">
        <v>2106</v>
      </c>
      <c r="C4969" s="1">
        <v>9.0</v>
      </c>
      <c r="D4969" s="2" t="s">
        <v>2260</v>
      </c>
      <c r="E4969" s="1" t="str">
        <f>IFERROR(__xludf.DUMMYFUNCTION("GOOGLETRANSLATE(D4969,""PT"",""EN"")"),"Very good, you still have to improve the service.")</f>
        <v>Very good, you still have to improve the service.</v>
      </c>
    </row>
    <row r="4970" ht="14.25" customHeight="1">
      <c r="A4970" s="1">
        <v>100.0</v>
      </c>
      <c r="B4970" s="1" t="s">
        <v>2106</v>
      </c>
      <c r="C4970" s="1">
        <v>10.0</v>
      </c>
      <c r="D4970" s="1" t="s">
        <v>6</v>
      </c>
      <c r="E4970" s="1"/>
    </row>
    <row r="4971" ht="14.25" customHeight="1">
      <c r="A4971" s="1">
        <v>33.0</v>
      </c>
      <c r="B4971" s="1" t="s">
        <v>2106</v>
      </c>
      <c r="C4971" s="1">
        <v>1.0</v>
      </c>
      <c r="D4971" s="1" t="s">
        <v>6</v>
      </c>
      <c r="E4971" s="1"/>
    </row>
    <row r="4972" ht="14.25" customHeight="1">
      <c r="A4972" s="1">
        <v>33.0</v>
      </c>
      <c r="B4972" s="1" t="s">
        <v>2106</v>
      </c>
      <c r="C4972" s="1">
        <v>5.0</v>
      </c>
      <c r="D4972" s="2" t="s">
        <v>2261</v>
      </c>
      <c r="E4972" s="1" t="str">
        <f>IFERROR(__xludf.DUMMYFUNCTION("GOOGLETRANSLATE(D4972,""PT"",""EN"")"),"It has been almost 5 years since I have a relationship with the bank, however so far have not released credit card.")</f>
        <v>It has been almost 5 years since I have a relationship with the bank, however so far have not released credit card.</v>
      </c>
    </row>
    <row r="4973" ht="14.25" customHeight="1">
      <c r="A4973" s="1">
        <v>100.0</v>
      </c>
      <c r="B4973" s="1" t="s">
        <v>2106</v>
      </c>
      <c r="C4973" s="1">
        <v>10.0</v>
      </c>
      <c r="D4973" s="1" t="s">
        <v>2262</v>
      </c>
      <c r="E4973" s="1" t="str">
        <f>IFERROR(__xludf.DUMMYFUNCTION("GOOGLETRANSLATE(D4973,""PT"",""EN"")"),"The excellent service Sicoob")</f>
        <v>The excellent service Sicoob</v>
      </c>
    </row>
    <row r="4974" ht="14.25" customHeight="1">
      <c r="A4974" s="1">
        <v>33.0</v>
      </c>
      <c r="B4974" s="1" t="s">
        <v>2106</v>
      </c>
      <c r="C4974" s="1">
        <v>5.0</v>
      </c>
      <c r="D4974" s="1" t="s">
        <v>6</v>
      </c>
      <c r="E4974" s="1"/>
    </row>
    <row r="4975" ht="14.25" customHeight="1">
      <c r="A4975" s="1">
        <v>100.0</v>
      </c>
      <c r="B4975" s="1" t="s">
        <v>2106</v>
      </c>
      <c r="C4975" s="1">
        <v>9.0</v>
      </c>
      <c r="D4975" s="2" t="s">
        <v>2263</v>
      </c>
      <c r="E4975" s="1" t="str">
        <f>IFERROR(__xludf.DUMMYFUNCTION("GOOGLETRANSLATE(D4975,""PT"",""EN"")"),"... It did not take 10, because there is no good diversity of titles.")</f>
        <v>... It did not take 10, because there is no good diversity of titles.</v>
      </c>
    </row>
    <row r="4976" ht="14.25" customHeight="1">
      <c r="A4976" s="1">
        <v>100.0</v>
      </c>
      <c r="B4976" s="1" t="s">
        <v>2106</v>
      </c>
      <c r="C4976" s="1">
        <v>10.0</v>
      </c>
      <c r="D4976" s="1" t="s">
        <v>6</v>
      </c>
      <c r="E4976" s="1"/>
    </row>
    <row r="4977" ht="14.25" customHeight="1">
      <c r="A4977" s="1">
        <v>100.0</v>
      </c>
      <c r="B4977" s="1" t="s">
        <v>2106</v>
      </c>
      <c r="C4977" s="1">
        <v>10.0</v>
      </c>
      <c r="D4977" s="1" t="s">
        <v>2264</v>
      </c>
      <c r="E4977" s="1" t="str">
        <f>IFERROR(__xludf.DUMMYFUNCTION("GOOGLETRANSLATE(D4977,""PT"",""EN"")"),"Efficiency in resolving the demands.")</f>
        <v>Efficiency in resolving the demands.</v>
      </c>
    </row>
    <row r="4978" ht="14.25" customHeight="1">
      <c r="A4978" s="1">
        <v>100.0</v>
      </c>
      <c r="B4978" s="1" t="s">
        <v>2106</v>
      </c>
      <c r="C4978" s="1">
        <v>10.0</v>
      </c>
      <c r="D4978" s="2" t="s">
        <v>2265</v>
      </c>
      <c r="E4978" s="1" t="str">
        <f>IFERROR(__xludf.DUMMYFUNCTION("GOOGLETRANSLATE(D4978,""PT"",""EN"")"),"Very good is efficient congratulations")</f>
        <v>Very good is efficient congratulations</v>
      </c>
    </row>
    <row r="4979" ht="14.25" customHeight="1">
      <c r="A4979" s="1">
        <v>100.0</v>
      </c>
      <c r="B4979" s="1" t="s">
        <v>2106</v>
      </c>
      <c r="C4979" s="1">
        <v>10.0</v>
      </c>
      <c r="D4979" s="2" t="s">
        <v>2266</v>
      </c>
      <c r="E4979" s="1" t="str">
        <f>IFERROR(__xludf.DUMMYFUNCTION("GOOGLETRANSLATE(D4979,""PT"",""EN"")"),"Sicoob has become a very good bank all over Brazil!")</f>
        <v>Sicoob has become a very good bank all over Brazil!</v>
      </c>
    </row>
    <row r="4980" ht="14.25" customHeight="1">
      <c r="A4980" s="1">
        <v>100.0</v>
      </c>
      <c r="B4980" s="1" t="s">
        <v>2106</v>
      </c>
      <c r="C4980" s="1">
        <v>10.0</v>
      </c>
      <c r="D4980" s="1" t="s">
        <v>6</v>
      </c>
      <c r="E4980" s="1"/>
    </row>
    <row r="4981" ht="14.25" customHeight="1">
      <c r="A4981" s="1">
        <v>100.0</v>
      </c>
      <c r="B4981" s="1" t="s">
        <v>2106</v>
      </c>
      <c r="C4981" s="1">
        <v>10.0</v>
      </c>
      <c r="D4981" s="2" t="s">
        <v>2267</v>
      </c>
      <c r="E4981" s="1" t="str">
        <f>IFERROR(__xludf.DUMMYFUNCTION("GOOGLETRANSLATE(D4981,""PT"",""EN"")"),"It meets my financial needs is cooperativist Deiah!")</f>
        <v>It meets my financial needs is cooperativist Deiah!</v>
      </c>
    </row>
    <row r="4982" ht="14.25" customHeight="1">
      <c r="A4982" s="1">
        <v>33.0</v>
      </c>
      <c r="B4982" s="1" t="s">
        <v>2106</v>
      </c>
      <c r="C4982" s="1">
        <v>0.0</v>
      </c>
      <c r="D4982" s="1" t="s">
        <v>6</v>
      </c>
      <c r="E4982" s="1"/>
    </row>
    <row r="4983" ht="14.25" customHeight="1">
      <c r="A4983" s="1">
        <v>100.0</v>
      </c>
      <c r="B4983" s="1" t="s">
        <v>2106</v>
      </c>
      <c r="C4983" s="1">
        <v>10.0</v>
      </c>
      <c r="D4983" s="1" t="s">
        <v>2268</v>
      </c>
      <c r="E4983" s="1" t="str">
        <f>IFERROR(__xludf.DUMMYFUNCTION("GOOGLETRANSLATE(D4983,""PT"",""EN"")"),"Sicoob is ten")</f>
        <v>Sicoob is ten</v>
      </c>
    </row>
    <row r="4984" ht="14.25" customHeight="1">
      <c r="A4984" s="1">
        <v>100.0</v>
      </c>
      <c r="B4984" s="1" t="s">
        <v>2106</v>
      </c>
      <c r="C4984" s="1">
        <v>10.0</v>
      </c>
      <c r="D4984" s="1" t="s">
        <v>9</v>
      </c>
      <c r="E4984" s="1" t="str">
        <f>IFERROR(__xludf.DUMMYFUNCTION("GOOGLETRANSLATE(D4984,""PT"",""EN"")"),"10")</f>
        <v>10</v>
      </c>
    </row>
    <row r="4985" ht="14.25" customHeight="1">
      <c r="A4985" s="1">
        <v>100.0</v>
      </c>
      <c r="B4985" s="1" t="s">
        <v>2106</v>
      </c>
      <c r="C4985" s="1">
        <v>10.0</v>
      </c>
      <c r="D4985" s="1" t="s">
        <v>6</v>
      </c>
      <c r="E4985" s="1"/>
    </row>
    <row r="4986" ht="14.25" customHeight="1">
      <c r="A4986" s="1">
        <v>33.0</v>
      </c>
      <c r="B4986" s="1" t="s">
        <v>2106</v>
      </c>
      <c r="C4986" s="1">
        <v>3.0</v>
      </c>
      <c r="D4986" s="2" t="s">
        <v>2269</v>
      </c>
      <c r="E4986" s="1" t="str">
        <f>IFERROR(__xludf.DUMMYFUNCTION("GOOGLETRANSLATE(D4986,""PT"",""EN"")"),"Problems without resolutions and distorted information")</f>
        <v>Problems without resolutions and distorted information</v>
      </c>
    </row>
    <row r="4987" ht="14.25" customHeight="1">
      <c r="A4987" s="1">
        <v>100.0</v>
      </c>
      <c r="B4987" s="1" t="s">
        <v>2106</v>
      </c>
      <c r="C4987" s="1">
        <v>10.0</v>
      </c>
      <c r="D4987" s="1" t="s">
        <v>9</v>
      </c>
      <c r="E4987" s="1" t="str">
        <f>IFERROR(__xludf.DUMMYFUNCTION("GOOGLETRANSLATE(D4987,""PT"",""EN"")"),"10")</f>
        <v>10</v>
      </c>
    </row>
    <row r="4988" ht="14.25" customHeight="1">
      <c r="A4988" s="1">
        <v>33.0</v>
      </c>
      <c r="B4988" s="1" t="s">
        <v>2106</v>
      </c>
      <c r="C4988" s="1">
        <v>0.0</v>
      </c>
      <c r="D4988" s="1" t="s">
        <v>2270</v>
      </c>
      <c r="E4988" s="1" t="str">
        <f>IFERROR(__xludf.DUMMYFUNCTION("GOOGLETRANSLATE(D4988,""PT"",""EN"")"),"Waiting for my reversal,?")</f>
        <v>Waiting for my reversal,?</v>
      </c>
    </row>
    <row r="4989" ht="14.25" customHeight="1">
      <c r="A4989" s="1">
        <v>100.0</v>
      </c>
      <c r="B4989" s="1" t="s">
        <v>2106</v>
      </c>
      <c r="C4989" s="1">
        <v>10.0</v>
      </c>
      <c r="D4989" s="1" t="s">
        <v>6</v>
      </c>
      <c r="E4989" s="1"/>
    </row>
    <row r="4990" ht="14.25" customHeight="1">
      <c r="A4990" s="1">
        <v>100.0</v>
      </c>
      <c r="B4990" s="1" t="s">
        <v>2106</v>
      </c>
      <c r="C4990" s="1">
        <v>10.0</v>
      </c>
      <c r="D4990" s="1" t="s">
        <v>2271</v>
      </c>
      <c r="E4990" s="1" t="str">
        <f>IFERROR(__xludf.DUMMYFUNCTION("GOOGLETRANSLATE(D4990,""PT"",""EN"")"),"It's a good bank")</f>
        <v>It's a good bank</v>
      </c>
    </row>
    <row r="4991" ht="14.25" customHeight="1">
      <c r="A4991" s="1">
        <v>66.0</v>
      </c>
      <c r="B4991" s="1" t="s">
        <v>2106</v>
      </c>
      <c r="C4991" s="1">
        <v>8.0</v>
      </c>
      <c r="D4991" s="1" t="s">
        <v>6</v>
      </c>
      <c r="E4991" s="1"/>
    </row>
    <row r="4992" ht="14.25" customHeight="1">
      <c r="A4992" s="1">
        <v>33.0</v>
      </c>
      <c r="B4992" s="1" t="s">
        <v>2106</v>
      </c>
      <c r="C4992" s="1">
        <v>6.0</v>
      </c>
      <c r="D4992" s="1" t="s">
        <v>6</v>
      </c>
      <c r="E4992" s="1"/>
    </row>
    <row r="4993" ht="14.25" customHeight="1">
      <c r="A4993" s="1">
        <v>100.0</v>
      </c>
      <c r="B4993" s="1" t="s">
        <v>2106</v>
      </c>
      <c r="C4993" s="1">
        <v>9.0</v>
      </c>
      <c r="D4993" s="2" t="s">
        <v>2272</v>
      </c>
      <c r="E4993" s="1" t="str">
        <f>IFERROR(__xludf.DUMMYFUNCTION("GOOGLETRANSLATE(D4993,""PT"",""EN"")"),"Service is competence !!")</f>
        <v>Service is competence !!</v>
      </c>
    </row>
    <row r="4994" ht="14.25" customHeight="1">
      <c r="A4994" s="1">
        <v>33.0</v>
      </c>
      <c r="B4994" s="1" t="s">
        <v>2106</v>
      </c>
      <c r="C4994" s="1">
        <v>5.0</v>
      </c>
      <c r="D4994" s="2" t="s">
        <v>2273</v>
      </c>
      <c r="E4994" s="1" t="str">
        <f>IFERROR(__xludf.DUMMYFUNCTION("GOOGLETRANSLATE(D4994,""PT"",""EN"")"),"Why since I made this card I did not want to increase the value of the limit of the card")</f>
        <v>Why since I made this card I did not want to increase the value of the limit of the card</v>
      </c>
    </row>
    <row r="4995" ht="14.25" customHeight="1">
      <c r="A4995" s="1">
        <v>100.0</v>
      </c>
      <c r="B4995" s="1" t="s">
        <v>2106</v>
      </c>
      <c r="C4995" s="1">
        <v>10.0</v>
      </c>
      <c r="D4995" s="1" t="s">
        <v>2274</v>
      </c>
      <c r="E4995" s="1" t="str">
        <f>IFERROR(__xludf.DUMMYFUNCTION("GOOGLETRANSLATE(D4995,""PT"",""EN"")"),"Because it meets all needs")</f>
        <v>Because it meets all needs</v>
      </c>
    </row>
    <row r="4996" ht="14.25" customHeight="1">
      <c r="A4996" s="1">
        <v>33.0</v>
      </c>
      <c r="B4996" s="1" t="s">
        <v>2106</v>
      </c>
      <c r="C4996" s="1">
        <v>1.0</v>
      </c>
      <c r="D4996" s="1" t="s">
        <v>2275</v>
      </c>
      <c r="E4996" s="1" t="str">
        <f>IFERROR(__xludf.DUMMYFUNCTION("GOOGLETRANSLATE(D4996,""PT"",""EN"")"),"The service was horrible")</f>
        <v>The service was horrible</v>
      </c>
    </row>
    <row r="4997" ht="14.25" customHeight="1">
      <c r="A4997" s="1">
        <v>33.0</v>
      </c>
      <c r="B4997" s="1" t="s">
        <v>2106</v>
      </c>
      <c r="C4997" s="1">
        <v>0.0</v>
      </c>
      <c r="D4997" s="1" t="s">
        <v>6</v>
      </c>
      <c r="E4997" s="1"/>
    </row>
    <row r="4998" ht="14.25" customHeight="1">
      <c r="A4998" s="1">
        <v>100.0</v>
      </c>
      <c r="B4998" s="1" t="s">
        <v>2106</v>
      </c>
      <c r="C4998" s="1">
        <v>10.0</v>
      </c>
      <c r="D4998" s="1" t="s">
        <v>6</v>
      </c>
      <c r="E4998" s="1"/>
    </row>
    <row r="4999" ht="14.25" customHeight="1">
      <c r="A4999" s="1">
        <v>33.0</v>
      </c>
      <c r="B4999" s="1" t="s">
        <v>2106</v>
      </c>
      <c r="C4999" s="1">
        <v>0.0</v>
      </c>
      <c r="D4999" s="2" t="s">
        <v>2276</v>
      </c>
      <c r="E4999" s="1" t="str">
        <f>IFERROR(__xludf.DUMMYFUNCTION("GOOGLETRANSLATE(D4999,""PT"",""EN"")"),"Pelegos -dominated bureaucratic entity is with a committee that no one knows who they are, pessimal services, has no respect for the unfortunate associate")</f>
        <v>Pelegos -dominated bureaucratic entity is with a committee that no one knows who they are, pessimal services, has no respect for the unfortunate associate</v>
      </c>
    </row>
    <row r="5000" ht="14.25" customHeight="1">
      <c r="A5000" s="1">
        <v>33.0</v>
      </c>
      <c r="B5000" s="1" t="s">
        <v>2106</v>
      </c>
      <c r="C5000" s="1">
        <v>0.0</v>
      </c>
      <c r="D5000" s="2" t="s">
        <v>2277</v>
      </c>
      <c r="E5000" s="1" t="str">
        <f>IFERROR(__xludf.DUMMYFUNCTION("GOOGLETRANSLATE(D5000,""PT"",""EN"")"),"I opened the account thinking that the card would be credit to enjoy the benefits of the debit card not one but now it's just pix")</f>
        <v>I opened the account thinking that the card would be credit to enjoy the benefits of the debit card not one but now it's just pix</v>
      </c>
    </row>
    <row r="5001" ht="14.25" customHeight="1">
      <c r="A5001" s="1">
        <v>100.0</v>
      </c>
      <c r="B5001" s="1" t="s">
        <v>2106</v>
      </c>
      <c r="C5001" s="1">
        <v>10.0</v>
      </c>
      <c r="D5001" s="1" t="s">
        <v>6</v>
      </c>
      <c r="E5001" s="1"/>
    </row>
    <row r="5002" ht="14.25" customHeight="1">
      <c r="A5002" s="1">
        <v>33.0</v>
      </c>
      <c r="B5002" s="1" t="s">
        <v>2106</v>
      </c>
      <c r="C5002" s="1">
        <v>5.0</v>
      </c>
      <c r="D5002" s="2" t="s">
        <v>2278</v>
      </c>
      <c r="E5002" s="1" t="str">
        <f>IFERROR(__xludf.DUMMYFUNCTION("GOOGLETRANSLATE(D5002,""PT"",""EN"")"),"Difficult credit approval, low limit, delay in delivery of the card")</f>
        <v>Difficult credit approval, low limit, delay in delivery of the card</v>
      </c>
    </row>
    <row r="5003" ht="14.25" customHeight="1">
      <c r="A5003" s="1">
        <v>66.0</v>
      </c>
      <c r="B5003" s="1" t="s">
        <v>2106</v>
      </c>
      <c r="C5003" s="1">
        <v>8.0</v>
      </c>
      <c r="D5003" s="1" t="s">
        <v>6</v>
      </c>
      <c r="E5003" s="1"/>
    </row>
    <row r="5004" ht="14.25" customHeight="1">
      <c r="A5004" s="1">
        <v>33.0</v>
      </c>
      <c r="B5004" s="1" t="s">
        <v>2106</v>
      </c>
      <c r="C5004" s="1">
        <v>6.0</v>
      </c>
      <c r="D5004" s="1" t="s">
        <v>6</v>
      </c>
      <c r="E5004" s="1"/>
    </row>
    <row r="5005" ht="14.25" customHeight="1">
      <c r="A5005" s="1">
        <v>100.0</v>
      </c>
      <c r="B5005" s="1" t="s">
        <v>2106</v>
      </c>
      <c r="C5005" s="1">
        <v>10.0</v>
      </c>
      <c r="D5005" s="1" t="s">
        <v>6</v>
      </c>
      <c r="E5005" s="1"/>
    </row>
    <row r="5006" ht="14.25" customHeight="1">
      <c r="A5006" s="1">
        <v>33.0</v>
      </c>
      <c r="B5006" s="1" t="s">
        <v>2106</v>
      </c>
      <c r="C5006" s="1">
        <v>5.0</v>
      </c>
      <c r="D5006" s="1" t="s">
        <v>6</v>
      </c>
      <c r="E5006" s="1"/>
    </row>
    <row r="5007" ht="14.25" customHeight="1">
      <c r="A5007" s="1">
        <v>100.0</v>
      </c>
      <c r="B5007" s="1" t="s">
        <v>2106</v>
      </c>
      <c r="C5007" s="1">
        <v>10.0</v>
      </c>
      <c r="D5007" s="1" t="s">
        <v>2279</v>
      </c>
      <c r="E5007" s="1" t="str">
        <f>IFERROR(__xludf.DUMMYFUNCTION("GOOGLETRANSLATE(D5007,""PT"",""EN"")"),"Mainly for attendant Luan João Pessoa/PB")</f>
        <v>Mainly for attendant Luan João Pessoa/PB</v>
      </c>
    </row>
    <row r="5008" ht="14.25" customHeight="1">
      <c r="A5008" s="1">
        <v>33.0</v>
      </c>
      <c r="B5008" s="1" t="s">
        <v>2106</v>
      </c>
      <c r="C5008" s="1">
        <v>1.0</v>
      </c>
      <c r="D5008" s="2" t="s">
        <v>2280</v>
      </c>
      <c r="E5008" s="1" t="str">
        <f>IFERROR(__xludf.DUMMYFUNCTION("GOOGLETRANSLATE(D5008,""PT"",""EN"")"),"I didn't get a credit card.")</f>
        <v>I didn't get a credit card.</v>
      </c>
    </row>
    <row r="5009" ht="14.25" customHeight="1">
      <c r="A5009" s="1">
        <v>100.0</v>
      </c>
      <c r="B5009" s="1" t="s">
        <v>2106</v>
      </c>
      <c r="C5009" s="1">
        <v>10.0</v>
      </c>
      <c r="D5009" s="1" t="s">
        <v>6</v>
      </c>
      <c r="E5009" s="1"/>
    </row>
    <row r="5010" ht="14.25" customHeight="1">
      <c r="A5010" s="1">
        <v>66.0</v>
      </c>
      <c r="B5010" s="1" t="s">
        <v>2106</v>
      </c>
      <c r="C5010" s="1">
        <v>8.0</v>
      </c>
      <c r="D5010" s="1" t="s">
        <v>6</v>
      </c>
      <c r="E5010" s="1"/>
    </row>
    <row r="5011" ht="14.25" customHeight="1">
      <c r="A5011" s="1">
        <v>33.0</v>
      </c>
      <c r="B5011" s="1" t="s">
        <v>2106</v>
      </c>
      <c r="C5011" s="1">
        <v>2.0</v>
      </c>
      <c r="D5011" s="1" t="s">
        <v>2281</v>
      </c>
      <c r="E5011" s="1" t="str">
        <f>IFERROR(__xludf.DUMMYFUNCTION("GOOGLETRANSLATE(D5011,""PT"",""EN"")"),"two")</f>
        <v>two</v>
      </c>
    </row>
    <row r="5012" ht="14.25" customHeight="1">
      <c r="A5012" s="1">
        <v>66.0</v>
      </c>
      <c r="B5012" s="1" t="s">
        <v>2106</v>
      </c>
      <c r="C5012" s="1">
        <v>7.0</v>
      </c>
      <c r="D5012" s="1" t="s">
        <v>6</v>
      </c>
      <c r="E5012" s="1"/>
    </row>
    <row r="5013" ht="14.25" customHeight="1">
      <c r="A5013" s="1">
        <v>100.0</v>
      </c>
      <c r="B5013" s="1" t="s">
        <v>2106</v>
      </c>
      <c r="C5013" s="1">
        <v>10.0</v>
      </c>
      <c r="D5013" s="2" t="s">
        <v>2282</v>
      </c>
      <c r="E5013" s="1" t="str">
        <f>IFERROR(__xludf.DUMMYFUNCTION("GOOGLETRANSLATE(D5013,""PT"",""EN"")"),"Easy is practical")</f>
        <v>Easy is practical</v>
      </c>
    </row>
    <row r="5014" ht="14.25" customHeight="1">
      <c r="A5014" s="1">
        <v>100.0</v>
      </c>
      <c r="B5014" s="1" t="s">
        <v>2106</v>
      </c>
      <c r="C5014" s="1">
        <v>10.0</v>
      </c>
      <c r="D5014" s="1" t="s">
        <v>9</v>
      </c>
      <c r="E5014" s="1" t="str">
        <f>IFERROR(__xludf.DUMMYFUNCTION("GOOGLETRANSLATE(D5014,""PT"",""EN"")"),"10")</f>
        <v>10</v>
      </c>
    </row>
    <row r="5015" ht="14.25" customHeight="1">
      <c r="A5015" s="1">
        <v>33.0</v>
      </c>
      <c r="B5015" s="1" t="s">
        <v>2106</v>
      </c>
      <c r="C5015" s="1">
        <v>5.0</v>
      </c>
      <c r="D5015" s="2" t="s">
        <v>2283</v>
      </c>
      <c r="E5015" s="1" t="str">
        <f>IFERROR(__xludf.DUMMYFUNCTION("GOOGLETRANSLATE(D5015,""PT"",""EN"")"),"The service has worsened a lot. It is more difficult personal service, pix for legal entity has been taxed, among other problems")</f>
        <v>The service has worsened a lot. It is more difficult personal service, pix for legal entity has been taxed, among other problems</v>
      </c>
    </row>
    <row r="5016" ht="14.25" customHeight="1">
      <c r="A5016" s="1">
        <v>100.0</v>
      </c>
      <c r="B5016" s="1" t="s">
        <v>2106</v>
      </c>
      <c r="C5016" s="1">
        <v>10.0</v>
      </c>
      <c r="D5016" s="1" t="s">
        <v>6</v>
      </c>
      <c r="E5016" s="1"/>
    </row>
    <row r="5017" ht="14.25" customHeight="1">
      <c r="A5017" s="1">
        <v>100.0</v>
      </c>
      <c r="B5017" s="1" t="s">
        <v>2106</v>
      </c>
      <c r="C5017" s="1">
        <v>10.0</v>
      </c>
      <c r="D5017" s="1" t="s">
        <v>6</v>
      </c>
      <c r="E5017" s="1"/>
    </row>
    <row r="5018" ht="14.25" customHeight="1">
      <c r="A5018" s="1">
        <v>100.0</v>
      </c>
      <c r="B5018" s="1" t="s">
        <v>2106</v>
      </c>
      <c r="C5018" s="1">
        <v>10.0</v>
      </c>
      <c r="D5018" s="1" t="s">
        <v>2284</v>
      </c>
      <c r="E5018" s="1" t="str">
        <f>IFERROR(__xludf.DUMMYFUNCTION("GOOGLETRANSLATE(D5018,""PT"",""EN"")"),"Great bank, few problems")</f>
        <v>Great bank, few problems</v>
      </c>
    </row>
    <row r="5019" ht="14.25" customHeight="1">
      <c r="A5019" s="1">
        <v>66.0</v>
      </c>
      <c r="B5019" s="1" t="s">
        <v>2106</v>
      </c>
      <c r="C5019" s="1">
        <v>7.0</v>
      </c>
      <c r="D5019" s="1" t="s">
        <v>2285</v>
      </c>
      <c r="E5019" s="1" t="str">
        <f>IFERROR(__xludf.DUMMYFUNCTION("GOOGLETRANSLATE(D5019,""PT"",""EN"")"),"Reactive service, every time I needed to solve anything in my account I went after.")</f>
        <v>Reactive service, every time I needed to solve anything in my account I went after.</v>
      </c>
    </row>
    <row r="5020" ht="14.25" customHeight="1">
      <c r="A5020" s="1">
        <v>100.0</v>
      </c>
      <c r="B5020" s="1" t="s">
        <v>2106</v>
      </c>
      <c r="C5020" s="1">
        <v>10.0</v>
      </c>
      <c r="D5020" s="1" t="s">
        <v>6</v>
      </c>
      <c r="E5020" s="1"/>
    </row>
    <row r="5021" ht="14.25" customHeight="1">
      <c r="A5021" s="1">
        <v>33.0</v>
      </c>
      <c r="B5021" s="1" t="s">
        <v>2106</v>
      </c>
      <c r="C5021" s="1">
        <v>3.0</v>
      </c>
      <c r="D5021" s="2" t="s">
        <v>2286</v>
      </c>
      <c r="E5021" s="1" t="str">
        <f>IFERROR(__xludf.DUMMYFUNCTION("GOOGLETRANSLATE(D5021,""PT"",""EN"")"),"Good afternoon. From this I made my account that I try to talk to you guys I can't.")</f>
        <v>Good afternoon. From this I made my account that I try to talk to you guys I can't.</v>
      </c>
    </row>
    <row r="5022" ht="14.25" customHeight="1">
      <c r="A5022" s="1">
        <v>33.0</v>
      </c>
      <c r="B5022" s="1" t="s">
        <v>2106</v>
      </c>
      <c r="C5022" s="1">
        <v>2.0</v>
      </c>
      <c r="D5022" s="2" t="s">
        <v>2058</v>
      </c>
      <c r="E5022" s="1" t="str">
        <f>IFERROR(__xludf.DUMMYFUNCTION("GOOGLETRANSLATE(D5022,""PT"",""EN"")"),"Did not like")</f>
        <v>Did not like</v>
      </c>
    </row>
    <row r="5023" ht="14.25" customHeight="1">
      <c r="A5023" s="1">
        <v>66.0</v>
      </c>
      <c r="B5023" s="1" t="s">
        <v>2106</v>
      </c>
      <c r="C5023" s="1">
        <v>8.0</v>
      </c>
      <c r="D5023" s="2" t="s">
        <v>2287</v>
      </c>
      <c r="E5023" s="1" t="str">
        <f>IFERROR(__xludf.DUMMYFUNCTION("GOOGLETRANSLATE(D5023,""PT"",""EN"")"),"Sicoob is fantastic, but there is still a lot to improve, especially in pre -sales service")</f>
        <v>Sicoob is fantastic, but there is still a lot to improve, especially in pre -sales service</v>
      </c>
    </row>
    <row r="5024" ht="14.25" customHeight="1">
      <c r="A5024" s="1">
        <v>66.0</v>
      </c>
      <c r="B5024" s="1" t="s">
        <v>2106</v>
      </c>
      <c r="C5024" s="1">
        <v>7.0</v>
      </c>
      <c r="D5024" s="1" t="s">
        <v>6</v>
      </c>
      <c r="E5024" s="1"/>
    </row>
    <row r="5025" ht="14.25" customHeight="1">
      <c r="A5025" s="1">
        <v>66.0</v>
      </c>
      <c r="B5025" s="1" t="s">
        <v>2106</v>
      </c>
      <c r="C5025" s="1">
        <v>7.0</v>
      </c>
      <c r="D5025" s="2" t="s">
        <v>2288</v>
      </c>
      <c r="E5025" s="1" t="str">
        <f>IFERROR(__xludf.DUMMYFUNCTION("GOOGLETRANSLATE(D5025,""PT"",""EN"")"),"Despite the good variety of products is the good applications, it is very difficult to get a limit increase or a good card to participate in the cooperative loyalty program.")</f>
        <v>Despite the good variety of products is the good applications, it is very difficult to get a limit increase or a good card to participate in the cooperative loyalty program.</v>
      </c>
    </row>
    <row r="5026" ht="14.25" customHeight="1">
      <c r="A5026" s="1">
        <v>100.0</v>
      </c>
      <c r="B5026" s="1" t="s">
        <v>2106</v>
      </c>
      <c r="C5026" s="1">
        <v>10.0</v>
      </c>
      <c r="D5026" s="1" t="s">
        <v>6</v>
      </c>
      <c r="E5026" s="1"/>
    </row>
    <row r="5027" ht="14.25" customHeight="1">
      <c r="A5027" s="1">
        <v>100.0</v>
      </c>
      <c r="B5027" s="1" t="s">
        <v>2106</v>
      </c>
      <c r="C5027" s="1">
        <v>10.0</v>
      </c>
      <c r="D5027" s="1" t="s">
        <v>6</v>
      </c>
      <c r="E5027" s="1"/>
    </row>
    <row r="5028" ht="14.25" customHeight="1">
      <c r="A5028" s="1">
        <v>100.0</v>
      </c>
      <c r="B5028" s="1" t="s">
        <v>2106</v>
      </c>
      <c r="C5028" s="1">
        <v>10.0</v>
      </c>
      <c r="D5028" s="1" t="s">
        <v>6</v>
      </c>
      <c r="E5028" s="1"/>
    </row>
    <row r="5029" ht="14.25" customHeight="1">
      <c r="A5029" s="1">
        <v>33.0</v>
      </c>
      <c r="B5029" s="1" t="s">
        <v>2106</v>
      </c>
      <c r="C5029" s="1">
        <v>4.0</v>
      </c>
      <c r="D5029" s="1" t="s">
        <v>6</v>
      </c>
      <c r="E5029" s="1"/>
    </row>
    <row r="5030" ht="14.25" customHeight="1">
      <c r="A5030" s="1">
        <v>33.0</v>
      </c>
      <c r="B5030" s="1" t="s">
        <v>2106</v>
      </c>
      <c r="C5030" s="1">
        <v>0.0</v>
      </c>
      <c r="D5030" s="1" t="s">
        <v>6</v>
      </c>
      <c r="E5030" s="1"/>
    </row>
    <row r="5031" ht="14.25" customHeight="1">
      <c r="A5031" s="1">
        <v>100.0</v>
      </c>
      <c r="B5031" s="1" t="s">
        <v>2106</v>
      </c>
      <c r="C5031" s="1">
        <v>10.0</v>
      </c>
      <c r="D5031" s="1" t="s">
        <v>6</v>
      </c>
      <c r="E5031" s="1"/>
    </row>
    <row r="5032" ht="14.25" customHeight="1">
      <c r="A5032" s="1">
        <v>100.0</v>
      </c>
      <c r="B5032" s="1" t="s">
        <v>2106</v>
      </c>
      <c r="C5032" s="1">
        <v>10.0</v>
      </c>
      <c r="D5032" s="2" t="s">
        <v>2289</v>
      </c>
      <c r="E5032" s="1" t="str">
        <f>IFERROR(__xludf.DUMMYFUNCTION("GOOGLETRANSLATE(D5032,""PT"",""EN"")"),"Reliable cooperative, helpful attendants is offers the service I need.")</f>
        <v>Reliable cooperative, helpful attendants is offers the service I need.</v>
      </c>
    </row>
    <row r="5033" ht="14.25" customHeight="1">
      <c r="A5033" s="1">
        <v>100.0</v>
      </c>
      <c r="B5033" s="1" t="s">
        <v>2106</v>
      </c>
      <c r="C5033" s="1">
        <v>10.0</v>
      </c>
      <c r="D5033" s="1" t="s">
        <v>6</v>
      </c>
      <c r="E5033" s="1"/>
    </row>
    <row r="5034" ht="14.25" customHeight="1">
      <c r="A5034" s="1">
        <v>33.0</v>
      </c>
      <c r="B5034" s="1" t="s">
        <v>2106</v>
      </c>
      <c r="C5034" s="1">
        <v>1.0</v>
      </c>
      <c r="D5034" s="1" t="s">
        <v>6</v>
      </c>
      <c r="E5034" s="1"/>
    </row>
    <row r="5035" ht="14.25" customHeight="1">
      <c r="A5035" s="1">
        <v>33.0</v>
      </c>
      <c r="B5035" s="1" t="s">
        <v>2106</v>
      </c>
      <c r="C5035" s="1">
        <v>3.0</v>
      </c>
      <c r="D5035" s="2" t="s">
        <v>2290</v>
      </c>
      <c r="E5035" s="1" t="str">
        <f>IFERROR(__xludf.DUMMYFUNCTION("GOOGLETRANSLATE(D5035,""PT"",""EN"")"),"Have no experience with this bank yet")</f>
        <v>Have no experience with this bank yet</v>
      </c>
    </row>
    <row r="5036" ht="14.25" customHeight="1">
      <c r="A5036" s="1">
        <v>100.0</v>
      </c>
      <c r="B5036" s="1" t="s">
        <v>2106</v>
      </c>
      <c r="C5036" s="1">
        <v>10.0</v>
      </c>
      <c r="D5036" s="1" t="s">
        <v>6</v>
      </c>
      <c r="E5036" s="1"/>
    </row>
    <row r="5037" ht="14.25" customHeight="1">
      <c r="A5037" s="1">
        <v>33.0</v>
      </c>
      <c r="B5037" s="1" t="s">
        <v>2106</v>
      </c>
      <c r="C5037" s="1">
        <v>3.0</v>
      </c>
      <c r="D5037" s="1" t="s">
        <v>6</v>
      </c>
      <c r="E5037" s="1"/>
    </row>
    <row r="5038" ht="14.25" customHeight="1">
      <c r="A5038" s="1">
        <v>100.0</v>
      </c>
      <c r="B5038" s="1" t="s">
        <v>2106</v>
      </c>
      <c r="C5038" s="1">
        <v>10.0</v>
      </c>
      <c r="D5038" s="2" t="s">
        <v>2291</v>
      </c>
      <c r="E5038" s="1" t="str">
        <f>IFERROR(__xludf.DUMMYFUNCTION("GOOGLETRANSLATE(D5038,""PT"",""EN"")"),"Manager is agency are attentive")</f>
        <v>Manager is agency are attentive</v>
      </c>
    </row>
    <row r="5039" ht="14.25" customHeight="1">
      <c r="A5039" s="1">
        <v>100.0</v>
      </c>
      <c r="B5039" s="1" t="s">
        <v>2106</v>
      </c>
      <c r="C5039" s="1">
        <v>10.0</v>
      </c>
      <c r="D5039" s="1" t="s">
        <v>9</v>
      </c>
      <c r="E5039" s="1" t="str">
        <f>IFERROR(__xludf.DUMMYFUNCTION("GOOGLETRANSLATE(D5039,""PT"",""EN"")"),"10")</f>
        <v>10</v>
      </c>
    </row>
    <row r="5040" ht="14.25" customHeight="1">
      <c r="A5040" s="1">
        <v>100.0</v>
      </c>
      <c r="B5040" s="1" t="s">
        <v>2106</v>
      </c>
      <c r="C5040" s="1">
        <v>10.0</v>
      </c>
      <c r="D5040" s="1" t="s">
        <v>6</v>
      </c>
      <c r="E5040" s="1"/>
    </row>
    <row r="5041" ht="14.25" customHeight="1">
      <c r="A5041" s="1">
        <v>100.0</v>
      </c>
      <c r="B5041" s="1" t="s">
        <v>2106</v>
      </c>
      <c r="C5041" s="1">
        <v>10.0</v>
      </c>
      <c r="D5041" s="1" t="s">
        <v>1052</v>
      </c>
      <c r="E5041" s="1" t="str">
        <f>IFERROR(__xludf.DUMMYFUNCTION("GOOGLETRANSLATE(D5041,""PT"",""EN"")"),"Great.")</f>
        <v>Great.</v>
      </c>
    </row>
    <row r="5042" ht="14.25" customHeight="1">
      <c r="A5042" s="1">
        <v>100.0</v>
      </c>
      <c r="B5042" s="1" t="s">
        <v>2106</v>
      </c>
      <c r="C5042" s="1">
        <v>10.0</v>
      </c>
      <c r="D5042" s="1" t="s">
        <v>6</v>
      </c>
      <c r="E5042" s="1"/>
    </row>
    <row r="5043" ht="14.25" customHeight="1">
      <c r="A5043" s="1">
        <v>100.0</v>
      </c>
      <c r="B5043" s="1" t="s">
        <v>2106</v>
      </c>
      <c r="C5043" s="1">
        <v>10.0</v>
      </c>
      <c r="D5043" s="1" t="s">
        <v>6</v>
      </c>
      <c r="E5043" s="1"/>
    </row>
    <row r="5044" ht="14.25" customHeight="1">
      <c r="A5044" s="1">
        <v>100.0</v>
      </c>
      <c r="B5044" s="1" t="s">
        <v>2106</v>
      </c>
      <c r="C5044" s="1">
        <v>10.0</v>
      </c>
      <c r="D5044" s="1" t="s">
        <v>2292</v>
      </c>
      <c r="E5044" s="1" t="str">
        <f>IFERROR(__xludf.DUMMYFUNCTION("GOOGLETRANSLATE(D5044,""PT"",""EN"")"),"Alright order")</f>
        <v>Alright order</v>
      </c>
    </row>
    <row r="5045" ht="14.25" customHeight="1">
      <c r="A5045" s="1">
        <v>100.0</v>
      </c>
      <c r="B5045" s="1" t="s">
        <v>2106</v>
      </c>
      <c r="C5045" s="1">
        <v>10.0</v>
      </c>
      <c r="D5045" s="2" t="s">
        <v>2293</v>
      </c>
      <c r="E5045" s="1" t="str">
        <f>IFERROR(__xludf.DUMMYFUNCTION("GOOGLETRANSLATE(D5045,""PT"",""EN"")"),"practical")</f>
        <v>practical</v>
      </c>
    </row>
    <row r="5046" ht="14.25" customHeight="1">
      <c r="A5046" s="1">
        <v>100.0</v>
      </c>
      <c r="B5046" s="1" t="s">
        <v>2106</v>
      </c>
      <c r="C5046" s="1">
        <v>10.0</v>
      </c>
      <c r="D5046" s="1" t="s">
        <v>2294</v>
      </c>
      <c r="E5046" s="1" t="str">
        <f>IFERROR(__xludf.DUMMYFUNCTION("GOOGLETRANSLATE(D5046,""PT"",""EN"")"),"Excellent service, courtesy ...")</f>
        <v>Excellent service, courtesy ...</v>
      </c>
    </row>
    <row r="5047" ht="14.25" customHeight="1">
      <c r="A5047" s="1">
        <v>33.0</v>
      </c>
      <c r="B5047" s="1" t="s">
        <v>2106</v>
      </c>
      <c r="C5047" s="1">
        <v>0.0</v>
      </c>
      <c r="D5047" s="1" t="s">
        <v>6</v>
      </c>
      <c r="E5047" s="1"/>
    </row>
    <row r="5048" ht="14.25" customHeight="1">
      <c r="A5048" s="1">
        <v>33.0</v>
      </c>
      <c r="B5048" s="1" t="s">
        <v>2106</v>
      </c>
      <c r="C5048" s="1">
        <v>0.0</v>
      </c>
      <c r="D5048" s="1" t="s">
        <v>6</v>
      </c>
      <c r="E5048" s="1"/>
    </row>
    <row r="5049" ht="14.25" customHeight="1">
      <c r="A5049" s="1">
        <v>33.0</v>
      </c>
      <c r="B5049" s="1" t="s">
        <v>2106</v>
      </c>
      <c r="C5049" s="1">
        <v>0.0</v>
      </c>
      <c r="D5049" s="1" t="s">
        <v>6</v>
      </c>
      <c r="E5049" s="1"/>
    </row>
    <row r="5050" ht="14.25" customHeight="1">
      <c r="A5050" s="1">
        <v>100.0</v>
      </c>
      <c r="B5050" s="1" t="s">
        <v>2106</v>
      </c>
      <c r="C5050" s="1">
        <v>10.0</v>
      </c>
      <c r="D5050" s="1" t="s">
        <v>2295</v>
      </c>
      <c r="E5050" s="1" t="str">
        <f>IFERROR(__xludf.DUMMYFUNCTION("GOOGLETRANSLATE(D5050,""PT"",""EN"")"),"company climate")</f>
        <v>company climate</v>
      </c>
    </row>
    <row r="5051" ht="14.25" customHeight="1">
      <c r="A5051" s="1">
        <v>100.0</v>
      </c>
      <c r="B5051" s="1" t="s">
        <v>2106</v>
      </c>
      <c r="C5051" s="1">
        <v>9.0</v>
      </c>
      <c r="D5051" s="1" t="s">
        <v>6</v>
      </c>
      <c r="E5051" s="1"/>
    </row>
    <row r="5052" ht="14.25" customHeight="1">
      <c r="A5052" s="1">
        <v>33.0</v>
      </c>
      <c r="B5052" s="1" t="s">
        <v>2106</v>
      </c>
      <c r="C5052" s="1">
        <v>0.0</v>
      </c>
      <c r="D5052" s="1" t="s">
        <v>6</v>
      </c>
      <c r="E5052" s="1"/>
    </row>
    <row r="5053" ht="14.25" customHeight="1">
      <c r="A5053" s="1">
        <v>100.0</v>
      </c>
      <c r="B5053" s="1" t="s">
        <v>2106</v>
      </c>
      <c r="C5053" s="1">
        <v>10.0</v>
      </c>
      <c r="D5053" s="1" t="s">
        <v>6</v>
      </c>
      <c r="E5053" s="1"/>
    </row>
    <row r="5054" ht="14.25" customHeight="1">
      <c r="A5054" s="1">
        <v>100.0</v>
      </c>
      <c r="B5054" s="1" t="s">
        <v>2106</v>
      </c>
      <c r="C5054" s="1">
        <v>10.0</v>
      </c>
      <c r="D5054" s="1" t="s">
        <v>6</v>
      </c>
      <c r="E5054" s="1"/>
    </row>
    <row r="5055" ht="14.25" customHeight="1">
      <c r="A5055" s="1">
        <v>100.0</v>
      </c>
      <c r="B5055" s="1" t="s">
        <v>2106</v>
      </c>
      <c r="C5055" s="1">
        <v>9.0</v>
      </c>
      <c r="D5055" s="1" t="s">
        <v>6</v>
      </c>
      <c r="E5055" s="1"/>
    </row>
    <row r="5056" ht="14.25" customHeight="1">
      <c r="A5056" s="1">
        <v>100.0</v>
      </c>
      <c r="B5056" s="1" t="s">
        <v>2106</v>
      </c>
      <c r="C5056" s="1">
        <v>9.0</v>
      </c>
      <c r="D5056" s="1" t="s">
        <v>6</v>
      </c>
      <c r="E5056" s="1"/>
    </row>
    <row r="5057" ht="14.25" customHeight="1">
      <c r="A5057" s="1">
        <v>33.0</v>
      </c>
      <c r="B5057" s="1" t="s">
        <v>2106</v>
      </c>
      <c r="C5057" s="1">
        <v>6.0</v>
      </c>
      <c r="D5057" s="2" t="s">
        <v>2296</v>
      </c>
      <c r="E5057" s="1" t="str">
        <f>IFERROR(__xludf.DUMMYFUNCTION("GOOGLETRANSLATE(D5057,""PT"",""EN"")"),"Last week I requested an emergency, you took the option to do at the agency, on the other hand, have complicated too complicated to do online. I look like an ordinary bank, I'm so dissatisfied that I gave up on borrowing")</f>
        <v>Last week I requested an emergency, you took the option to do at the agency, on the other hand, have complicated too complicated to do online. I look like an ordinary bank, I'm so dissatisfied that I gave up on borrowing</v>
      </c>
    </row>
    <row r="5058" ht="14.25" customHeight="1">
      <c r="A5058" s="1">
        <v>100.0</v>
      </c>
      <c r="B5058" s="1" t="s">
        <v>2106</v>
      </c>
      <c r="C5058" s="1">
        <v>10.0</v>
      </c>
      <c r="D5058" s="1" t="s">
        <v>2297</v>
      </c>
      <c r="E5058" s="1" t="str">
        <f>IFERROR(__xludf.DUMMYFUNCTION("GOOGLETRANSLATE(D5058,""PT"",""EN"")"),"The set, service, efficiency ...")</f>
        <v>The set, service, efficiency ...</v>
      </c>
    </row>
    <row r="5059" ht="14.25" customHeight="1">
      <c r="A5059" s="1">
        <v>100.0</v>
      </c>
      <c r="B5059" s="1" t="s">
        <v>2106</v>
      </c>
      <c r="C5059" s="1">
        <v>10.0</v>
      </c>
      <c r="D5059" s="2" t="s">
        <v>2298</v>
      </c>
      <c r="E5059" s="1" t="str">
        <f>IFERROR(__xludf.DUMMYFUNCTION("GOOGLETRANSLATE(D5059,""PT"",""EN"")"),"The bank's application is excellent; When I need service, the response through WhatsApp is fast.")</f>
        <v>The bank's application is excellent; When I need service, the response through WhatsApp is fast.</v>
      </c>
    </row>
    <row r="5060" ht="14.25" customHeight="1">
      <c r="A5060" s="1">
        <v>100.0</v>
      </c>
      <c r="B5060" s="1" t="s">
        <v>2106</v>
      </c>
      <c r="C5060" s="1">
        <v>10.0</v>
      </c>
      <c r="D5060" s="1" t="s">
        <v>593</v>
      </c>
      <c r="E5060" s="1" t="str">
        <f>IFERROR(__xludf.DUMMYFUNCTION("GOOGLETRANSLATE(D5060,""PT"",""EN"")"),"great service")</f>
        <v>great service</v>
      </c>
    </row>
    <row r="5061" ht="14.25" customHeight="1">
      <c r="A5061" s="1">
        <v>100.0</v>
      </c>
      <c r="B5061" s="1" t="s">
        <v>2106</v>
      </c>
      <c r="C5061" s="1">
        <v>10.0</v>
      </c>
      <c r="D5061" s="1" t="s">
        <v>6</v>
      </c>
      <c r="E5061" s="1"/>
    </row>
    <row r="5062" ht="14.25" customHeight="1">
      <c r="A5062" s="1">
        <v>33.0</v>
      </c>
      <c r="B5062" s="1" t="s">
        <v>2106</v>
      </c>
      <c r="C5062" s="1">
        <v>0.0</v>
      </c>
      <c r="D5062" s="1" t="s">
        <v>6</v>
      </c>
      <c r="E5062" s="1"/>
    </row>
    <row r="5063" ht="14.25" customHeight="1">
      <c r="A5063" s="1">
        <v>100.0</v>
      </c>
      <c r="B5063" s="1" t="s">
        <v>2106</v>
      </c>
      <c r="C5063" s="1">
        <v>10.0</v>
      </c>
      <c r="D5063" s="1" t="s">
        <v>2299</v>
      </c>
      <c r="E5063" s="1" t="str">
        <f>IFERROR(__xludf.DUMMYFUNCTION("GOOGLETRANSLATE(D5063,""PT"",""EN"")"),"Very Top Real")</f>
        <v>Very Top Real</v>
      </c>
    </row>
    <row r="5064" ht="14.25" customHeight="1">
      <c r="A5064" s="1">
        <v>100.0</v>
      </c>
      <c r="B5064" s="1" t="s">
        <v>2106</v>
      </c>
      <c r="C5064" s="1">
        <v>10.0</v>
      </c>
      <c r="D5064" s="1" t="s">
        <v>6</v>
      </c>
      <c r="E5064" s="1"/>
    </row>
    <row r="5065" ht="14.25" customHeight="1">
      <c r="A5065" s="1">
        <v>100.0</v>
      </c>
      <c r="B5065" s="1" t="s">
        <v>2106</v>
      </c>
      <c r="C5065" s="1">
        <v>10.0</v>
      </c>
      <c r="D5065" s="2" t="s">
        <v>2300</v>
      </c>
      <c r="E5065" s="1" t="str">
        <f>IFERROR(__xludf.DUMMYFUNCTION("GOOGLETRANSLATE(D5065,""PT"",""EN"")"),"If you lack credit on my card")</f>
        <v>If you lack credit on my card</v>
      </c>
    </row>
    <row r="5066" ht="14.25" customHeight="1">
      <c r="A5066" s="1">
        <v>100.0</v>
      </c>
      <c r="B5066" s="1" t="s">
        <v>2106</v>
      </c>
      <c r="C5066" s="1">
        <v>10.0</v>
      </c>
      <c r="D5066" s="1" t="s">
        <v>6</v>
      </c>
      <c r="E5066" s="1"/>
    </row>
    <row r="5067" ht="14.25" customHeight="1">
      <c r="A5067" s="1">
        <v>100.0</v>
      </c>
      <c r="B5067" s="1" t="s">
        <v>2106</v>
      </c>
      <c r="C5067" s="1">
        <v>10.0</v>
      </c>
      <c r="D5067" s="2" t="s">
        <v>2301</v>
      </c>
      <c r="E5067" s="1" t="str">
        <f>IFERROR(__xludf.DUMMYFUNCTION("GOOGLETRANSLATE(D5067,""PT"",""EN"")"),"It is an excellent bank")</f>
        <v>It is an excellent bank</v>
      </c>
    </row>
    <row r="5068" ht="14.25" customHeight="1">
      <c r="A5068" s="1">
        <v>33.0</v>
      </c>
      <c r="B5068" s="1" t="s">
        <v>2106</v>
      </c>
      <c r="C5068" s="1">
        <v>0.0</v>
      </c>
      <c r="D5068" s="2" t="s">
        <v>2302</v>
      </c>
      <c r="E5068" s="1" t="str">
        <f>IFERROR(__xludf.DUMMYFUNCTION("GOOGLETRANSLATE(D5068,""PT"",""EN"")"),"We need staff, negotiating difficulty.")</f>
        <v>We need staff, negotiating difficulty.</v>
      </c>
    </row>
    <row r="5069" ht="14.25" customHeight="1">
      <c r="A5069" s="1">
        <v>100.0</v>
      </c>
      <c r="B5069" s="1" t="s">
        <v>2106</v>
      </c>
      <c r="C5069" s="1">
        <v>10.0</v>
      </c>
      <c r="D5069" s="2" t="s">
        <v>2303</v>
      </c>
      <c r="E5069" s="1" t="str">
        <f>IFERROR(__xludf.DUMMYFUNCTION("GOOGLETRANSLATE(D5069,""PT"",""EN"")"),"Spectacular service !! Many compatible service options and costs.")</f>
        <v>Spectacular service !! Many compatible service options and costs.</v>
      </c>
    </row>
    <row r="5070" ht="14.25" customHeight="1">
      <c r="A5070" s="1">
        <v>100.0</v>
      </c>
      <c r="B5070" s="1" t="s">
        <v>2106</v>
      </c>
      <c r="C5070" s="1">
        <v>10.0</v>
      </c>
      <c r="D5070" s="1" t="s">
        <v>6</v>
      </c>
      <c r="E5070" s="1"/>
    </row>
    <row r="5071" ht="14.25" customHeight="1">
      <c r="A5071" s="1">
        <v>33.0</v>
      </c>
      <c r="B5071" s="1" t="s">
        <v>2106</v>
      </c>
      <c r="C5071" s="1">
        <v>5.0</v>
      </c>
      <c r="D5071" s="1" t="s">
        <v>2304</v>
      </c>
      <c r="E5071" s="1" t="str">
        <f>IFERROR(__xludf.DUMMYFUNCTION("GOOGLETRANSLATE(D5071,""PT"",""EN"")"),"Lack of partnership. Account holder assistance.")</f>
        <v>Lack of partnership. Account holder assistance.</v>
      </c>
    </row>
    <row r="5072" ht="14.25" customHeight="1">
      <c r="A5072" s="1">
        <v>33.0</v>
      </c>
      <c r="B5072" s="1" t="s">
        <v>2106</v>
      </c>
      <c r="C5072" s="1">
        <v>0.0</v>
      </c>
      <c r="D5072" s="2" t="s">
        <v>2305</v>
      </c>
      <c r="E5072" s="1" t="str">
        <f>IFERROR(__xludf.DUMMYFUNCTION("GOOGLETRANSLATE(D5072,""PT"",""EN"")"),"No manager service, credit limit incompatible with my income, without assistance.")</f>
        <v>No manager service, credit limit incompatible with my income, without assistance.</v>
      </c>
    </row>
    <row r="5073" ht="14.25" customHeight="1">
      <c r="A5073" s="1">
        <v>33.0</v>
      </c>
      <c r="B5073" s="1" t="s">
        <v>2106</v>
      </c>
      <c r="C5073" s="1">
        <v>0.0</v>
      </c>
      <c r="D5073" s="1" t="s">
        <v>2306</v>
      </c>
      <c r="E5073" s="1" t="str">
        <f>IFERROR(__xludf.DUMMYFUNCTION("GOOGLETRANSLATE(D5073,""PT"",""EN"")"),"I never got anything")</f>
        <v>I never got anything</v>
      </c>
    </row>
    <row r="5074" ht="14.25" customHeight="1">
      <c r="A5074" s="1">
        <v>100.0</v>
      </c>
      <c r="B5074" s="1" t="s">
        <v>2106</v>
      </c>
      <c r="C5074" s="1">
        <v>10.0</v>
      </c>
      <c r="D5074" s="2" t="s">
        <v>2307</v>
      </c>
      <c r="E5074" s="1" t="str">
        <f>IFERROR(__xludf.DUMMYFUNCTION("GOOGLETRANSLATE(D5074,""PT"",""EN"")"),"For sure, it is a great company to work, well -tuned and updated colleagues.")</f>
        <v>For sure, it is a great company to work, well -tuned and updated colleagues.</v>
      </c>
    </row>
    <row r="5075" ht="14.25" customHeight="1">
      <c r="A5075" s="1">
        <v>33.0</v>
      </c>
      <c r="B5075" s="1" t="s">
        <v>2106</v>
      </c>
      <c r="C5075" s="1">
        <v>3.0</v>
      </c>
      <c r="D5075" s="2" t="s">
        <v>2308</v>
      </c>
      <c r="E5075" s="1" t="str">
        <f>IFERROR(__xludf.DUMMYFUNCTION("GOOGLETRANSLATE(D5075,""PT"",""EN"")"),"Good afternoon, I'm YouTube, I have several social network channels, I can't speak badly is even good.")</f>
        <v>Good afternoon, I'm YouTube, I have several social network channels, I can't speak badly is even good.</v>
      </c>
    </row>
    <row r="5076" ht="14.25" customHeight="1">
      <c r="A5076" s="1">
        <v>33.0</v>
      </c>
      <c r="B5076" s="1" t="s">
        <v>2106</v>
      </c>
      <c r="C5076" s="1">
        <v>0.0</v>
      </c>
      <c r="D5076" s="1" t="s">
        <v>6</v>
      </c>
      <c r="E5076" s="1"/>
    </row>
    <row r="5077" ht="14.25" customHeight="1">
      <c r="A5077" s="1">
        <v>33.0</v>
      </c>
      <c r="B5077" s="1" t="s">
        <v>2106</v>
      </c>
      <c r="C5077" s="1">
        <v>5.0</v>
      </c>
      <c r="D5077" s="1" t="s">
        <v>2309</v>
      </c>
      <c r="E5077" s="1" t="str">
        <f>IFERROR(__xludf.DUMMYFUNCTION("GOOGLETRANSLATE(D5077,""PT"",""EN"")"),"I find it inefficient")</f>
        <v>I find it inefficient</v>
      </c>
    </row>
    <row r="5078" ht="14.25" customHeight="1">
      <c r="A5078" s="1">
        <v>33.0</v>
      </c>
      <c r="B5078" s="1" t="s">
        <v>2106</v>
      </c>
      <c r="C5078" s="1">
        <v>6.0</v>
      </c>
      <c r="D5078" s="2" t="s">
        <v>2310</v>
      </c>
      <c r="E5078" s="1" t="str">
        <f>IFERROR(__xludf.DUMMYFUNCTION("GOOGLETRANSLATE(D5078,""PT"",""EN"")"),"Few agencies is few exclusive self-service.")</f>
        <v>Few agencies is few exclusive self-service.</v>
      </c>
    </row>
    <row r="5079" ht="14.25" customHeight="1">
      <c r="A5079" s="1">
        <v>66.0</v>
      </c>
      <c r="B5079" s="1" t="s">
        <v>2106</v>
      </c>
      <c r="C5079" s="1">
        <v>7.0</v>
      </c>
      <c r="D5079" s="2" t="s">
        <v>2311</v>
      </c>
      <c r="E5079" s="1" t="str">
        <f>IFERROR(__xludf.DUMMYFUNCTION("GOOGLETRANSLATE(D5079,""PT"",""EN"")"),"I would like to have a credit")</f>
        <v>I would like to have a credit</v>
      </c>
    </row>
    <row r="5080" ht="14.25" customHeight="1">
      <c r="A5080" s="1">
        <v>100.0</v>
      </c>
      <c r="B5080" s="1" t="s">
        <v>2106</v>
      </c>
      <c r="C5080" s="1">
        <v>10.0</v>
      </c>
      <c r="D5080" s="1" t="s">
        <v>6</v>
      </c>
      <c r="E5080" s="1"/>
    </row>
    <row r="5081" ht="14.25" customHeight="1">
      <c r="A5081" s="1">
        <v>100.0</v>
      </c>
      <c r="B5081" s="1" t="s">
        <v>2106</v>
      </c>
      <c r="C5081" s="1">
        <v>10.0</v>
      </c>
      <c r="D5081" s="1" t="s">
        <v>6</v>
      </c>
      <c r="E5081" s="1"/>
    </row>
    <row r="5082" ht="14.25" customHeight="1">
      <c r="A5082" s="1">
        <v>100.0</v>
      </c>
      <c r="B5082" s="1" t="s">
        <v>2106</v>
      </c>
      <c r="C5082" s="1">
        <v>10.0</v>
      </c>
      <c r="D5082" s="1" t="s">
        <v>6</v>
      </c>
      <c r="E5082" s="1"/>
    </row>
    <row r="5083" ht="14.25" customHeight="1">
      <c r="A5083" s="1">
        <v>33.0</v>
      </c>
      <c r="B5083" s="1" t="s">
        <v>2106</v>
      </c>
      <c r="C5083" s="1">
        <v>3.0</v>
      </c>
      <c r="D5083" s="2" t="s">
        <v>2312</v>
      </c>
      <c r="E5083" s="1" t="str">
        <f>IFERROR(__xludf.DUMMYFUNCTION("GOOGLETRANSLATE(D5083,""PT"",""EN"")"),"The rates are not attractive, I had difficulties even to have a debit card, it is time to end the account, the bureaucracy was huge.")</f>
        <v>The rates are not attractive, I had difficulties even to have a debit card, it is time to end the account, the bureaucracy was huge.</v>
      </c>
    </row>
    <row r="5084" ht="14.25" customHeight="1">
      <c r="A5084" s="1">
        <v>100.0</v>
      </c>
      <c r="B5084" s="1" t="s">
        <v>2106</v>
      </c>
      <c r="C5084" s="1">
        <v>10.0</v>
      </c>
      <c r="D5084" s="1" t="s">
        <v>6</v>
      </c>
      <c r="E5084" s="1"/>
    </row>
    <row r="5085" ht="14.25" customHeight="1">
      <c r="A5085" s="1">
        <v>66.0</v>
      </c>
      <c r="B5085" s="1" t="s">
        <v>2106</v>
      </c>
      <c r="C5085" s="1">
        <v>7.0</v>
      </c>
      <c r="D5085" s="1" t="s">
        <v>803</v>
      </c>
      <c r="E5085" s="1" t="str">
        <f>IFERROR(__xludf.DUMMYFUNCTION("GOOGLETRANSLATE(D5085,""PT"",""EN"")"),"Good")</f>
        <v>Good</v>
      </c>
    </row>
    <row r="5086" ht="14.25" customHeight="1">
      <c r="A5086" s="1">
        <v>100.0</v>
      </c>
      <c r="B5086" s="1" t="s">
        <v>2106</v>
      </c>
      <c r="C5086" s="1">
        <v>10.0</v>
      </c>
      <c r="D5086" s="1" t="s">
        <v>6</v>
      </c>
      <c r="E5086" s="1"/>
    </row>
    <row r="5087" ht="14.25" customHeight="1">
      <c r="A5087" s="1">
        <v>100.0</v>
      </c>
      <c r="B5087" s="1" t="s">
        <v>2106</v>
      </c>
      <c r="C5087" s="1">
        <v>9.0</v>
      </c>
      <c r="D5087" s="1" t="s">
        <v>6</v>
      </c>
      <c r="E5087" s="1"/>
    </row>
    <row r="5088" ht="14.25" customHeight="1">
      <c r="A5088" s="1">
        <v>100.0</v>
      </c>
      <c r="B5088" s="1" t="s">
        <v>2106</v>
      </c>
      <c r="C5088" s="1">
        <v>10.0</v>
      </c>
      <c r="D5088" s="1" t="s">
        <v>6</v>
      </c>
      <c r="E5088" s="1"/>
    </row>
    <row r="5089" ht="14.25" customHeight="1">
      <c r="A5089" s="1">
        <v>66.0</v>
      </c>
      <c r="B5089" s="1" t="s">
        <v>2106</v>
      </c>
      <c r="C5089" s="1">
        <v>8.0</v>
      </c>
      <c r="D5089" s="2" t="s">
        <v>2313</v>
      </c>
      <c r="E5089" s="1" t="str">
        <f>IFERROR(__xludf.DUMMYFUNCTION("GOOGLETRANSLATE(D5089,""PT"",""EN"")"),"To continue looking better to reach grade 10")</f>
        <v>To continue looking better to reach grade 10</v>
      </c>
    </row>
    <row r="5090" ht="14.25" customHeight="1">
      <c r="A5090" s="1">
        <v>100.0</v>
      </c>
      <c r="B5090" s="1" t="s">
        <v>2106</v>
      </c>
      <c r="C5090" s="1">
        <v>10.0</v>
      </c>
      <c r="D5090" s="1" t="s">
        <v>85</v>
      </c>
      <c r="E5090" s="1" t="str">
        <f>IFERROR(__xludf.DUMMYFUNCTION("GOOGLETRANSLATE(D5090,""PT"",""EN"")"),"Service")</f>
        <v>Service</v>
      </c>
    </row>
    <row r="5091" ht="14.25" customHeight="1">
      <c r="A5091" s="1">
        <v>100.0</v>
      </c>
      <c r="B5091" s="1" t="s">
        <v>2106</v>
      </c>
      <c r="C5091" s="1">
        <v>10.0</v>
      </c>
      <c r="D5091" s="1" t="s">
        <v>6</v>
      </c>
      <c r="E5091" s="1"/>
    </row>
    <row r="5092" ht="14.25" customHeight="1">
      <c r="A5092" s="1">
        <v>33.0</v>
      </c>
      <c r="B5092" s="1" t="s">
        <v>2106</v>
      </c>
      <c r="C5092" s="1">
        <v>1.0</v>
      </c>
      <c r="D5092" s="2" t="s">
        <v>2314</v>
      </c>
      <c r="E5092" s="1" t="str">
        <f>IFERROR(__xludf.DUMMYFUNCTION("GOOGLETRANSLATE(D5092,""PT"",""EN"")"),"When I call or come in contact with you at WhatsApp do not give an answer")</f>
        <v>When I call or come in contact with you at WhatsApp do not give an answer</v>
      </c>
    </row>
    <row r="5093" ht="14.25" customHeight="1">
      <c r="A5093" s="1">
        <v>100.0</v>
      </c>
      <c r="B5093" s="1" t="s">
        <v>2106</v>
      </c>
      <c r="C5093" s="1">
        <v>10.0</v>
      </c>
      <c r="D5093" s="1" t="s">
        <v>2315</v>
      </c>
      <c r="E5093" s="1" t="str">
        <f>IFERROR(__xludf.DUMMYFUNCTION("GOOGLETRANSLATE(D5093,""PT"",""EN"")"),"Because I like everything")</f>
        <v>Because I like everything</v>
      </c>
    </row>
    <row r="5094" ht="14.25" customHeight="1">
      <c r="A5094" s="1">
        <v>100.0</v>
      </c>
      <c r="B5094" s="1" t="s">
        <v>2106</v>
      </c>
      <c r="C5094" s="1">
        <v>10.0</v>
      </c>
      <c r="D5094" s="1" t="s">
        <v>6</v>
      </c>
      <c r="E5094" s="1"/>
    </row>
    <row r="5095" ht="14.25" customHeight="1">
      <c r="A5095" s="1">
        <v>100.0</v>
      </c>
      <c r="B5095" s="1" t="s">
        <v>2106</v>
      </c>
      <c r="C5095" s="1">
        <v>9.0</v>
      </c>
      <c r="D5095" s="2" t="s">
        <v>2316</v>
      </c>
      <c r="E5095" s="1" t="str">
        <f>IFERROR(__xludf.DUMMYFUNCTION("GOOGLETRANSLATE(D5095,""PT"",""EN"")"),"Delay to get some credit operation")</f>
        <v>Delay to get some credit operation</v>
      </c>
    </row>
    <row r="5096" ht="14.25" customHeight="1">
      <c r="A5096" s="1">
        <v>100.0</v>
      </c>
      <c r="B5096" s="1" t="s">
        <v>2106</v>
      </c>
      <c r="C5096" s="1">
        <v>10.0</v>
      </c>
      <c r="D5096" s="1" t="s">
        <v>6</v>
      </c>
      <c r="E5096" s="1"/>
    </row>
    <row r="5097" ht="14.25" customHeight="1">
      <c r="A5097" s="1">
        <v>100.0</v>
      </c>
      <c r="B5097" s="1" t="s">
        <v>2106</v>
      </c>
      <c r="C5097" s="1">
        <v>10.0</v>
      </c>
      <c r="D5097" s="1" t="s">
        <v>2317</v>
      </c>
      <c r="E5097" s="1" t="str">
        <f>IFERROR(__xludf.DUMMYFUNCTION("GOOGLETRANSLATE(D5097,""PT"",""EN"")"),"Satisfied account holder")</f>
        <v>Satisfied account holder</v>
      </c>
    </row>
    <row r="5098" ht="14.25" customHeight="1">
      <c r="A5098" s="1">
        <v>33.0</v>
      </c>
      <c r="B5098" s="1" t="s">
        <v>2106</v>
      </c>
      <c r="C5098" s="1">
        <v>5.0</v>
      </c>
      <c r="D5098" s="1" t="s">
        <v>2318</v>
      </c>
      <c r="E5098" s="1" t="str">
        <f>IFERROR(__xludf.DUMMYFUNCTION("GOOGLETRANSLATE(D5098,""PT"",""EN"")"),"Hard communication")</f>
        <v>Hard communication</v>
      </c>
    </row>
    <row r="5099" ht="14.25" customHeight="1">
      <c r="A5099" s="1">
        <v>100.0</v>
      </c>
      <c r="B5099" s="1" t="s">
        <v>2106</v>
      </c>
      <c r="C5099" s="1">
        <v>10.0</v>
      </c>
      <c r="D5099" s="2" t="s">
        <v>2319</v>
      </c>
      <c r="E5099" s="1" t="str">
        <f>IFERROR(__xludf.DUMMYFUNCTION("GOOGLETRANSLATE(D5099,""PT"",""EN"")"),"Excellent service, practical operating system.")</f>
        <v>Excellent service, practical operating system.</v>
      </c>
    </row>
    <row r="5100" ht="14.25" customHeight="1">
      <c r="A5100" s="1">
        <v>100.0</v>
      </c>
      <c r="B5100" s="1" t="s">
        <v>2106</v>
      </c>
      <c r="C5100" s="1">
        <v>10.0</v>
      </c>
      <c r="D5100" s="2" t="s">
        <v>2320</v>
      </c>
      <c r="E5100" s="1" t="str">
        <f>IFERROR(__xludf.DUMMYFUNCTION("GOOGLETRANSLATE(D5100,""PT"",""EN"")"),"I have been associated for over 20 years and have never had problems with Sicoob. I've done payroll loans, very easily, I'm from the judiciary is, finally I had a great experience in the consortium area is very good.")</f>
        <v>I have been associated for over 20 years and have never had problems with Sicoob. I've done payroll loans, very easily, I'm from the judiciary is, finally I had a great experience in the consortium area is very good.</v>
      </c>
    </row>
    <row r="5101" ht="14.25" customHeight="1">
      <c r="A5101" s="1">
        <v>100.0</v>
      </c>
      <c r="B5101" s="1" t="s">
        <v>2106</v>
      </c>
      <c r="C5101" s="1">
        <v>10.0</v>
      </c>
      <c r="D5101" s="1" t="s">
        <v>165</v>
      </c>
      <c r="E5101" s="1" t="str">
        <f>IFERROR(__xludf.DUMMYFUNCTION("GOOGLETRANSLATE(D5101,""PT"",""EN"")"),"excellent service")</f>
        <v>excellent service</v>
      </c>
    </row>
    <row r="5102" ht="14.25" customHeight="1">
      <c r="A5102" s="1">
        <v>33.0</v>
      </c>
      <c r="B5102" s="1" t="s">
        <v>2106</v>
      </c>
      <c r="C5102" s="1">
        <v>1.0</v>
      </c>
      <c r="D5102" s="2" t="s">
        <v>2321</v>
      </c>
      <c r="E5102" s="1" t="str">
        <f>IFERROR(__xludf.DUMMYFUNCTION("GOOGLETRANSLATE(D5102,""PT"",""EN"")"),"It is appearing safe on my card I did not ask when calling to cancel send it to several people is not to solve")</f>
        <v>It is appearing safe on my card I did not ask when calling to cancel send it to several people is not to solve</v>
      </c>
    </row>
    <row r="5103" ht="14.25" customHeight="1">
      <c r="A5103" s="1">
        <v>100.0</v>
      </c>
      <c r="B5103" s="1" t="s">
        <v>2106</v>
      </c>
      <c r="C5103" s="1">
        <v>10.0</v>
      </c>
      <c r="D5103" s="1" t="s">
        <v>6</v>
      </c>
      <c r="E5103" s="1"/>
    </row>
    <row r="5104" ht="14.25" customHeight="1">
      <c r="A5104" s="1">
        <v>33.0</v>
      </c>
      <c r="B5104" s="1" t="s">
        <v>2106</v>
      </c>
      <c r="C5104" s="1">
        <v>0.0</v>
      </c>
      <c r="D5104" s="2" t="s">
        <v>2322</v>
      </c>
      <c r="E5104" s="1" t="str">
        <f>IFERROR(__xludf.DUMMYFUNCTION("GOOGLETRANSLATE(D5104,""PT"",""EN"")"),"For me it didn't serve anything I needed a card is denied me")</f>
        <v>For me it didn't serve anything I needed a card is denied me</v>
      </c>
    </row>
    <row r="5105" ht="14.25" customHeight="1">
      <c r="A5105" s="1">
        <v>100.0</v>
      </c>
      <c r="B5105" s="1" t="s">
        <v>2106</v>
      </c>
      <c r="C5105" s="1">
        <v>9.0</v>
      </c>
      <c r="D5105" s="1" t="s">
        <v>6</v>
      </c>
      <c r="E5105" s="1"/>
    </row>
    <row r="5106" ht="14.25" customHeight="1">
      <c r="A5106" s="1">
        <v>100.0</v>
      </c>
      <c r="B5106" s="1" t="s">
        <v>2106</v>
      </c>
      <c r="C5106" s="1">
        <v>9.0</v>
      </c>
      <c r="D5106" s="1" t="s">
        <v>6</v>
      </c>
      <c r="E5106" s="1"/>
    </row>
    <row r="5107" ht="14.25" customHeight="1">
      <c r="A5107" s="1">
        <v>100.0</v>
      </c>
      <c r="B5107" s="1" t="s">
        <v>2106</v>
      </c>
      <c r="C5107" s="1">
        <v>10.0</v>
      </c>
      <c r="D5107" s="1" t="s">
        <v>6</v>
      </c>
      <c r="E5107" s="1"/>
    </row>
    <row r="5108" ht="14.25" customHeight="1">
      <c r="A5108" s="1">
        <v>100.0</v>
      </c>
      <c r="B5108" s="1" t="s">
        <v>2106</v>
      </c>
      <c r="C5108" s="1">
        <v>10.0</v>
      </c>
      <c r="D5108" s="2" t="s">
        <v>2323</v>
      </c>
      <c r="E5108" s="1" t="str">
        <f>IFERROR(__xludf.DUMMYFUNCTION("GOOGLETRANSLATE(D5108,""PT"",""EN"")"),"A fair cooperative is transparent with the partners.")</f>
        <v>A fair cooperative is transparent with the partners.</v>
      </c>
    </row>
    <row r="5109" ht="14.25" customHeight="1">
      <c r="A5109" s="1">
        <v>66.0</v>
      </c>
      <c r="B5109" s="1" t="s">
        <v>2106</v>
      </c>
      <c r="C5109" s="1">
        <v>8.0</v>
      </c>
      <c r="D5109" s="1" t="s">
        <v>6</v>
      </c>
      <c r="E5109" s="1"/>
    </row>
    <row r="5110" ht="14.25" customHeight="1">
      <c r="A5110" s="1">
        <v>100.0</v>
      </c>
      <c r="B5110" s="1" t="s">
        <v>2106</v>
      </c>
      <c r="C5110" s="1">
        <v>9.0</v>
      </c>
      <c r="D5110" s="1" t="s">
        <v>2324</v>
      </c>
      <c r="E5110" s="1" t="str">
        <f>IFERROR(__xludf.DUMMYFUNCTION("GOOGLETRANSLATE(D5110,""PT"",""EN"")"),"The good service")</f>
        <v>The good service</v>
      </c>
    </row>
    <row r="5111" ht="14.25" customHeight="1">
      <c r="A5111" s="1">
        <v>100.0</v>
      </c>
      <c r="B5111" s="1" t="s">
        <v>2106</v>
      </c>
      <c r="C5111" s="1">
        <v>10.0</v>
      </c>
      <c r="D5111" s="2" t="s">
        <v>2325</v>
      </c>
      <c r="E5111" s="1" t="str">
        <f>IFERROR(__xludf.DUMMYFUNCTION("GOOGLETRANSLATE(D5111,""PT"",""EN"")"),"SICOOB is a financial institution that has all the needs is still applies the lowest rate on the market, above all has a differentiated service")</f>
        <v>SICOOB is a financial institution that has all the needs is still applies the lowest rate on the market, above all has a differentiated service</v>
      </c>
    </row>
    <row r="5112" ht="14.25" customHeight="1">
      <c r="A5112" s="1">
        <v>100.0</v>
      </c>
      <c r="B5112" s="1" t="s">
        <v>2106</v>
      </c>
      <c r="C5112" s="1">
        <v>10.0</v>
      </c>
      <c r="D5112" s="2" t="s">
        <v>2326</v>
      </c>
      <c r="E5112" s="1" t="str">
        <f>IFERROR(__xludf.DUMMYFUNCTION("GOOGLETRANSLATE(D5112,""PT"",""EN"")"),"Cooperative would be and committed to serving the customer well")</f>
        <v>Cooperative would be and committed to serving the customer well</v>
      </c>
    </row>
    <row r="5113" ht="14.25" customHeight="1">
      <c r="A5113" s="1">
        <v>33.0</v>
      </c>
      <c r="B5113" s="1" t="s">
        <v>2106</v>
      </c>
      <c r="C5113" s="1">
        <v>1.0</v>
      </c>
      <c r="D5113" s="1" t="s">
        <v>6</v>
      </c>
      <c r="E5113" s="1"/>
    </row>
    <row r="5114" ht="14.25" customHeight="1">
      <c r="A5114" s="1">
        <v>100.0</v>
      </c>
      <c r="B5114" s="1" t="s">
        <v>2106</v>
      </c>
      <c r="C5114" s="1">
        <v>10.0</v>
      </c>
      <c r="D5114" s="1" t="s">
        <v>22</v>
      </c>
      <c r="E5114" s="1" t="str">
        <f>IFERROR(__xludf.DUMMYFUNCTION("GOOGLETRANSLATE(D5114,""PT"",""EN"")"),"Excellent service")</f>
        <v>Excellent service</v>
      </c>
    </row>
    <row r="5115" ht="14.25" customHeight="1">
      <c r="A5115" s="1">
        <v>100.0</v>
      </c>
      <c r="B5115" s="1" t="s">
        <v>2106</v>
      </c>
      <c r="C5115" s="1">
        <v>10.0</v>
      </c>
      <c r="D5115" s="2" t="s">
        <v>2327</v>
      </c>
      <c r="E5115" s="1" t="str">
        <f>IFERROR(__xludf.DUMMYFUNCTION("GOOGLETRANSLATE(D5115,""PT"",""EN"")"),"Agility and clarity in service!")</f>
        <v>Agility and clarity in service!</v>
      </c>
    </row>
    <row r="5116" ht="14.25" customHeight="1">
      <c r="A5116" s="1">
        <v>100.0</v>
      </c>
      <c r="B5116" s="1" t="s">
        <v>2106</v>
      </c>
      <c r="C5116" s="1">
        <v>10.0</v>
      </c>
      <c r="D5116" s="1" t="s">
        <v>6</v>
      </c>
      <c r="E5116" s="1"/>
    </row>
    <row r="5117" ht="14.25" customHeight="1">
      <c r="A5117" s="1">
        <v>33.0</v>
      </c>
      <c r="B5117" s="1" t="s">
        <v>2106</v>
      </c>
      <c r="C5117" s="1">
        <v>5.0</v>
      </c>
      <c r="D5117" s="1" t="s">
        <v>2328</v>
      </c>
      <c r="E5117" s="1" t="str">
        <f>IFERROR(__xludf.DUMMYFUNCTION("GOOGLETRANSLATE(D5117,""PT"",""EN"")"),"Interaction with apps more agile.")</f>
        <v>Interaction with apps more agile.</v>
      </c>
    </row>
    <row r="5118" ht="14.25" customHeight="1">
      <c r="A5118" s="1">
        <v>33.0</v>
      </c>
      <c r="B5118" s="1" t="s">
        <v>2106</v>
      </c>
      <c r="C5118" s="1">
        <v>0.0</v>
      </c>
      <c r="D5118" s="2" t="s">
        <v>2329</v>
      </c>
      <c r="E5118" s="1" t="str">
        <f>IFERROR(__xludf.DUMMYFUNCTION("GOOGLETRANSLATE(D5118,""PT"",""EN"")"),"Lack of information is contact to increase credit on the card")</f>
        <v>Lack of information is contact to increase credit on the card</v>
      </c>
    </row>
    <row r="5119" ht="14.25" customHeight="1">
      <c r="A5119" s="1">
        <v>100.0</v>
      </c>
      <c r="B5119" s="1" t="s">
        <v>2106</v>
      </c>
      <c r="C5119" s="1">
        <v>10.0</v>
      </c>
      <c r="D5119" s="1" t="s">
        <v>6</v>
      </c>
      <c r="E5119" s="1"/>
    </row>
    <row r="5120" ht="14.25" customHeight="1">
      <c r="A5120" s="1">
        <v>100.0</v>
      </c>
      <c r="B5120" s="1" t="s">
        <v>2106</v>
      </c>
      <c r="C5120" s="1">
        <v>10.0</v>
      </c>
      <c r="D5120" s="1" t="s">
        <v>1300</v>
      </c>
      <c r="E5120" s="1" t="str">
        <f>IFERROR(__xludf.DUMMYFUNCTION("GOOGLETRANSLATE(D5120,""PT"",""EN"")"),"Excellent service!")</f>
        <v>Excellent service!</v>
      </c>
    </row>
    <row r="5121" ht="14.25" customHeight="1">
      <c r="A5121" s="1">
        <v>100.0</v>
      </c>
      <c r="B5121" s="1" t="s">
        <v>2106</v>
      </c>
      <c r="C5121" s="1">
        <v>10.0</v>
      </c>
      <c r="D5121" s="1" t="s">
        <v>2330</v>
      </c>
      <c r="E5121" s="1" t="str">
        <f>IFERROR(__xludf.DUMMYFUNCTION("GOOGLETRANSLATE(D5121,""PT"",""EN"")"),"I am very well attended to Sicoob!")</f>
        <v>I am very well attended to Sicoob!</v>
      </c>
    </row>
    <row r="5122" ht="14.25" customHeight="1">
      <c r="A5122" s="1">
        <v>100.0</v>
      </c>
      <c r="B5122" s="1" t="s">
        <v>2106</v>
      </c>
      <c r="C5122" s="1">
        <v>10.0</v>
      </c>
      <c r="D5122" s="2" t="s">
        <v>2331</v>
      </c>
      <c r="E5122" s="1" t="str">
        <f>IFERROR(__xludf.DUMMYFUNCTION("GOOGLETRANSLATE(D5122,""PT"",""EN"")"),"Differentiated treatment with the cooperative/client, in relation to other financial institutions, non -cooperatives.")</f>
        <v>Differentiated treatment with the cooperative/client, in relation to other financial institutions, non -cooperatives.</v>
      </c>
    </row>
    <row r="5123" ht="14.25" customHeight="1">
      <c r="A5123" s="1">
        <v>100.0</v>
      </c>
      <c r="B5123" s="1" t="s">
        <v>2106</v>
      </c>
      <c r="C5123" s="1">
        <v>10.0</v>
      </c>
      <c r="D5123" s="1" t="s">
        <v>2332</v>
      </c>
      <c r="E5123" s="1" t="str">
        <f>IFERROR(__xludf.DUMMYFUNCTION("GOOGLETRANSLATE(D5123,""PT"",""EN"")"),"Easy to solve WhatsApp issues, staff kindness")</f>
        <v>Easy to solve WhatsApp issues, staff kindness</v>
      </c>
    </row>
    <row r="5124" ht="14.25" customHeight="1">
      <c r="A5124" s="1">
        <v>33.0</v>
      </c>
      <c r="B5124" s="1" t="s">
        <v>2106</v>
      </c>
      <c r="C5124" s="1">
        <v>4.0</v>
      </c>
      <c r="D5124" s="2" t="s">
        <v>2333</v>
      </c>
      <c r="E5124" s="1" t="str">
        <f>IFERROR(__xludf.DUMMYFUNCTION("GOOGLETRANSLATE(D5124,""PT"",""EN"")"),"A bank that has no partnership, no credit line, service with the very weak manager.")</f>
        <v>A bank that has no partnership, no credit line, service with the very weak manager.</v>
      </c>
    </row>
    <row r="5125" ht="14.25" customHeight="1">
      <c r="A5125" s="1">
        <v>33.0</v>
      </c>
      <c r="B5125" s="1" t="s">
        <v>2106</v>
      </c>
      <c r="C5125" s="1">
        <v>0.0</v>
      </c>
      <c r="D5125" s="2" t="s">
        <v>2334</v>
      </c>
      <c r="E5125" s="1" t="str">
        <f>IFERROR(__xludf.DUMMYFUNCTION("GOOGLETRANSLATE(D5125,""PT"",""EN"")"),"Weak credit analysis")</f>
        <v>Weak credit analysis</v>
      </c>
    </row>
    <row r="5126" ht="14.25" customHeight="1">
      <c r="A5126" s="1">
        <v>100.0</v>
      </c>
      <c r="B5126" s="1" t="s">
        <v>2106</v>
      </c>
      <c r="C5126" s="1">
        <v>10.0</v>
      </c>
      <c r="D5126" s="2" t="s">
        <v>2335</v>
      </c>
      <c r="E5126" s="1" t="str">
        <f>IFERROR(__xludf.DUMMYFUNCTION("GOOGLETRANSLATE(D5126,""PT"",""EN"")"),"Very prepared attendants. Easy negotiation. Celere service.")</f>
        <v>Very prepared attendants. Easy negotiation. Celere service.</v>
      </c>
    </row>
    <row r="5127" ht="14.25" customHeight="1">
      <c r="A5127" s="1">
        <v>100.0</v>
      </c>
      <c r="B5127" s="1" t="s">
        <v>2106</v>
      </c>
      <c r="C5127" s="1">
        <v>9.0</v>
      </c>
      <c r="D5127" s="1" t="s">
        <v>6</v>
      </c>
      <c r="E5127" s="1"/>
    </row>
    <row r="5128" ht="14.25" customHeight="1">
      <c r="A5128" s="1">
        <v>100.0</v>
      </c>
      <c r="B5128" s="1" t="s">
        <v>2106</v>
      </c>
      <c r="C5128" s="1">
        <v>9.0</v>
      </c>
      <c r="D5128" s="1" t="s">
        <v>6</v>
      </c>
      <c r="E5128" s="1"/>
    </row>
    <row r="5129" ht="14.25" customHeight="1">
      <c r="A5129" s="1">
        <v>33.0</v>
      </c>
      <c r="B5129" s="1" t="s">
        <v>2106</v>
      </c>
      <c r="C5129" s="1">
        <v>2.0</v>
      </c>
      <c r="D5129" s="1" t="s">
        <v>6</v>
      </c>
      <c r="E5129" s="1"/>
    </row>
    <row r="5130" ht="14.25" customHeight="1">
      <c r="A5130" s="1">
        <v>100.0</v>
      </c>
      <c r="B5130" s="1" t="s">
        <v>2106</v>
      </c>
      <c r="C5130" s="1">
        <v>10.0</v>
      </c>
      <c r="D5130" s="2" t="s">
        <v>2336</v>
      </c>
      <c r="E5130" s="1" t="str">
        <f>IFERROR(__xludf.DUMMYFUNCTION("GOOGLETRANSLATE(D5130,""PT"",""EN"")"),"Practical, good rates")</f>
        <v>Practical, good rates</v>
      </c>
    </row>
    <row r="5131" ht="14.25" customHeight="1">
      <c r="A5131" s="1">
        <v>100.0</v>
      </c>
      <c r="B5131" s="1" t="s">
        <v>2106</v>
      </c>
      <c r="C5131" s="1">
        <v>10.0</v>
      </c>
      <c r="D5131" s="1" t="s">
        <v>6</v>
      </c>
      <c r="E5131" s="1"/>
    </row>
    <row r="5132" ht="14.25" customHeight="1">
      <c r="A5132" s="1">
        <v>33.0</v>
      </c>
      <c r="B5132" s="1" t="s">
        <v>2106</v>
      </c>
      <c r="C5132" s="1">
        <v>1.0</v>
      </c>
      <c r="D5132" s="2" t="s">
        <v>2337</v>
      </c>
      <c r="E5132" s="1" t="str">
        <f>IFERROR(__xludf.DUMMYFUNCTION("GOOGLETRANSLATE(D5132,""PT"",""EN"")"),"I have nothing with this Sicoob. Even improper card collection sent by email. Ridiculous you")</f>
        <v>I have nothing with this Sicoob. Even improper card collection sent by email. Ridiculous you</v>
      </c>
    </row>
    <row r="5133" ht="14.25" customHeight="1">
      <c r="A5133" s="1">
        <v>66.0</v>
      </c>
      <c r="B5133" s="1" t="s">
        <v>2106</v>
      </c>
      <c r="C5133" s="1">
        <v>8.0</v>
      </c>
      <c r="D5133" s="2" t="s">
        <v>2338</v>
      </c>
      <c r="E5133" s="1" t="str">
        <f>IFERROR(__xludf.DUMMYFUNCTION("GOOGLETRANSLATE(D5133,""PT"",""EN"")"),"Always have any to improve")</f>
        <v>Always have any to improve</v>
      </c>
    </row>
    <row r="5134" ht="14.25" customHeight="1">
      <c r="A5134" s="1">
        <v>33.0</v>
      </c>
      <c r="B5134" s="1" t="s">
        <v>2106</v>
      </c>
      <c r="C5134" s="1">
        <v>1.0</v>
      </c>
      <c r="D5134" s="1" t="s">
        <v>6</v>
      </c>
      <c r="E5134" s="1"/>
    </row>
    <row r="5135" ht="14.25" customHeight="1">
      <c r="A5135" s="1">
        <v>66.0</v>
      </c>
      <c r="B5135" s="1" t="s">
        <v>2106</v>
      </c>
      <c r="C5135" s="1">
        <v>8.0</v>
      </c>
      <c r="D5135" s="1" t="s">
        <v>6</v>
      </c>
      <c r="E5135" s="1"/>
    </row>
    <row r="5136" ht="14.25" customHeight="1">
      <c r="A5136" s="1">
        <v>33.0</v>
      </c>
      <c r="B5136" s="1" t="s">
        <v>2106</v>
      </c>
      <c r="C5136" s="1">
        <v>0.0</v>
      </c>
      <c r="D5136" s="2" t="s">
        <v>2339</v>
      </c>
      <c r="E5136" s="1" t="str">
        <f>IFERROR(__xludf.DUMMYFUNCTION("GOOGLETRANSLATE(D5136,""PT"",""EN"")"),"terrible. Even with gross income between 26 and 28 thousand, it is no restriction on any credit protection agency, to date no product has been released, card, no check. Despite having done the account opening, I do not recommend it. Otávio Rocha CPF 72626"&amp;"046191")</f>
        <v>terrible. Even with gross income between 26 and 28 thousand, it is no restriction on any credit protection agency, to date no product has been released, card, no check. Despite having done the account opening, I do not recommend it. Otávio Rocha CPF 72626046191</v>
      </c>
    </row>
    <row r="5137" ht="14.25" customHeight="1">
      <c r="A5137" s="1">
        <v>100.0</v>
      </c>
      <c r="B5137" s="1" t="s">
        <v>2106</v>
      </c>
      <c r="C5137" s="1">
        <v>9.0</v>
      </c>
      <c r="D5137" s="1" t="s">
        <v>6</v>
      </c>
      <c r="E5137" s="1"/>
    </row>
    <row r="5138" ht="14.25" customHeight="1">
      <c r="A5138" s="1">
        <v>66.0</v>
      </c>
      <c r="B5138" s="1" t="s">
        <v>2106</v>
      </c>
      <c r="C5138" s="1">
        <v>7.0</v>
      </c>
      <c r="D5138" s="1" t="s">
        <v>2340</v>
      </c>
      <c r="E5138" s="1" t="str">
        <f>IFERROR(__xludf.DUMMYFUNCTION("GOOGLETRANSLATE(D5138,""PT"",""EN"")"),"Difficulty solving problems when they arise.")</f>
        <v>Difficulty solving problems when they arise.</v>
      </c>
    </row>
    <row r="5139" ht="14.25" customHeight="1">
      <c r="A5139" s="1">
        <v>33.0</v>
      </c>
      <c r="B5139" s="1" t="s">
        <v>2106</v>
      </c>
      <c r="C5139" s="1">
        <v>6.0</v>
      </c>
      <c r="D5139" s="1" t="s">
        <v>6</v>
      </c>
      <c r="E5139" s="1"/>
    </row>
    <row r="5140" ht="14.25" customHeight="1">
      <c r="A5140" s="1">
        <v>100.0</v>
      </c>
      <c r="B5140" s="1" t="s">
        <v>2106</v>
      </c>
      <c r="C5140" s="1">
        <v>10.0</v>
      </c>
      <c r="D5140" s="1" t="s">
        <v>6</v>
      </c>
      <c r="E5140" s="1"/>
    </row>
    <row r="5141" ht="14.25" customHeight="1">
      <c r="A5141" s="1">
        <v>100.0</v>
      </c>
      <c r="B5141" s="1" t="s">
        <v>2106</v>
      </c>
      <c r="C5141" s="1">
        <v>10.0</v>
      </c>
      <c r="D5141" s="1" t="s">
        <v>2341</v>
      </c>
      <c r="E5141" s="1" t="str">
        <f>IFERROR(__xludf.DUMMYFUNCTION("GOOGLETRANSLATE(D5141,""PT"",""EN"")"),"The service is show")</f>
        <v>The service is show</v>
      </c>
    </row>
    <row r="5142" ht="14.25" customHeight="1">
      <c r="A5142" s="1">
        <v>33.0</v>
      </c>
      <c r="B5142" s="1" t="s">
        <v>2106</v>
      </c>
      <c r="C5142" s="1">
        <v>1.0</v>
      </c>
      <c r="D5142" s="1" t="s">
        <v>6</v>
      </c>
      <c r="E5142" s="1"/>
    </row>
    <row r="5143" ht="14.25" customHeight="1">
      <c r="A5143" s="1">
        <v>100.0</v>
      </c>
      <c r="B5143" s="1" t="s">
        <v>2106</v>
      </c>
      <c r="C5143" s="1">
        <v>9.0</v>
      </c>
      <c r="D5143" s="2" t="s">
        <v>2342</v>
      </c>
      <c r="E5143" s="1" t="str">
        <f>IFERROR(__xludf.DUMMYFUNCTION("GOOGLETRANSLATE(D5143,""PT"",""EN"")"),"A cooperative that practices lower interest rates than the market. Profit is distributed among the associates.")</f>
        <v>A cooperative that practices lower interest rates than the market. Profit is distributed among the associates.</v>
      </c>
    </row>
    <row r="5144" ht="14.25" customHeight="1">
      <c r="A5144" s="1">
        <v>66.0</v>
      </c>
      <c r="B5144" s="1" t="s">
        <v>2106</v>
      </c>
      <c r="C5144" s="1">
        <v>8.0</v>
      </c>
      <c r="D5144" s="2" t="s">
        <v>2343</v>
      </c>
      <c r="E5144" s="1" t="str">
        <f>IFERROR(__xludf.DUMMYFUNCTION("GOOGLETRANSLATE(D5144,""PT"",""EN"")"),"It's a good service is very attentive employees")</f>
        <v>It's a good service is very attentive employees</v>
      </c>
    </row>
    <row r="5145" ht="14.25" customHeight="1">
      <c r="A5145" s="1">
        <v>100.0</v>
      </c>
      <c r="B5145" s="1" t="s">
        <v>2106</v>
      </c>
      <c r="C5145" s="1">
        <v>10.0</v>
      </c>
      <c r="D5145" s="1" t="s">
        <v>9</v>
      </c>
      <c r="E5145" s="1" t="str">
        <f>IFERROR(__xludf.DUMMYFUNCTION("GOOGLETRANSLATE(D5145,""PT"",""EN"")"),"10")</f>
        <v>10</v>
      </c>
    </row>
    <row r="5146" ht="14.25" customHeight="1">
      <c r="A5146" s="1">
        <v>100.0</v>
      </c>
      <c r="B5146" s="1" t="s">
        <v>2106</v>
      </c>
      <c r="C5146" s="1">
        <v>10.0</v>
      </c>
      <c r="D5146" s="1" t="s">
        <v>6</v>
      </c>
      <c r="E5146" s="1"/>
    </row>
    <row r="5147" ht="14.25" customHeight="1">
      <c r="A5147" s="1">
        <v>100.0</v>
      </c>
      <c r="B5147" s="1" t="s">
        <v>2106</v>
      </c>
      <c r="C5147" s="1">
        <v>10.0</v>
      </c>
      <c r="D5147" s="1" t="s">
        <v>6</v>
      </c>
      <c r="E5147" s="1"/>
    </row>
    <row r="5148" ht="14.25" customHeight="1">
      <c r="A5148" s="1">
        <v>100.0</v>
      </c>
      <c r="B5148" s="1" t="s">
        <v>2106</v>
      </c>
      <c r="C5148" s="1">
        <v>10.0</v>
      </c>
      <c r="D5148" s="1" t="s">
        <v>9</v>
      </c>
      <c r="E5148" s="1" t="str">
        <f>IFERROR(__xludf.DUMMYFUNCTION("GOOGLETRANSLATE(D5148,""PT"",""EN"")"),"10")</f>
        <v>10</v>
      </c>
    </row>
    <row r="5149" ht="14.25" customHeight="1">
      <c r="A5149" s="1">
        <v>33.0</v>
      </c>
      <c r="B5149" s="1" t="s">
        <v>2106</v>
      </c>
      <c r="C5149" s="1">
        <v>3.0</v>
      </c>
      <c r="D5149" s="1" t="s">
        <v>6</v>
      </c>
      <c r="E5149" s="1"/>
    </row>
    <row r="5150" ht="14.25" customHeight="1">
      <c r="A5150" s="1">
        <v>33.0</v>
      </c>
      <c r="B5150" s="1" t="s">
        <v>2106</v>
      </c>
      <c r="C5150" s="1">
        <v>6.0</v>
      </c>
      <c r="D5150" s="1" t="s">
        <v>2344</v>
      </c>
      <c r="E5150" s="1" t="str">
        <f>IFERROR(__xludf.DUMMYFUNCTION("GOOGLETRANSLATE(D5150,""PT"",""EN"")"),"The service is time consuming")</f>
        <v>The service is time consuming</v>
      </c>
    </row>
    <row r="5151" ht="14.25" customHeight="1">
      <c r="A5151" s="1">
        <v>100.0</v>
      </c>
      <c r="B5151" s="1" t="s">
        <v>2106</v>
      </c>
      <c r="C5151" s="1">
        <v>10.0</v>
      </c>
      <c r="D5151" s="1" t="s">
        <v>6</v>
      </c>
      <c r="E5151" s="1"/>
    </row>
    <row r="5152" ht="14.25" customHeight="1">
      <c r="A5152" s="1">
        <v>33.0</v>
      </c>
      <c r="B5152" s="1" t="s">
        <v>2106</v>
      </c>
      <c r="C5152" s="1">
        <v>6.0</v>
      </c>
      <c r="D5152" s="2" t="s">
        <v>2345</v>
      </c>
      <c r="E5152" s="1" t="str">
        <f>IFERROR(__xludf.DUMMYFUNCTION("GOOGLETRANSLATE(D5152,""PT"",""EN"")"),"Interest rates offered for overdraft at the same level as commercial banks is very low card limits.")</f>
        <v>Interest rates offered for overdraft at the same level as commercial banks is very low card limits.</v>
      </c>
    </row>
    <row r="5153" ht="14.25" customHeight="1">
      <c r="A5153" s="1">
        <v>66.0</v>
      </c>
      <c r="B5153" s="1" t="s">
        <v>2106</v>
      </c>
      <c r="C5153" s="1">
        <v>7.0</v>
      </c>
      <c r="D5153" s="2" t="s">
        <v>2346</v>
      </c>
      <c r="E5153" s="1" t="str">
        <f>IFERROR(__xludf.DUMMYFUNCTION("GOOGLETRANSLATE(D5153,""PT"",""EN"")"),"Account similar to that of other banks, the only difference is the application in the capital account. It has good rates for consortium. Credit card is not approved at the account opening.")</f>
        <v>Account similar to that of other banks, the only difference is the application in the capital account. It has good rates for consortium. Credit card is not approved at the account opening.</v>
      </c>
    </row>
    <row r="5154" ht="14.25" customHeight="1">
      <c r="A5154" s="1">
        <v>66.0</v>
      </c>
      <c r="B5154" s="1" t="s">
        <v>2106</v>
      </c>
      <c r="C5154" s="1">
        <v>8.0</v>
      </c>
      <c r="D5154" s="1" t="s">
        <v>6</v>
      </c>
      <c r="E5154" s="1"/>
    </row>
    <row r="5155" ht="14.25" customHeight="1">
      <c r="A5155" s="1">
        <v>100.0</v>
      </c>
      <c r="B5155" s="1" t="s">
        <v>2106</v>
      </c>
      <c r="C5155" s="1">
        <v>10.0</v>
      </c>
      <c r="D5155" s="1" t="s">
        <v>2347</v>
      </c>
      <c r="E5155" s="1" t="str">
        <f>IFERROR(__xludf.DUMMYFUNCTION("GOOGLETRANSLATE(D5155,""PT"",""EN"")"),"Easy to use the app.")</f>
        <v>Easy to use the app.</v>
      </c>
    </row>
    <row r="5156" ht="14.25" customHeight="1">
      <c r="A5156" s="1">
        <v>100.0</v>
      </c>
      <c r="B5156" s="1" t="s">
        <v>2106</v>
      </c>
      <c r="C5156" s="1">
        <v>10.0</v>
      </c>
      <c r="D5156" s="1" t="s">
        <v>6</v>
      </c>
      <c r="E5156" s="1"/>
    </row>
    <row r="5157" ht="14.25" customHeight="1">
      <c r="A5157" s="1">
        <v>100.0</v>
      </c>
      <c r="B5157" s="1" t="s">
        <v>2106</v>
      </c>
      <c r="C5157" s="1">
        <v>10.0</v>
      </c>
      <c r="D5157" s="1" t="s">
        <v>2348</v>
      </c>
      <c r="E5157" s="1" t="str">
        <f>IFERROR(__xludf.DUMMYFUNCTION("GOOGLETRANSLATE(D5157,""PT"",""EN"")"),"Sicoob is cooperativism")</f>
        <v>Sicoob is cooperativism</v>
      </c>
    </row>
    <row r="5158" ht="14.25" customHeight="1">
      <c r="A5158" s="1">
        <v>100.0</v>
      </c>
      <c r="B5158" s="1" t="s">
        <v>2106</v>
      </c>
      <c r="C5158" s="1">
        <v>10.0</v>
      </c>
      <c r="D5158" s="1" t="s">
        <v>571</v>
      </c>
      <c r="E5158" s="1" t="str">
        <f>IFERROR(__xludf.DUMMYFUNCTION("GOOGLETRANSLATE(D5158,""PT"",""EN"")"),"The service")</f>
        <v>The service</v>
      </c>
    </row>
    <row r="5159" ht="14.25" customHeight="1">
      <c r="A5159" s="1">
        <v>100.0</v>
      </c>
      <c r="B5159" s="1" t="s">
        <v>2106</v>
      </c>
      <c r="C5159" s="1">
        <v>10.0</v>
      </c>
      <c r="D5159" s="1" t="s">
        <v>2349</v>
      </c>
      <c r="E5159" s="1" t="str">
        <f>IFERROR(__xludf.DUMMYFUNCTION("GOOGLETRANSLATE(D5159,""PT"",""EN"")"),"Perfect")</f>
        <v>Perfect</v>
      </c>
    </row>
    <row r="5160" ht="14.25" customHeight="1">
      <c r="A5160" s="1">
        <v>33.0</v>
      </c>
      <c r="B5160" s="1" t="s">
        <v>2106</v>
      </c>
      <c r="C5160" s="1">
        <v>0.0</v>
      </c>
      <c r="D5160" s="2" t="s">
        <v>2350</v>
      </c>
      <c r="E5160" s="1" t="str">
        <f>IFERROR(__xludf.DUMMYFUNCTION("GOOGLETRANSLATE(D5160,""PT"",""EN"")"),"I have my capital account arrested is I can not use to cover debts with the cooperative.")</f>
        <v>I have my capital account arrested is I can not use to cover debts with the cooperative.</v>
      </c>
    </row>
    <row r="5161" ht="14.25" customHeight="1">
      <c r="A5161" s="1">
        <v>100.0</v>
      </c>
      <c r="B5161" s="1" t="s">
        <v>2106</v>
      </c>
      <c r="C5161" s="1">
        <v>10.0</v>
      </c>
      <c r="D5161" s="1" t="s">
        <v>2351</v>
      </c>
      <c r="E5161" s="1" t="str">
        <f>IFERROR(__xludf.DUMMYFUNCTION("GOOGLETRANSLATE(D5161,""PT"",""EN"")"),"Good rates")</f>
        <v>Good rates</v>
      </c>
    </row>
    <row r="5162" ht="14.25" customHeight="1">
      <c r="A5162" s="1">
        <v>100.0</v>
      </c>
      <c r="B5162" s="1" t="s">
        <v>2106</v>
      </c>
      <c r="C5162" s="1">
        <v>10.0</v>
      </c>
      <c r="D5162" s="1" t="s">
        <v>6</v>
      </c>
      <c r="E5162" s="1"/>
    </row>
    <row r="5163" ht="14.25" customHeight="1">
      <c r="A5163" s="1">
        <v>100.0</v>
      </c>
      <c r="B5163" s="1" t="s">
        <v>2106</v>
      </c>
      <c r="C5163" s="1">
        <v>9.0</v>
      </c>
      <c r="D5163" s="1" t="s">
        <v>62</v>
      </c>
      <c r="E5163" s="1" t="str">
        <f>IFERROR(__xludf.DUMMYFUNCTION("GOOGLETRANSLATE(D5163,""PT"",""EN"")"),"Good service")</f>
        <v>Good service</v>
      </c>
    </row>
    <row r="5164" ht="14.25" customHeight="1">
      <c r="A5164" s="1">
        <v>100.0</v>
      </c>
      <c r="B5164" s="1" t="s">
        <v>2106</v>
      </c>
      <c r="C5164" s="1">
        <v>10.0</v>
      </c>
      <c r="D5164" s="1" t="s">
        <v>85</v>
      </c>
      <c r="E5164" s="1" t="str">
        <f>IFERROR(__xludf.DUMMYFUNCTION("GOOGLETRANSLATE(D5164,""PT"",""EN"")"),"Service")</f>
        <v>Service</v>
      </c>
    </row>
    <row r="5165" ht="14.25" customHeight="1">
      <c r="A5165" s="1">
        <v>100.0</v>
      </c>
      <c r="B5165" s="1" t="s">
        <v>2106</v>
      </c>
      <c r="C5165" s="1">
        <v>10.0</v>
      </c>
      <c r="D5165" s="1" t="s">
        <v>6</v>
      </c>
      <c r="E5165" s="1"/>
    </row>
    <row r="5166" ht="14.25" customHeight="1">
      <c r="A5166" s="1">
        <v>100.0</v>
      </c>
      <c r="B5166" s="1" t="s">
        <v>2106</v>
      </c>
      <c r="C5166" s="1">
        <v>9.0</v>
      </c>
      <c r="D5166" s="2" t="s">
        <v>2352</v>
      </c>
      <c r="E5166" s="1" t="str">
        <f>IFERROR(__xludf.DUMMYFUNCTION("GOOGLETRANSLATE(D5166,""PT"",""EN"")"),"Speed ​​in service. Cordiality and professionalism of cooperative employees.")</f>
        <v>Speed ​​in service. Cordiality and professionalism of cooperative employees.</v>
      </c>
    </row>
    <row r="5167" ht="14.25" customHeight="1">
      <c r="A5167" s="1">
        <v>100.0</v>
      </c>
      <c r="B5167" s="1" t="s">
        <v>2106</v>
      </c>
      <c r="C5167" s="1">
        <v>9.0</v>
      </c>
      <c r="D5167" s="1" t="s">
        <v>2353</v>
      </c>
      <c r="E5167" s="1" t="str">
        <f>IFERROR(__xludf.DUMMYFUNCTION("GOOGLETRANSLATE(D5167,""PT"",""EN"")"),"comfortable environment, respectful service")</f>
        <v>comfortable environment, respectful service</v>
      </c>
    </row>
    <row r="5168" ht="14.25" customHeight="1">
      <c r="A5168" s="1">
        <v>100.0</v>
      </c>
      <c r="B5168" s="1" t="s">
        <v>2106</v>
      </c>
      <c r="C5168" s="1">
        <v>9.0</v>
      </c>
      <c r="D5168" s="1" t="s">
        <v>6</v>
      </c>
      <c r="E5168" s="1"/>
    </row>
    <row r="5169" ht="14.25" customHeight="1">
      <c r="A5169" s="1">
        <v>100.0</v>
      </c>
      <c r="B5169" s="1" t="s">
        <v>2106</v>
      </c>
      <c r="C5169" s="1">
        <v>10.0</v>
      </c>
      <c r="D5169" s="1" t="s">
        <v>6</v>
      </c>
      <c r="E5169" s="1"/>
    </row>
    <row r="5170" ht="14.25" customHeight="1">
      <c r="A5170" s="1">
        <v>100.0</v>
      </c>
      <c r="B5170" s="1" t="s">
        <v>2106</v>
      </c>
      <c r="C5170" s="1">
        <v>10.0</v>
      </c>
      <c r="D5170" s="1" t="s">
        <v>6</v>
      </c>
      <c r="E5170" s="1"/>
    </row>
    <row r="5171" ht="14.25" customHeight="1">
      <c r="A5171" s="1">
        <v>33.0</v>
      </c>
      <c r="B5171" s="1" t="s">
        <v>2106</v>
      </c>
      <c r="C5171" s="1">
        <v>0.0</v>
      </c>
      <c r="D5171" s="2" t="s">
        <v>2354</v>
      </c>
      <c r="E5171" s="1" t="str">
        <f>IFERROR(__xludf.DUMMYFUNCTION("GOOGLETRANSLATE(D5171,""PT"",""EN"")"),"I don't even want to use this account because I have no benefit of anything")</f>
        <v>I don't even want to use this account because I have no benefit of anything</v>
      </c>
    </row>
    <row r="5172" ht="14.25" customHeight="1">
      <c r="A5172" s="1">
        <v>100.0</v>
      </c>
      <c r="B5172" s="1" t="s">
        <v>2106</v>
      </c>
      <c r="C5172" s="1">
        <v>10.0</v>
      </c>
      <c r="D5172" s="2" t="s">
        <v>2355</v>
      </c>
      <c r="E5172" s="1" t="str">
        <f>IFERROR(__xludf.DUMMYFUNCTION("GOOGLETRANSLATE(D5172,""PT"",""EN"")"),"Good service solicites Practical Fast Practical App easy to use is safe congratulations to Sicoob !!")</f>
        <v>Good service solicites Practical Fast Practical App easy to use is safe congratulations to Sicoob !!</v>
      </c>
    </row>
    <row r="5173" ht="14.25" customHeight="1">
      <c r="A5173" s="1">
        <v>100.0</v>
      </c>
      <c r="B5173" s="1" t="s">
        <v>2106</v>
      </c>
      <c r="C5173" s="1">
        <v>10.0</v>
      </c>
      <c r="D5173" s="1" t="s">
        <v>6</v>
      </c>
      <c r="E5173" s="1"/>
    </row>
    <row r="5174" ht="14.25" customHeight="1">
      <c r="A5174" s="1">
        <v>66.0</v>
      </c>
      <c r="B5174" s="1" t="s">
        <v>2106</v>
      </c>
      <c r="C5174" s="1">
        <v>8.0</v>
      </c>
      <c r="D5174" s="1" t="s">
        <v>6</v>
      </c>
      <c r="E5174" s="1"/>
    </row>
    <row r="5175" ht="14.25" customHeight="1">
      <c r="A5175" s="1">
        <v>100.0</v>
      </c>
      <c r="B5175" s="1" t="s">
        <v>2106</v>
      </c>
      <c r="C5175" s="1">
        <v>9.0</v>
      </c>
      <c r="D5175" s="1" t="s">
        <v>62</v>
      </c>
      <c r="E5175" s="1" t="str">
        <f>IFERROR(__xludf.DUMMYFUNCTION("GOOGLETRANSLATE(D5175,""PT"",""EN"")"),"Good service")</f>
        <v>Good service</v>
      </c>
    </row>
    <row r="5176" ht="14.25" customHeight="1">
      <c r="A5176" s="1">
        <v>100.0</v>
      </c>
      <c r="B5176" s="1" t="s">
        <v>2106</v>
      </c>
      <c r="C5176" s="1">
        <v>10.0</v>
      </c>
      <c r="D5176" s="1" t="s">
        <v>6</v>
      </c>
      <c r="E5176" s="1"/>
    </row>
    <row r="5177" ht="14.25" customHeight="1">
      <c r="A5177" s="1">
        <v>100.0</v>
      </c>
      <c r="B5177" s="1" t="s">
        <v>2106</v>
      </c>
      <c r="C5177" s="1">
        <v>9.0</v>
      </c>
      <c r="D5177" s="1" t="s">
        <v>62</v>
      </c>
      <c r="E5177" s="1" t="str">
        <f>IFERROR(__xludf.DUMMYFUNCTION("GOOGLETRANSLATE(D5177,""PT"",""EN"")"),"Good service")</f>
        <v>Good service</v>
      </c>
    </row>
    <row r="5178" ht="14.25" customHeight="1">
      <c r="A5178" s="1">
        <v>100.0</v>
      </c>
      <c r="B5178" s="1" t="s">
        <v>2106</v>
      </c>
      <c r="C5178" s="1">
        <v>10.0</v>
      </c>
      <c r="D5178" s="1" t="s">
        <v>6</v>
      </c>
      <c r="E5178" s="1"/>
    </row>
    <row r="5179" ht="14.25" customHeight="1">
      <c r="A5179" s="1">
        <v>100.0</v>
      </c>
      <c r="B5179" s="1" t="s">
        <v>2106</v>
      </c>
      <c r="C5179" s="1">
        <v>9.0</v>
      </c>
      <c r="D5179" s="2" t="s">
        <v>2356</v>
      </c>
      <c r="E5179" s="1" t="str">
        <f>IFERROR(__xludf.DUMMYFUNCTION("GOOGLETRANSLATE(D5179,""PT"",""EN"")"),"Despite all the good thing about having an account with Sicoob, especially the interest of overdraft is the cooperative nature, I think there is an inexplicable bureaucracy for certain things, which could be easily automated, as it has in Nubank, for exam"&amp;"ple. Among them, increased overdraft limit is the obtaining of payroll loan, which always requires sending documents is the trip to the agency for physical signature ...")</f>
        <v>Despite all the good thing about having an account with Sicoob, especially the interest of overdraft is the cooperative nature, I think there is an inexplicable bureaucracy for certain things, which could be easily automated, as it has in Nubank, for example. Among them, increased overdraft limit is the obtaining of payroll loan, which always requires sending documents is the trip to the agency for physical signature ...</v>
      </c>
    </row>
    <row r="5180" ht="14.25" customHeight="1">
      <c r="A5180" s="1">
        <v>33.0</v>
      </c>
      <c r="B5180" s="1" t="s">
        <v>2106</v>
      </c>
      <c r="C5180" s="1">
        <v>0.0</v>
      </c>
      <c r="D5180" s="2" t="s">
        <v>2357</v>
      </c>
      <c r="E5180" s="1" t="str">
        <f>IFERROR(__xludf.DUMMYFUNCTION("GOOGLETRANSLATE(D5180,""PT"",""EN"")"),"Ceased to be a cooperative no longer distributing the leftovers due, it is a greedy bank")</f>
        <v>Ceased to be a cooperative no longer distributing the leftovers due, it is a greedy bank</v>
      </c>
    </row>
    <row r="5181" ht="14.25" customHeight="1">
      <c r="A5181" s="1">
        <v>100.0</v>
      </c>
      <c r="B5181" s="1" t="s">
        <v>2106</v>
      </c>
      <c r="C5181" s="1">
        <v>10.0</v>
      </c>
      <c r="D5181" s="1" t="s">
        <v>2358</v>
      </c>
      <c r="E5181" s="1" t="str">
        <f>IFERROR(__xludf.DUMMYFUNCTION("GOOGLETRANSLATE(D5181,""PT"",""EN"")"),"I like the institution's proposal")</f>
        <v>I like the institution's proposal</v>
      </c>
    </row>
    <row r="5182" ht="14.25" customHeight="1">
      <c r="A5182" s="1">
        <v>100.0</v>
      </c>
      <c r="B5182" s="1" t="s">
        <v>2106</v>
      </c>
      <c r="C5182" s="1">
        <v>9.0</v>
      </c>
      <c r="D5182" s="2" t="s">
        <v>2359</v>
      </c>
      <c r="E5182" s="1" t="str">
        <f>IFERROR(__xludf.DUMMYFUNCTION("GOOGLETRANSLATE(D5182,""PT"",""EN"")"),"The service is the good credit offer")</f>
        <v>The service is the good credit offer</v>
      </c>
    </row>
    <row r="5183" ht="14.25" customHeight="1">
      <c r="A5183" s="1">
        <v>100.0</v>
      </c>
      <c r="B5183" s="1" t="s">
        <v>2106</v>
      </c>
      <c r="C5183" s="1">
        <v>10.0</v>
      </c>
      <c r="D5183" s="1" t="s">
        <v>2360</v>
      </c>
      <c r="E5183" s="1" t="str">
        <f>IFERROR(__xludf.DUMMYFUNCTION("GOOGLETRANSLATE(D5183,""PT"",""EN"")"),"Satisfaction service.")</f>
        <v>Satisfaction service.</v>
      </c>
    </row>
    <row r="5184" ht="14.25" customHeight="1">
      <c r="A5184" s="1">
        <v>33.0</v>
      </c>
      <c r="B5184" s="1" t="s">
        <v>2106</v>
      </c>
      <c r="C5184" s="1">
        <v>0.0</v>
      </c>
      <c r="D5184" s="1" t="s">
        <v>6</v>
      </c>
      <c r="E5184" s="1"/>
    </row>
    <row r="5185" ht="14.25" customHeight="1">
      <c r="A5185" s="1">
        <v>33.0</v>
      </c>
      <c r="B5185" s="1" t="s">
        <v>2106</v>
      </c>
      <c r="C5185" s="1">
        <v>0.0</v>
      </c>
      <c r="D5185" s="2" t="s">
        <v>2361</v>
      </c>
      <c r="E5185" s="1" t="str">
        <f>IFERROR(__xludf.DUMMYFUNCTION("GOOGLETRANSLATE(D5185,""PT"",""EN"")"),"Very complicated application, difficult to release credit, can not close the account by the application")</f>
        <v>Very complicated application, difficult to release credit, can not close the account by the application</v>
      </c>
    </row>
    <row r="5186" ht="14.25" customHeight="1">
      <c r="A5186" s="1">
        <v>100.0</v>
      </c>
      <c r="B5186" s="1" t="s">
        <v>2106</v>
      </c>
      <c r="C5186" s="1">
        <v>10.0</v>
      </c>
      <c r="D5186" s="1" t="s">
        <v>2362</v>
      </c>
      <c r="E5186" s="1" t="str">
        <f>IFERROR(__xludf.DUMMYFUNCTION("GOOGLETRANSLATE(D5186,""PT"",""EN"")"),"Good")</f>
        <v>Good</v>
      </c>
    </row>
    <row r="5187" ht="14.25" customHeight="1">
      <c r="A5187" s="1">
        <v>100.0</v>
      </c>
      <c r="B5187" s="1" t="s">
        <v>2106</v>
      </c>
      <c r="C5187" s="1">
        <v>9.0</v>
      </c>
      <c r="D5187" s="1" t="s">
        <v>6</v>
      </c>
      <c r="E5187" s="1"/>
    </row>
    <row r="5188" ht="14.25" customHeight="1">
      <c r="A5188" s="1">
        <v>100.0</v>
      </c>
      <c r="B5188" s="1" t="s">
        <v>2106</v>
      </c>
      <c r="C5188" s="1">
        <v>10.0</v>
      </c>
      <c r="D5188" s="2" t="s">
        <v>2363</v>
      </c>
      <c r="E5188" s="1" t="str">
        <f>IFERROR(__xludf.DUMMYFUNCTION("GOOGLETRANSLATE(D5188,""PT"",""EN"")"),"Bank's employees professionalism to seek financial solutions to customer demands, besides Sicoob to present better rates than other banks.")</f>
        <v>Bank's employees professionalism to seek financial solutions to customer demands, besides Sicoob to present better rates than other banks.</v>
      </c>
    </row>
    <row r="5189" ht="14.25" customHeight="1">
      <c r="A5189" s="1">
        <v>100.0</v>
      </c>
      <c r="B5189" s="1" t="s">
        <v>2106</v>
      </c>
      <c r="C5189" s="1">
        <v>10.0</v>
      </c>
      <c r="D5189" s="1" t="s">
        <v>2364</v>
      </c>
      <c r="E5189" s="1" t="str">
        <f>IFERROR(__xludf.DUMMYFUNCTION("GOOGLETRANSLATE(D5189,""PT"",""EN"")"),"I am very pleased to be an account holder of Sicoob.")</f>
        <v>I am very pleased to be an account holder of Sicoob.</v>
      </c>
    </row>
    <row r="5190" ht="14.25" customHeight="1">
      <c r="A5190" s="1">
        <v>33.0</v>
      </c>
      <c r="B5190" s="1" t="s">
        <v>2106</v>
      </c>
      <c r="C5190" s="1">
        <v>4.0</v>
      </c>
      <c r="D5190" s="2" t="s">
        <v>2365</v>
      </c>
      <c r="E5190" s="1" t="str">
        <f>IFERROR(__xludf.DUMMYFUNCTION("GOOGLETRANSLATE(D5190,""PT"",""EN"")"),"The note was due to poor quality in the provision of information, transparency of the products offered by the cooperative, among others. By way of example, I referred proof of income to get better products was simply ignored by the cooperative. Disappoint"&amp;"ment!")</f>
        <v>The note was due to poor quality in the provision of information, transparency of the products offered by the cooperative, among others. By way of example, I referred proof of income to get better products was simply ignored by the cooperative. Disappointment!</v>
      </c>
    </row>
    <row r="5191" ht="14.25" customHeight="1">
      <c r="A5191" s="1">
        <v>100.0</v>
      </c>
      <c r="B5191" s="1" t="s">
        <v>2106</v>
      </c>
      <c r="C5191" s="1">
        <v>10.0</v>
      </c>
      <c r="D5191" s="1" t="s">
        <v>6</v>
      </c>
      <c r="E5191" s="1"/>
    </row>
    <row r="5192" ht="14.25" customHeight="1">
      <c r="A5192" s="1">
        <v>100.0</v>
      </c>
      <c r="B5192" s="1" t="s">
        <v>2106</v>
      </c>
      <c r="C5192" s="1">
        <v>10.0</v>
      </c>
      <c r="D5192" s="2" t="s">
        <v>2366</v>
      </c>
      <c r="E5192" s="1" t="str">
        <f>IFERROR(__xludf.DUMMYFUNCTION("GOOGLETRANSLATE(D5192,""PT"",""EN"")"),"Efficient is modern")</f>
        <v>Efficient is modern</v>
      </c>
    </row>
    <row r="5193" ht="14.25" customHeight="1">
      <c r="A5193" s="1">
        <v>100.0</v>
      </c>
      <c r="B5193" s="1" t="s">
        <v>2106</v>
      </c>
      <c r="C5193" s="1">
        <v>9.0</v>
      </c>
      <c r="D5193" s="1" t="s">
        <v>6</v>
      </c>
      <c r="E5193" s="1"/>
    </row>
    <row r="5194" ht="14.25" customHeight="1">
      <c r="A5194" s="1">
        <v>100.0</v>
      </c>
      <c r="B5194" s="1" t="s">
        <v>2106</v>
      </c>
      <c r="C5194" s="1">
        <v>10.0</v>
      </c>
      <c r="D5194" s="1" t="s">
        <v>22</v>
      </c>
      <c r="E5194" s="1" t="str">
        <f>IFERROR(__xludf.DUMMYFUNCTION("GOOGLETRANSLATE(D5194,""PT"",""EN"")"),"Excellent service")</f>
        <v>Excellent service</v>
      </c>
    </row>
    <row r="5195" ht="14.25" customHeight="1">
      <c r="A5195" s="1">
        <v>100.0</v>
      </c>
      <c r="B5195" s="1" t="s">
        <v>2106</v>
      </c>
      <c r="C5195" s="1">
        <v>10.0</v>
      </c>
      <c r="D5195" s="1" t="s">
        <v>2367</v>
      </c>
      <c r="E5195" s="1" t="str">
        <f>IFERROR(__xludf.DUMMYFUNCTION("GOOGLETRANSLATE(D5195,""PT"",""EN"")"),"Service!")</f>
        <v>Service!</v>
      </c>
    </row>
    <row r="5196" ht="14.25" customHeight="1">
      <c r="A5196" s="1">
        <v>100.0</v>
      </c>
      <c r="B5196" s="1" t="s">
        <v>2106</v>
      </c>
      <c r="C5196" s="1">
        <v>10.0</v>
      </c>
      <c r="D5196" s="1" t="s">
        <v>6</v>
      </c>
      <c r="E5196" s="1"/>
    </row>
    <row r="5197" ht="14.25" customHeight="1">
      <c r="A5197" s="1">
        <v>100.0</v>
      </c>
      <c r="B5197" s="1" t="s">
        <v>2106</v>
      </c>
      <c r="C5197" s="1">
        <v>10.0</v>
      </c>
      <c r="D5197" s="1" t="s">
        <v>62</v>
      </c>
      <c r="E5197" s="1" t="str">
        <f>IFERROR(__xludf.DUMMYFUNCTION("GOOGLETRANSLATE(D5197,""PT"",""EN"")"),"Good service")</f>
        <v>Good service</v>
      </c>
    </row>
    <row r="5198" ht="14.25" customHeight="1">
      <c r="A5198" s="1">
        <v>100.0</v>
      </c>
      <c r="B5198" s="1" t="s">
        <v>2106</v>
      </c>
      <c r="C5198" s="1">
        <v>10.0</v>
      </c>
      <c r="D5198" s="1" t="s">
        <v>6</v>
      </c>
      <c r="E5198" s="1"/>
    </row>
    <row r="5199" ht="14.25" customHeight="1">
      <c r="A5199" s="1">
        <v>100.0</v>
      </c>
      <c r="B5199" s="1" t="s">
        <v>2106</v>
      </c>
      <c r="C5199" s="1">
        <v>10.0</v>
      </c>
      <c r="D5199" s="1" t="s">
        <v>2368</v>
      </c>
      <c r="E5199" s="1" t="str">
        <f>IFERROR(__xludf.DUMMYFUNCTION("GOOGLETRANSLATE(D5199,""PT"",""EN"")"),"Satisfaction in being cooperated")</f>
        <v>Satisfaction in being cooperated</v>
      </c>
    </row>
    <row r="5200" ht="14.25" customHeight="1">
      <c r="A5200" s="1">
        <v>100.0</v>
      </c>
      <c r="B5200" s="1" t="s">
        <v>2106</v>
      </c>
      <c r="C5200" s="1">
        <v>10.0</v>
      </c>
      <c r="D5200" s="1" t="s">
        <v>6</v>
      </c>
      <c r="E5200" s="1"/>
    </row>
    <row r="5201" ht="14.25" customHeight="1">
      <c r="A5201" s="1">
        <v>100.0</v>
      </c>
      <c r="B5201" s="1" t="s">
        <v>2106</v>
      </c>
      <c r="C5201" s="1">
        <v>9.0</v>
      </c>
      <c r="D5201" s="1" t="s">
        <v>6</v>
      </c>
      <c r="E5201" s="1"/>
    </row>
    <row r="5202" ht="14.25" customHeight="1">
      <c r="A5202" s="1">
        <v>100.0</v>
      </c>
      <c r="B5202" s="1" t="s">
        <v>2106</v>
      </c>
      <c r="C5202" s="1">
        <v>10.0</v>
      </c>
      <c r="D5202" s="2" t="s">
        <v>2369</v>
      </c>
      <c r="E5202" s="1" t="str">
        <f>IFERROR(__xludf.DUMMYFUNCTION("GOOGLETRANSLATE(D5202,""PT"",""EN"")"),"The service and the information provided is available, with special highlight for the service.")</f>
        <v>The service and the information provided is available, with special highlight for the service.</v>
      </c>
    </row>
    <row r="5203" ht="14.25" customHeight="1">
      <c r="A5203" s="1">
        <v>100.0</v>
      </c>
      <c r="B5203" s="1" t="s">
        <v>2106</v>
      </c>
      <c r="C5203" s="1">
        <v>10.0</v>
      </c>
      <c r="D5203" s="1" t="s">
        <v>6</v>
      </c>
      <c r="E5203" s="1"/>
    </row>
    <row r="5204" ht="14.25" customHeight="1">
      <c r="A5204" s="1">
        <v>100.0</v>
      </c>
      <c r="B5204" s="1" t="s">
        <v>2106</v>
      </c>
      <c r="C5204" s="1">
        <v>10.0</v>
      </c>
      <c r="D5204" s="2" t="s">
        <v>2370</v>
      </c>
      <c r="E5204" s="1" t="str">
        <f>IFERROR(__xludf.DUMMYFUNCTION("GOOGLETRANSLATE(D5204,""PT"",""EN"")"),"The Sicoob team is it to be agile, there is not even a comma to complain about the negotiations I have been having over 2 years that I choose the financial institution, my vows are to grow is help to capitalize on customers who adhere to your services.")</f>
        <v>The Sicoob team is it to be agile, there is not even a comma to complain about the negotiations I have been having over 2 years that I choose the financial institution, my vows are to grow is help to capitalize on customers who adhere to your services.</v>
      </c>
    </row>
    <row r="5205" ht="14.25" customHeight="1">
      <c r="A5205" s="1">
        <v>33.0</v>
      </c>
      <c r="B5205" s="1" t="s">
        <v>2106</v>
      </c>
      <c r="C5205" s="1">
        <v>3.0</v>
      </c>
      <c r="D5205" s="2" t="s">
        <v>2371</v>
      </c>
      <c r="E5205" s="1" t="str">
        <f>IFERROR(__xludf.DUMMYFUNCTION("GOOGLETRANSLATE(D5205,""PT"",""EN"")"),"Bank that unfortunately has no credit line. Waste of time.")</f>
        <v>Bank that unfortunately has no credit line. Waste of time.</v>
      </c>
    </row>
    <row r="5206" ht="14.25" customHeight="1">
      <c r="A5206" s="1">
        <v>100.0</v>
      </c>
      <c r="B5206" s="1" t="s">
        <v>2106</v>
      </c>
      <c r="C5206" s="1">
        <v>10.0</v>
      </c>
      <c r="D5206" s="1" t="s">
        <v>6</v>
      </c>
      <c r="E5206" s="1"/>
    </row>
    <row r="5207" ht="14.25" customHeight="1">
      <c r="A5207" s="1">
        <v>100.0</v>
      </c>
      <c r="B5207" s="1" t="s">
        <v>2106</v>
      </c>
      <c r="C5207" s="1">
        <v>10.0</v>
      </c>
      <c r="D5207" s="2" t="s">
        <v>2372</v>
      </c>
      <c r="E5207" s="1" t="str">
        <f>IFERROR(__xludf.DUMMYFUNCTION("GOOGLETRANSLATE(D5207,""PT"",""EN"")"),"A service for")</f>
        <v>A service for</v>
      </c>
    </row>
    <row r="5208" ht="14.25" customHeight="1">
      <c r="A5208" s="1">
        <v>100.0</v>
      </c>
      <c r="B5208" s="1" t="s">
        <v>2106</v>
      </c>
      <c r="C5208" s="1">
        <v>10.0</v>
      </c>
      <c r="D5208" s="1" t="s">
        <v>6</v>
      </c>
      <c r="E5208" s="1"/>
    </row>
    <row r="5209" ht="14.25" customHeight="1">
      <c r="A5209" s="1">
        <v>100.0</v>
      </c>
      <c r="B5209" s="1" t="s">
        <v>2106</v>
      </c>
      <c r="C5209" s="1">
        <v>10.0</v>
      </c>
      <c r="D5209" s="1" t="s">
        <v>9</v>
      </c>
      <c r="E5209" s="1" t="str">
        <f>IFERROR(__xludf.DUMMYFUNCTION("GOOGLETRANSLATE(D5209,""PT"",""EN"")"),"10")</f>
        <v>10</v>
      </c>
    </row>
    <row r="5210" ht="14.25" customHeight="1">
      <c r="A5210" s="1">
        <v>33.0</v>
      </c>
      <c r="B5210" s="1" t="s">
        <v>2106</v>
      </c>
      <c r="C5210" s="1">
        <v>0.0</v>
      </c>
      <c r="D5210" s="1" t="s">
        <v>6</v>
      </c>
      <c r="E5210" s="1"/>
    </row>
    <row r="5211" ht="14.25" customHeight="1">
      <c r="A5211" s="1">
        <v>100.0</v>
      </c>
      <c r="B5211" s="1" t="s">
        <v>2106</v>
      </c>
      <c r="C5211" s="1">
        <v>10.0</v>
      </c>
      <c r="D5211" s="2" t="s">
        <v>2373</v>
      </c>
      <c r="E5211" s="1" t="str">
        <f>IFERROR(__xludf.DUMMYFUNCTION("GOOGLETRANSLATE(D5211,""PT"",""EN"")"),"Low cost is good service.")</f>
        <v>Low cost is good service.</v>
      </c>
    </row>
    <row r="5212" ht="14.25" customHeight="1">
      <c r="A5212" s="1">
        <v>100.0</v>
      </c>
      <c r="B5212" s="1" t="s">
        <v>2106</v>
      </c>
      <c r="C5212" s="1">
        <v>10.0</v>
      </c>
      <c r="D5212" s="2" t="s">
        <v>2374</v>
      </c>
      <c r="E5212" s="1" t="str">
        <f>IFERROR(__xludf.DUMMYFUNCTION("GOOGLETRANSLATE(D5212,""PT"",""EN"")"),"Sicoob is an excellent company to work with, it is an excellent financial institution")</f>
        <v>Sicoob is an excellent company to work with, it is an excellent financial institution</v>
      </c>
    </row>
    <row r="5213" ht="14.25" customHeight="1">
      <c r="A5213" s="1">
        <v>100.0</v>
      </c>
      <c r="B5213" s="1" t="s">
        <v>2106</v>
      </c>
      <c r="C5213" s="1">
        <v>9.0</v>
      </c>
      <c r="D5213" s="1" t="s">
        <v>6</v>
      </c>
      <c r="E5213" s="1"/>
    </row>
    <row r="5214" ht="14.25" customHeight="1">
      <c r="A5214" s="1">
        <v>100.0</v>
      </c>
      <c r="B5214" s="1" t="s">
        <v>2106</v>
      </c>
      <c r="C5214" s="1">
        <v>10.0</v>
      </c>
      <c r="D5214" s="1" t="s">
        <v>6</v>
      </c>
      <c r="E5214" s="1"/>
    </row>
    <row r="5215" ht="14.25" customHeight="1">
      <c r="A5215" s="1">
        <v>100.0</v>
      </c>
      <c r="B5215" s="1" t="s">
        <v>2106</v>
      </c>
      <c r="C5215" s="1">
        <v>10.0</v>
      </c>
      <c r="D5215" s="2" t="s">
        <v>2375</v>
      </c>
      <c r="E5215" s="1" t="str">
        <f>IFERROR(__xludf.DUMMYFUNCTION("GOOGLETRANSLATE(D5215,""PT"",""EN"")"),"Uncomplicated bank is without pushing products.")</f>
        <v>Uncomplicated bank is without pushing products.</v>
      </c>
    </row>
    <row r="5216" ht="14.25" customHeight="1">
      <c r="A5216" s="1">
        <v>66.0</v>
      </c>
      <c r="B5216" s="1" t="s">
        <v>2106</v>
      </c>
      <c r="C5216" s="1">
        <v>8.0</v>
      </c>
      <c r="D5216" s="1" t="s">
        <v>6</v>
      </c>
      <c r="E5216" s="1"/>
    </row>
    <row r="5217" ht="14.25" customHeight="1">
      <c r="A5217" s="1">
        <v>33.0</v>
      </c>
      <c r="B5217" s="1" t="s">
        <v>2106</v>
      </c>
      <c r="C5217" s="1">
        <v>5.0</v>
      </c>
      <c r="D5217" s="1" t="s">
        <v>6</v>
      </c>
      <c r="E5217" s="1"/>
    </row>
    <row r="5218" ht="14.25" customHeight="1">
      <c r="A5218" s="1">
        <v>100.0</v>
      </c>
      <c r="B5218" s="1" t="s">
        <v>2106</v>
      </c>
      <c r="C5218" s="1">
        <v>9.0</v>
      </c>
      <c r="D5218" s="1" t="s">
        <v>2376</v>
      </c>
      <c r="E5218" s="1" t="str">
        <f>IFERROR(__xludf.DUMMYFUNCTION("GOOGLETRANSLATE(D5218,""PT"",""EN"")"),"Something is always missing, or advantageous offer ...")</f>
        <v>Something is always missing, or advantageous offer ...</v>
      </c>
    </row>
    <row r="5219" ht="14.25" customHeight="1">
      <c r="A5219" s="1">
        <v>100.0</v>
      </c>
      <c r="B5219" s="1" t="s">
        <v>2106</v>
      </c>
      <c r="C5219" s="1">
        <v>10.0</v>
      </c>
      <c r="D5219" s="1" t="s">
        <v>6</v>
      </c>
      <c r="E5219" s="1"/>
    </row>
    <row r="5220" ht="14.25" customHeight="1">
      <c r="A5220" s="1">
        <v>100.0</v>
      </c>
      <c r="B5220" s="1" t="s">
        <v>2106</v>
      </c>
      <c r="C5220" s="1">
        <v>9.0</v>
      </c>
      <c r="D5220" s="1" t="s">
        <v>87</v>
      </c>
      <c r="E5220" s="1" t="str">
        <f>IFERROR(__xludf.DUMMYFUNCTION("GOOGLETRANSLATE(D5220,""PT"",""EN"")"),"Personalized service")</f>
        <v>Personalized service</v>
      </c>
    </row>
    <row r="5221" ht="14.25" customHeight="1">
      <c r="A5221" s="1">
        <v>100.0</v>
      </c>
      <c r="B5221" s="1" t="s">
        <v>2106</v>
      </c>
      <c r="C5221" s="1">
        <v>10.0</v>
      </c>
      <c r="D5221" s="2" t="s">
        <v>2377</v>
      </c>
      <c r="E5221" s="1" t="str">
        <f>IFERROR(__xludf.DUMMYFUNCTION("GOOGLETRANSLATE(D5221,""PT"",""EN"")"),"Agile service")</f>
        <v>Agile service</v>
      </c>
    </row>
    <row r="5222" ht="14.25" customHeight="1">
      <c r="A5222" s="1">
        <v>66.0</v>
      </c>
      <c r="B5222" s="1" t="s">
        <v>2106</v>
      </c>
      <c r="C5222" s="1">
        <v>8.0</v>
      </c>
      <c r="D5222" s="2" t="s">
        <v>2378</v>
      </c>
      <c r="E5222" s="1" t="str">
        <f>IFERROR(__xludf.DUMMYFUNCTION("GOOGLETRANSLATE(D5222,""PT"",""EN"")"),"It could be 10, but the cooperative is no longer distributing its profit with the members.")</f>
        <v>It could be 10, but the cooperative is no longer distributing its profit with the members.</v>
      </c>
    </row>
    <row r="5223" ht="14.25" customHeight="1">
      <c r="A5223" s="1">
        <v>100.0</v>
      </c>
      <c r="B5223" s="1" t="s">
        <v>2106</v>
      </c>
      <c r="C5223" s="1">
        <v>10.0</v>
      </c>
      <c r="D5223" s="2" t="s">
        <v>2379</v>
      </c>
      <c r="E5223" s="1" t="str">
        <f>IFERROR(__xludf.DUMMYFUNCTION("GOOGLETRANSLATE(D5223,""PT"",""EN"")"),"Excellent service, products is security.")</f>
        <v>Excellent service, products is security.</v>
      </c>
    </row>
    <row r="5224" ht="14.25" customHeight="1">
      <c r="A5224" s="1">
        <v>100.0</v>
      </c>
      <c r="B5224" s="1" t="s">
        <v>2106</v>
      </c>
      <c r="C5224" s="1">
        <v>10.0</v>
      </c>
      <c r="D5224" s="1" t="s">
        <v>6</v>
      </c>
      <c r="E5224" s="1"/>
    </row>
    <row r="5225" ht="14.25" customHeight="1">
      <c r="A5225" s="1">
        <v>33.0</v>
      </c>
      <c r="B5225" s="1" t="s">
        <v>2106</v>
      </c>
      <c r="C5225" s="1">
        <v>1.0</v>
      </c>
      <c r="D5225" s="2" t="s">
        <v>2380</v>
      </c>
      <c r="E5225" s="1" t="str">
        <f>IFERROR(__xludf.DUMMYFUNCTION("GOOGLETRANSLATE(D5225,""PT"",""EN"")"),"I opened my Sicoob account, but I didn't have a benefit. I opened the account in Bradesco is even being a limit, low, had overdraft is credit card.")</f>
        <v>I opened my Sicoob account, but I didn't have a benefit. I opened the account in Bradesco is even being a limit, low, had overdraft is credit card.</v>
      </c>
    </row>
    <row r="5226" ht="14.25" customHeight="1">
      <c r="A5226" s="1">
        <v>33.0</v>
      </c>
      <c r="B5226" s="1" t="s">
        <v>2106</v>
      </c>
      <c r="C5226" s="1">
        <v>1.0</v>
      </c>
      <c r="D5226" s="2" t="s">
        <v>2381</v>
      </c>
      <c r="E5226" s="1" t="str">
        <f>IFERROR(__xludf.DUMMYFUNCTION("GOOGLETRANSLATE(D5226,""PT"",""EN"")"),"The service was a disappointment, I have an account at a year more, I opened through the internet, I attended a Sicoob agency in Campina Grande was informed that there was not my agency ... It was simple thing of the application is neglect In trying to he"&amp;"lp me it was amazing, alias I will stop using the account is also to close the account")</f>
        <v>The service was a disappointment, I have an account at a year more, I opened through the internet, I attended a Sicoob agency in Campina Grande was informed that there was not my agency ... It was simple thing of the application is neglect In trying to help me it was amazing, alias I will stop using the account is also to close the account</v>
      </c>
    </row>
    <row r="5227" ht="14.25" customHeight="1">
      <c r="A5227" s="1">
        <v>100.0</v>
      </c>
      <c r="B5227" s="1" t="s">
        <v>2106</v>
      </c>
      <c r="C5227" s="1">
        <v>10.0</v>
      </c>
      <c r="D5227" s="2" t="s">
        <v>2382</v>
      </c>
      <c r="E5227" s="1" t="str">
        <f>IFERROR(__xludf.DUMMYFUNCTION("GOOGLETRANSLATE(D5227,""PT"",""EN"")"),"A reliable bank. Interest below the market is attentive employees! Sicoob is for everyone!")</f>
        <v>A reliable bank. Interest below the market is attentive employees! Sicoob is for everyone!</v>
      </c>
    </row>
    <row r="5228" ht="14.25" customHeight="1">
      <c r="A5228" s="1">
        <v>100.0</v>
      </c>
      <c r="B5228" s="1" t="s">
        <v>2106</v>
      </c>
      <c r="C5228" s="1">
        <v>10.0</v>
      </c>
      <c r="D5228" s="1" t="s">
        <v>6</v>
      </c>
      <c r="E5228" s="1"/>
    </row>
    <row r="5229" ht="14.25" customHeight="1">
      <c r="A5229" s="1">
        <v>100.0</v>
      </c>
      <c r="B5229" s="1" t="s">
        <v>2106</v>
      </c>
      <c r="C5229" s="1">
        <v>10.0</v>
      </c>
      <c r="D5229" s="1" t="s">
        <v>6</v>
      </c>
      <c r="E5229" s="1"/>
    </row>
    <row r="5230" ht="14.25" customHeight="1">
      <c r="A5230" s="1">
        <v>66.0</v>
      </c>
      <c r="B5230" s="1" t="s">
        <v>2106</v>
      </c>
      <c r="C5230" s="1">
        <v>7.0</v>
      </c>
      <c r="D5230" s="1" t="s">
        <v>6</v>
      </c>
      <c r="E5230" s="1"/>
    </row>
    <row r="5231" ht="14.25" customHeight="1">
      <c r="A5231" s="1">
        <v>100.0</v>
      </c>
      <c r="B5231" s="1" t="s">
        <v>2106</v>
      </c>
      <c r="C5231" s="1">
        <v>10.0</v>
      </c>
      <c r="D5231" s="1" t="s">
        <v>2383</v>
      </c>
      <c r="E5231" s="1" t="str">
        <f>IFERROR(__xludf.DUMMYFUNCTION("GOOGLETRANSLATE(D5231,""PT"",""EN"")"),"Competence, agility, courtesy")</f>
        <v>Competence, agility, courtesy</v>
      </c>
    </row>
    <row r="5232" ht="14.25" customHeight="1">
      <c r="A5232" s="1">
        <v>100.0</v>
      </c>
      <c r="B5232" s="1" t="s">
        <v>2106</v>
      </c>
      <c r="C5232" s="1">
        <v>10.0</v>
      </c>
      <c r="D5232" s="2" t="s">
        <v>2384</v>
      </c>
      <c r="E5232" s="1" t="str">
        <f>IFERROR(__xludf.DUMMYFUNCTION("GOOGLETRANSLATE(D5232,""PT"",""EN"")"),"Good service and attention to the account holders.")</f>
        <v>Good service and attention to the account holders.</v>
      </c>
    </row>
    <row r="5233" ht="14.25" customHeight="1">
      <c r="A5233" s="1">
        <v>33.0</v>
      </c>
      <c r="B5233" s="1" t="s">
        <v>2106</v>
      </c>
      <c r="C5233" s="1">
        <v>0.0</v>
      </c>
      <c r="D5233" s="2" t="s">
        <v>2385</v>
      </c>
      <c r="E5233" s="1" t="str">
        <f>IFERROR(__xludf.DUMMYFUNCTION("GOOGLETRANSLATE(D5233,""PT"",""EN"")"),"I ended my account now, so that they are sending these shit")</f>
        <v>I ended my account now, so that they are sending these shit</v>
      </c>
    </row>
    <row r="5234" ht="14.25" customHeight="1">
      <c r="A5234" s="1">
        <v>100.0</v>
      </c>
      <c r="B5234" s="1" t="s">
        <v>2106</v>
      </c>
      <c r="C5234" s="1">
        <v>9.0</v>
      </c>
      <c r="D5234" s="1" t="s">
        <v>6</v>
      </c>
      <c r="E5234" s="1"/>
    </row>
    <row r="5235" ht="14.25" customHeight="1">
      <c r="A5235" s="1">
        <v>33.0</v>
      </c>
      <c r="B5235" s="1" t="s">
        <v>2106</v>
      </c>
      <c r="C5235" s="1">
        <v>6.0</v>
      </c>
      <c r="D5235" s="1" t="s">
        <v>6</v>
      </c>
      <c r="E5235" s="1"/>
    </row>
    <row r="5236" ht="14.25" customHeight="1">
      <c r="A5236" s="1">
        <v>100.0</v>
      </c>
      <c r="B5236" s="1" t="s">
        <v>2106</v>
      </c>
      <c r="C5236" s="1">
        <v>10.0</v>
      </c>
      <c r="D5236" s="1" t="s">
        <v>385</v>
      </c>
      <c r="E5236" s="1" t="str">
        <f>IFERROR(__xludf.DUMMYFUNCTION("GOOGLETRANSLATE(D5236,""PT"",""EN"")"),"The good service")</f>
        <v>The good service</v>
      </c>
    </row>
    <row r="5237" ht="14.25" customHeight="1">
      <c r="A5237" s="1">
        <v>100.0</v>
      </c>
      <c r="B5237" s="1" t="s">
        <v>2106</v>
      </c>
      <c r="C5237" s="1">
        <v>10.0</v>
      </c>
      <c r="D5237" s="1" t="s">
        <v>6</v>
      </c>
      <c r="E5237" s="1"/>
    </row>
    <row r="5238" ht="14.25" customHeight="1">
      <c r="A5238" s="1">
        <v>33.0</v>
      </c>
      <c r="B5238" s="1" t="s">
        <v>2106</v>
      </c>
      <c r="C5238" s="1">
        <v>0.0</v>
      </c>
      <c r="D5238" s="1" t="s">
        <v>2386</v>
      </c>
      <c r="E5238" s="1" t="str">
        <f>IFERROR(__xludf.DUMMYFUNCTION("GOOGLETRANSLATE(D5238,""PT"",""EN"")"),"Impossible to end the account without going to a physical agency")</f>
        <v>Impossible to end the account without going to a physical agency</v>
      </c>
    </row>
    <row r="5239" ht="14.25" customHeight="1">
      <c r="A5239" s="1">
        <v>100.0</v>
      </c>
      <c r="B5239" s="1" t="s">
        <v>2106</v>
      </c>
      <c r="C5239" s="1">
        <v>10.0</v>
      </c>
      <c r="D5239" s="1" t="s">
        <v>6</v>
      </c>
      <c r="E5239" s="1"/>
    </row>
    <row r="5240" ht="14.25" customHeight="1">
      <c r="A5240" s="1">
        <v>66.0</v>
      </c>
      <c r="B5240" s="1" t="s">
        <v>2106</v>
      </c>
      <c r="C5240" s="1">
        <v>7.0</v>
      </c>
      <c r="D5240" s="1" t="s">
        <v>6</v>
      </c>
      <c r="E5240" s="1"/>
    </row>
    <row r="5241" ht="14.25" customHeight="1">
      <c r="A5241" s="1">
        <v>100.0</v>
      </c>
      <c r="B5241" s="1" t="s">
        <v>2106</v>
      </c>
      <c r="C5241" s="1">
        <v>9.0</v>
      </c>
      <c r="D5241" s="1" t="s">
        <v>6</v>
      </c>
      <c r="E5241" s="1"/>
    </row>
    <row r="5242" ht="14.25" customHeight="1">
      <c r="A5242" s="1">
        <v>33.0</v>
      </c>
      <c r="B5242" s="1" t="s">
        <v>2106</v>
      </c>
      <c r="C5242" s="1">
        <v>4.0</v>
      </c>
      <c r="D5242" s="1" t="s">
        <v>6</v>
      </c>
      <c r="E5242" s="1"/>
    </row>
    <row r="5243" ht="14.25" customHeight="1">
      <c r="A5243" s="1">
        <v>33.0</v>
      </c>
      <c r="B5243" s="1" t="s">
        <v>2106</v>
      </c>
      <c r="C5243" s="1">
        <v>0.0</v>
      </c>
      <c r="D5243" s="1" t="s">
        <v>2387</v>
      </c>
      <c r="E5243" s="1" t="str">
        <f>IFERROR(__xludf.DUMMYFUNCTION("GOOGLETRANSLATE(D5243,""PT"",""EN"")"),"Boring research")</f>
        <v>Boring research</v>
      </c>
    </row>
    <row r="5244" ht="14.25" customHeight="1">
      <c r="A5244" s="1">
        <v>33.0</v>
      </c>
      <c r="B5244" s="1" t="s">
        <v>2106</v>
      </c>
      <c r="C5244" s="1">
        <v>0.0</v>
      </c>
      <c r="D5244" s="2" t="s">
        <v>2388</v>
      </c>
      <c r="E5244" s="1" t="str">
        <f>IFERROR(__xludf.DUMMYFUNCTION("GOOGLETRANSLATE(D5244,""PT"",""EN"")"),"I am not able to have access to my account, I had to have the option to change the password by email")</f>
        <v>I am not able to have access to my account, I had to have the option to change the password by email</v>
      </c>
    </row>
    <row r="5245" ht="14.25" customHeight="1">
      <c r="A5245" s="1">
        <v>100.0</v>
      </c>
      <c r="B5245" s="1" t="s">
        <v>2106</v>
      </c>
      <c r="C5245" s="1">
        <v>10.0</v>
      </c>
      <c r="D5245" s="1" t="s">
        <v>2389</v>
      </c>
      <c r="E5245" s="1" t="str">
        <f>IFERROR(__xludf.DUMMYFUNCTION("GOOGLETRANSLATE(D5245,""PT"",""EN"")"),"I was always well attended")</f>
        <v>I was always well attended</v>
      </c>
    </row>
    <row r="5246" ht="14.25" customHeight="1">
      <c r="A5246" s="1">
        <v>100.0</v>
      </c>
      <c r="B5246" s="1" t="s">
        <v>2106</v>
      </c>
      <c r="C5246" s="1">
        <v>10.0</v>
      </c>
      <c r="D5246" s="1" t="s">
        <v>6</v>
      </c>
      <c r="E5246" s="1"/>
    </row>
    <row r="5247" ht="14.25" customHeight="1">
      <c r="A5247" s="1">
        <v>100.0</v>
      </c>
      <c r="B5247" s="1" t="s">
        <v>2106</v>
      </c>
      <c r="C5247" s="1">
        <v>9.0</v>
      </c>
      <c r="D5247" s="1" t="s">
        <v>6</v>
      </c>
      <c r="E5247" s="1"/>
    </row>
    <row r="5248" ht="14.25" customHeight="1">
      <c r="A5248" s="1">
        <v>33.0</v>
      </c>
      <c r="B5248" s="1" t="s">
        <v>2106</v>
      </c>
      <c r="C5248" s="1">
        <v>0.0</v>
      </c>
      <c r="D5248" s="1" t="s">
        <v>6</v>
      </c>
      <c r="E5248" s="1"/>
    </row>
    <row r="5249" ht="14.25" customHeight="1">
      <c r="A5249" s="1">
        <v>66.0</v>
      </c>
      <c r="B5249" s="1" t="s">
        <v>2106</v>
      </c>
      <c r="C5249" s="1">
        <v>8.0</v>
      </c>
      <c r="D5249" s="2" t="s">
        <v>2390</v>
      </c>
      <c r="E5249" s="1" t="str">
        <f>IFERROR(__xludf.DUMMYFUNCTION("GOOGLETRANSLATE(D5249,""PT"",""EN"")"),"It has not taken 10 because the products/services are still few.")</f>
        <v>It has not taken 10 because the products/services are still few.</v>
      </c>
    </row>
    <row r="5250" ht="14.25" customHeight="1">
      <c r="A5250" s="1">
        <v>100.0</v>
      </c>
      <c r="B5250" s="1" t="s">
        <v>2106</v>
      </c>
      <c r="C5250" s="1">
        <v>10.0</v>
      </c>
      <c r="D5250" s="1" t="s">
        <v>6</v>
      </c>
      <c r="E5250" s="1"/>
    </row>
    <row r="5251" ht="14.25" customHeight="1">
      <c r="A5251" s="1">
        <v>100.0</v>
      </c>
      <c r="B5251" s="1" t="s">
        <v>2106</v>
      </c>
      <c r="C5251" s="1">
        <v>10.0</v>
      </c>
      <c r="D5251" s="1" t="s">
        <v>6</v>
      </c>
      <c r="E5251" s="1"/>
    </row>
    <row r="5252" ht="14.25" customHeight="1">
      <c r="A5252" s="1">
        <v>100.0</v>
      </c>
      <c r="B5252" s="1" t="s">
        <v>2106</v>
      </c>
      <c r="C5252" s="1">
        <v>9.0</v>
      </c>
      <c r="D5252" s="1" t="s">
        <v>6</v>
      </c>
      <c r="E5252" s="1"/>
    </row>
    <row r="5253" ht="14.25" customHeight="1">
      <c r="A5253" s="1">
        <v>33.0</v>
      </c>
      <c r="B5253" s="1" t="s">
        <v>2106</v>
      </c>
      <c r="C5253" s="1">
        <v>0.0</v>
      </c>
      <c r="D5253" s="2" t="s">
        <v>2391</v>
      </c>
      <c r="E5253" s="1" t="str">
        <f>IFERROR(__xludf.DUMMYFUNCTION("GOOGLETRANSLATE(D5253,""PT"",""EN"")"),"I have no credit limit")</f>
        <v>I have no credit limit</v>
      </c>
    </row>
    <row r="5254" ht="14.25" customHeight="1">
      <c r="A5254" s="1">
        <v>100.0</v>
      </c>
      <c r="B5254" s="1" t="s">
        <v>2106</v>
      </c>
      <c r="C5254" s="1">
        <v>10.0</v>
      </c>
      <c r="D5254" s="2" t="s">
        <v>2392</v>
      </c>
      <c r="E5254" s="1" t="str">
        <f>IFERROR(__xludf.DUMMYFUNCTION("GOOGLETRANSLATE(D5254,""PT"",""EN"")"),"Ease in credit")</f>
        <v>Ease in credit</v>
      </c>
    </row>
    <row r="5255" ht="14.25" customHeight="1">
      <c r="A5255" s="1">
        <v>33.0</v>
      </c>
      <c r="B5255" s="1" t="s">
        <v>2106</v>
      </c>
      <c r="C5255" s="1">
        <v>5.0</v>
      </c>
      <c r="D5255" s="1" t="s">
        <v>6</v>
      </c>
      <c r="E5255" s="1"/>
    </row>
    <row r="5256" ht="14.25" customHeight="1">
      <c r="A5256" s="1">
        <v>100.0</v>
      </c>
      <c r="B5256" s="1" t="s">
        <v>2106</v>
      </c>
      <c r="C5256" s="1">
        <v>10.0</v>
      </c>
      <c r="D5256" s="1" t="s">
        <v>2393</v>
      </c>
      <c r="E5256" s="1" t="str">
        <f>IFERROR(__xludf.DUMMYFUNCTION("GOOGLETRANSLATE(D5256,""PT"",""EN"")"),"Believe in the purpose")</f>
        <v>Believe in the purpose</v>
      </c>
    </row>
    <row r="5257" ht="14.25" customHeight="1">
      <c r="A5257" s="1">
        <v>66.0</v>
      </c>
      <c r="B5257" s="1" t="s">
        <v>2106</v>
      </c>
      <c r="C5257" s="1">
        <v>8.0</v>
      </c>
      <c r="D5257" s="1" t="s">
        <v>6</v>
      </c>
      <c r="E5257" s="1"/>
    </row>
    <row r="5258" ht="14.25" customHeight="1">
      <c r="A5258" s="1">
        <v>100.0</v>
      </c>
      <c r="B5258" s="1" t="s">
        <v>2106</v>
      </c>
      <c r="C5258" s="1">
        <v>9.0</v>
      </c>
      <c r="D5258" s="1" t="s">
        <v>6</v>
      </c>
      <c r="E5258" s="1"/>
    </row>
    <row r="5259" ht="14.25" customHeight="1">
      <c r="A5259" s="1">
        <v>100.0</v>
      </c>
      <c r="B5259" s="1" t="s">
        <v>2106</v>
      </c>
      <c r="C5259" s="1">
        <v>10.0</v>
      </c>
      <c r="D5259" s="1" t="s">
        <v>6</v>
      </c>
      <c r="E5259" s="1"/>
    </row>
    <row r="5260" ht="14.25" customHeight="1">
      <c r="A5260" s="1">
        <v>100.0</v>
      </c>
      <c r="B5260" s="1" t="s">
        <v>2106</v>
      </c>
      <c r="C5260" s="1">
        <v>10.0</v>
      </c>
      <c r="D5260" s="1" t="s">
        <v>6</v>
      </c>
      <c r="E5260" s="1"/>
    </row>
    <row r="5261" ht="14.25" customHeight="1">
      <c r="A5261" s="1">
        <v>33.0</v>
      </c>
      <c r="B5261" s="1" t="s">
        <v>2106</v>
      </c>
      <c r="C5261" s="1">
        <v>6.0</v>
      </c>
      <c r="D5261" s="2" t="s">
        <v>2394</v>
      </c>
      <c r="E5261" s="1" t="str">
        <f>IFERROR(__xludf.DUMMYFUNCTION("GOOGLETRANSLATE(D5261,""PT"",""EN"")"),"I have no credit")</f>
        <v>I have no credit</v>
      </c>
    </row>
    <row r="5262" ht="14.25" customHeight="1">
      <c r="A5262" s="1">
        <v>100.0</v>
      </c>
      <c r="B5262" s="1" t="s">
        <v>2106</v>
      </c>
      <c r="C5262" s="1">
        <v>10.0</v>
      </c>
      <c r="D5262" s="1" t="s">
        <v>6</v>
      </c>
      <c r="E5262" s="1"/>
    </row>
    <row r="5263" ht="14.25" customHeight="1">
      <c r="A5263" s="1">
        <v>100.0</v>
      </c>
      <c r="B5263" s="1" t="s">
        <v>2106</v>
      </c>
      <c r="C5263" s="1">
        <v>9.0</v>
      </c>
      <c r="D5263" s="2" t="s">
        <v>2395</v>
      </c>
      <c r="E5263" s="1" t="str">
        <f>IFERROR(__xludf.DUMMYFUNCTION("GOOGLETRANSLATE(D5263,""PT"",""EN"")"),"Price and quick service.")</f>
        <v>Price and quick service.</v>
      </c>
    </row>
    <row r="5264" ht="14.25" customHeight="1">
      <c r="A5264" s="1">
        <v>33.0</v>
      </c>
      <c r="B5264" s="1" t="s">
        <v>2106</v>
      </c>
      <c r="C5264" s="1">
        <v>0.0</v>
      </c>
      <c r="D5264" s="2" t="s">
        <v>2396</v>
      </c>
      <c r="E5264" s="1" t="str">
        <f>IFERROR(__xludf.DUMMYFUNCTION("GOOGLETRANSLATE(D5264,""PT"",""EN"")"),"Sicoob never helped me at all! No welcome policy, high interest rates… no differential qq!")</f>
        <v>Sicoob never helped me at all! No welcome policy, high interest rates… no differential qq!</v>
      </c>
    </row>
    <row r="5265" ht="14.25" customHeight="1">
      <c r="A5265" s="1">
        <v>100.0</v>
      </c>
      <c r="B5265" s="1" t="s">
        <v>2106</v>
      </c>
      <c r="C5265" s="1">
        <v>9.0</v>
      </c>
      <c r="D5265" s="1" t="s">
        <v>6</v>
      </c>
      <c r="E5265" s="1"/>
    </row>
    <row r="5266" ht="14.25" customHeight="1">
      <c r="A5266" s="1">
        <v>33.0</v>
      </c>
      <c r="B5266" s="1" t="s">
        <v>2106</v>
      </c>
      <c r="C5266" s="1">
        <v>0.0</v>
      </c>
      <c r="D5266" s="2" t="s">
        <v>2397</v>
      </c>
      <c r="E5266" s="1" t="str">
        <f>IFERROR(__xludf.DUMMYFUNCTION("GOOGLETRANSLATE(D5266,""PT"",""EN"")"),"Did not solve my problem")</f>
        <v>Did not solve my problem</v>
      </c>
    </row>
    <row r="5267" ht="14.25" customHeight="1">
      <c r="A5267" s="1">
        <v>100.0</v>
      </c>
      <c r="B5267" s="1" t="s">
        <v>2106</v>
      </c>
      <c r="C5267" s="1">
        <v>9.0</v>
      </c>
      <c r="D5267" s="1" t="s">
        <v>6</v>
      </c>
      <c r="E5267" s="1"/>
    </row>
    <row r="5268" ht="14.25" customHeight="1">
      <c r="A5268" s="1">
        <v>66.0</v>
      </c>
      <c r="B5268" s="1" t="s">
        <v>2106</v>
      </c>
      <c r="C5268" s="1">
        <v>7.0</v>
      </c>
      <c r="D5268" s="2" t="s">
        <v>2398</v>
      </c>
      <c r="E5268" s="1" t="str">
        <f>IFERROR(__xludf.DUMMYFUNCTION("GOOGLETRANSLATE(D5268,""PT"",""EN"")"),"There are some things lately that I am not enjoying, but among others I have had account is still the best.")</f>
        <v>There are some things lately that I am not enjoying, but among others I have had account is still the best.</v>
      </c>
    </row>
    <row r="5269" ht="14.25" customHeight="1">
      <c r="A5269" s="1">
        <v>100.0</v>
      </c>
      <c r="B5269" s="1" t="s">
        <v>2106</v>
      </c>
      <c r="C5269" s="1">
        <v>9.0</v>
      </c>
      <c r="D5269" s="1" t="s">
        <v>6</v>
      </c>
      <c r="E5269" s="1"/>
    </row>
    <row r="5270" ht="14.25" customHeight="1">
      <c r="A5270" s="1">
        <v>100.0</v>
      </c>
      <c r="B5270" s="1" t="s">
        <v>2106</v>
      </c>
      <c r="C5270" s="1">
        <v>9.0</v>
      </c>
      <c r="D5270" s="1" t="s">
        <v>6</v>
      </c>
      <c r="E5270" s="1"/>
    </row>
    <row r="5271" ht="14.25" customHeight="1">
      <c r="A5271" s="1">
        <v>100.0</v>
      </c>
      <c r="B5271" s="1" t="s">
        <v>2106</v>
      </c>
      <c r="C5271" s="1">
        <v>10.0</v>
      </c>
      <c r="D5271" s="1" t="s">
        <v>2399</v>
      </c>
      <c r="E5271" s="1" t="str">
        <f>IFERROR(__xludf.DUMMYFUNCTION("GOOGLETRANSLATE(D5271,""PT"",""EN"")"),"Excellent service, good rates")</f>
        <v>Excellent service, good rates</v>
      </c>
    </row>
    <row r="5272" ht="14.25" customHeight="1">
      <c r="A5272" s="1">
        <v>100.0</v>
      </c>
      <c r="B5272" s="1" t="s">
        <v>2106</v>
      </c>
      <c r="C5272" s="1">
        <v>10.0</v>
      </c>
      <c r="D5272" s="1" t="s">
        <v>6</v>
      </c>
      <c r="E5272" s="1"/>
    </row>
    <row r="5273" ht="14.25" customHeight="1">
      <c r="A5273" s="1">
        <v>100.0</v>
      </c>
      <c r="B5273" s="1" t="s">
        <v>2106</v>
      </c>
      <c r="C5273" s="1">
        <v>10.0</v>
      </c>
      <c r="D5273" s="1" t="s">
        <v>6</v>
      </c>
      <c r="E5273" s="1"/>
    </row>
    <row r="5274" ht="14.25" customHeight="1">
      <c r="A5274" s="1">
        <v>100.0</v>
      </c>
      <c r="B5274" s="1" t="s">
        <v>2106</v>
      </c>
      <c r="C5274" s="1">
        <v>10.0</v>
      </c>
      <c r="D5274" s="1" t="s">
        <v>6</v>
      </c>
      <c r="E5274" s="1"/>
    </row>
    <row r="5275" ht="14.25" customHeight="1">
      <c r="A5275" s="1">
        <v>100.0</v>
      </c>
      <c r="B5275" s="1" t="s">
        <v>2106</v>
      </c>
      <c r="C5275" s="1">
        <v>10.0</v>
      </c>
      <c r="D5275" s="2" t="s">
        <v>2400</v>
      </c>
      <c r="E5275" s="1" t="str">
        <f>IFERROR(__xludf.DUMMYFUNCTION("GOOGLETRANSLATE(D5275,""PT"",""EN"")"),"The seriousness of the institution is the strength of cooperativism, two pillars on which our entity is based.")</f>
        <v>The seriousness of the institution is the strength of cooperativism, two pillars on which our entity is based.</v>
      </c>
    </row>
    <row r="5276" ht="14.25" customHeight="1">
      <c r="A5276" s="1">
        <v>100.0</v>
      </c>
      <c r="B5276" s="1" t="s">
        <v>2106</v>
      </c>
      <c r="C5276" s="1">
        <v>9.0</v>
      </c>
      <c r="D5276" s="2" t="s">
        <v>2401</v>
      </c>
      <c r="E5276" s="1" t="str">
        <f>IFERROR(__xludf.DUMMYFUNCTION("GOOGLETRANSLATE(D5276,""PT"",""EN"")"),"The service is cordial is Sicoob's servers are very helpful in solving problems. I recommend.")</f>
        <v>The service is cordial is Sicoob's servers are very helpful in solving problems. I recommend.</v>
      </c>
    </row>
    <row r="5277" ht="14.25" customHeight="1">
      <c r="A5277" s="1">
        <v>100.0</v>
      </c>
      <c r="B5277" s="1" t="s">
        <v>2106</v>
      </c>
      <c r="C5277" s="1">
        <v>10.0</v>
      </c>
      <c r="D5277" s="1" t="s">
        <v>2402</v>
      </c>
      <c r="E5277" s="1" t="str">
        <f>IFERROR(__xludf.DUMMYFUNCTION("GOOGLETRANSLATE(D5277,""PT"",""EN"")"),"For the excellent service I always received.")</f>
        <v>For the excellent service I always received.</v>
      </c>
    </row>
    <row r="5278" ht="14.25" customHeight="1">
      <c r="A5278" s="1">
        <v>100.0</v>
      </c>
      <c r="B5278" s="1" t="s">
        <v>2106</v>
      </c>
      <c r="C5278" s="1">
        <v>10.0</v>
      </c>
      <c r="D5278" s="1" t="s">
        <v>2403</v>
      </c>
      <c r="E5278" s="1" t="str">
        <f>IFERROR(__xludf.DUMMYFUNCTION("GOOGLETRANSLATE(D5278,""PT"",""EN"")"),"Service !")</f>
        <v>Service !</v>
      </c>
    </row>
    <row r="5279" ht="14.25" customHeight="1">
      <c r="A5279" s="1">
        <v>100.0</v>
      </c>
      <c r="B5279" s="1" t="s">
        <v>2106</v>
      </c>
      <c r="C5279" s="1">
        <v>9.0</v>
      </c>
      <c r="D5279" s="2" t="s">
        <v>2404</v>
      </c>
      <c r="E5279" s="1" t="str">
        <f>IFERROR(__xludf.DUMMYFUNCTION("GOOGLETRANSLATE(D5279,""PT"",""EN"")"),"Good service is a good application.")</f>
        <v>Good service is a good application.</v>
      </c>
    </row>
    <row r="5280" ht="14.25" customHeight="1">
      <c r="A5280" s="1">
        <v>100.0</v>
      </c>
      <c r="B5280" s="1" t="s">
        <v>2106</v>
      </c>
      <c r="C5280" s="1">
        <v>9.0</v>
      </c>
      <c r="D5280" s="2" t="s">
        <v>2405</v>
      </c>
      <c r="E5280" s="1" t="str">
        <f>IFERROR(__xludf.DUMMYFUNCTION("GOOGLETRANSLATE(D5280,""PT"",""EN"")"),"Security is a winning policy with the members")</f>
        <v>Security is a winning policy with the members</v>
      </c>
    </row>
    <row r="5281" ht="14.25" customHeight="1">
      <c r="A5281" s="1">
        <v>100.0</v>
      </c>
      <c r="B5281" s="1" t="s">
        <v>2106</v>
      </c>
      <c r="C5281" s="1">
        <v>10.0</v>
      </c>
      <c r="D5281" s="1" t="s">
        <v>6</v>
      </c>
      <c r="E5281" s="1"/>
    </row>
    <row r="5282" ht="14.25" customHeight="1">
      <c r="A5282" s="1">
        <v>100.0</v>
      </c>
      <c r="B5282" s="1" t="s">
        <v>2106</v>
      </c>
      <c r="C5282" s="1">
        <v>10.0</v>
      </c>
      <c r="D5282" s="1" t="s">
        <v>9</v>
      </c>
      <c r="E5282" s="1" t="str">
        <f>IFERROR(__xludf.DUMMYFUNCTION("GOOGLETRANSLATE(D5282,""PT"",""EN"")"),"10")</f>
        <v>10</v>
      </c>
    </row>
    <row r="5283" ht="14.25" customHeight="1">
      <c r="A5283" s="1">
        <v>100.0</v>
      </c>
      <c r="B5283" s="1" t="s">
        <v>2106</v>
      </c>
      <c r="C5283" s="1">
        <v>10.0</v>
      </c>
      <c r="D5283" s="2" t="s">
        <v>2406</v>
      </c>
      <c r="E5283" s="1" t="str">
        <f>IFERROR(__xludf.DUMMYFUNCTION("GOOGLETRANSLATE(D5283,""PT"",""EN"")"),"Credit card")</f>
        <v>Credit card</v>
      </c>
    </row>
    <row r="5284" ht="14.25" customHeight="1">
      <c r="A5284" s="1">
        <v>100.0</v>
      </c>
      <c r="B5284" s="1" t="s">
        <v>2106</v>
      </c>
      <c r="C5284" s="1">
        <v>9.0</v>
      </c>
      <c r="D5284" s="1" t="s">
        <v>6</v>
      </c>
      <c r="E5284" s="1"/>
    </row>
    <row r="5285" ht="14.25" customHeight="1">
      <c r="A5285" s="1">
        <v>100.0</v>
      </c>
      <c r="B5285" s="1" t="s">
        <v>2106</v>
      </c>
      <c r="C5285" s="1">
        <v>10.0</v>
      </c>
      <c r="D5285" s="1" t="s">
        <v>6</v>
      </c>
      <c r="E5285" s="1"/>
    </row>
    <row r="5286" ht="14.25" customHeight="1">
      <c r="A5286" s="1">
        <v>66.0</v>
      </c>
      <c r="B5286" s="1" t="s">
        <v>2106</v>
      </c>
      <c r="C5286" s="1">
        <v>8.0</v>
      </c>
      <c r="D5286" s="2" t="s">
        <v>2407</v>
      </c>
      <c r="E5286" s="1" t="str">
        <f>IFERROR(__xludf.DUMMYFUNCTION("GOOGLETRANSLATE(D5286,""PT"",""EN"")"),"The ease of customer service is access to credit.")</f>
        <v>The ease of customer service is access to credit.</v>
      </c>
    </row>
    <row r="5287" ht="14.25" customHeight="1">
      <c r="A5287" s="1">
        <v>100.0</v>
      </c>
      <c r="B5287" s="1" t="s">
        <v>2106</v>
      </c>
      <c r="C5287" s="1">
        <v>10.0</v>
      </c>
      <c r="D5287" s="1" t="s">
        <v>6</v>
      </c>
      <c r="E5287" s="1"/>
    </row>
    <row r="5288" ht="14.25" customHeight="1">
      <c r="A5288" s="1">
        <v>100.0</v>
      </c>
      <c r="B5288" s="1" t="s">
        <v>2106</v>
      </c>
      <c r="C5288" s="1">
        <v>10.0</v>
      </c>
      <c r="D5288" s="2" t="s">
        <v>2408</v>
      </c>
      <c r="E5288" s="1" t="str">
        <f>IFERROR(__xludf.DUMMYFUNCTION("GOOGLETRANSLATE(D5288,""PT"",""EN"")"),"I am very pleased with the service. It is the conditions that the bank provides non -great.")</f>
        <v>I am very pleased with the service. It is the conditions that the bank provides non -great.</v>
      </c>
    </row>
    <row r="5289" ht="14.25" customHeight="1">
      <c r="A5289" s="1">
        <v>100.0</v>
      </c>
      <c r="B5289" s="1" t="s">
        <v>2106</v>
      </c>
      <c r="C5289" s="1">
        <v>9.0</v>
      </c>
      <c r="D5289" s="1" t="s">
        <v>6</v>
      </c>
      <c r="E5289" s="1"/>
    </row>
    <row r="5290" ht="14.25" customHeight="1">
      <c r="A5290" s="1">
        <v>100.0</v>
      </c>
      <c r="B5290" s="1" t="s">
        <v>2106</v>
      </c>
      <c r="C5290" s="1">
        <v>10.0</v>
      </c>
      <c r="D5290" s="1" t="s">
        <v>6</v>
      </c>
      <c r="E5290" s="1"/>
    </row>
    <row r="5291" ht="14.25" customHeight="1">
      <c r="A5291" s="1">
        <v>100.0</v>
      </c>
      <c r="B5291" s="1" t="s">
        <v>2106</v>
      </c>
      <c r="C5291" s="1">
        <v>10.0</v>
      </c>
      <c r="D5291" s="1" t="s">
        <v>85</v>
      </c>
      <c r="E5291" s="1" t="str">
        <f>IFERROR(__xludf.DUMMYFUNCTION("GOOGLETRANSLATE(D5291,""PT"",""EN"")"),"Service")</f>
        <v>Service</v>
      </c>
    </row>
    <row r="5292" ht="14.25" customHeight="1">
      <c r="A5292" s="1">
        <v>100.0</v>
      </c>
      <c r="B5292" s="1" t="s">
        <v>2106</v>
      </c>
      <c r="C5292" s="1">
        <v>10.0</v>
      </c>
      <c r="D5292" s="1" t="s">
        <v>2409</v>
      </c>
      <c r="E5292" s="1" t="str">
        <f>IFERROR(__xludf.DUMMYFUNCTION("GOOGLETRANSLATE(D5292,""PT"",""EN"")"),"The cooperative meets my needs.")</f>
        <v>The cooperative meets my needs.</v>
      </c>
    </row>
    <row r="5293" ht="14.25" customHeight="1">
      <c r="A5293" s="1">
        <v>100.0</v>
      </c>
      <c r="B5293" s="1" t="s">
        <v>2106</v>
      </c>
      <c r="C5293" s="1">
        <v>10.0</v>
      </c>
      <c r="D5293" s="1" t="s">
        <v>2410</v>
      </c>
      <c r="E5293" s="1" t="str">
        <f>IFERROR(__xludf.DUMMYFUNCTION("GOOGLETRANSLATE(D5293,""PT"",""EN"")"),"Cooperativism better than traditional bank.")</f>
        <v>Cooperativism better than traditional bank.</v>
      </c>
    </row>
    <row r="5294" ht="14.25" customHeight="1">
      <c r="A5294" s="1">
        <v>100.0</v>
      </c>
      <c r="B5294" s="1" t="s">
        <v>2106</v>
      </c>
      <c r="C5294" s="1">
        <v>10.0</v>
      </c>
      <c r="D5294" s="1" t="s">
        <v>2411</v>
      </c>
      <c r="E5294" s="1" t="str">
        <f>IFERROR(__xludf.DUMMYFUNCTION("GOOGLETRANSLATE(D5294,""PT"",""EN"")"),"Exclusivity in service")</f>
        <v>Exclusivity in service</v>
      </c>
    </row>
    <row r="5295" ht="14.25" customHeight="1">
      <c r="A5295" s="1">
        <v>100.0</v>
      </c>
      <c r="B5295" s="1" t="s">
        <v>2412</v>
      </c>
      <c r="C5295" s="1">
        <v>10.0</v>
      </c>
      <c r="D5295" s="2" t="s">
        <v>2413</v>
      </c>
      <c r="E5295" s="1" t="str">
        <f>IFERROR(__xludf.DUMMYFUNCTION("GOOGLETRANSLATE(D5295,""PT"",""EN"")"),"Excellent service and clarity")</f>
        <v>Excellent service and clarity</v>
      </c>
    </row>
    <row r="5296" ht="14.25" customHeight="1">
      <c r="A5296" s="1">
        <v>100.0</v>
      </c>
      <c r="B5296" s="1" t="s">
        <v>2412</v>
      </c>
      <c r="C5296" s="1">
        <v>9.0</v>
      </c>
      <c r="D5296" s="1" t="s">
        <v>6</v>
      </c>
      <c r="E5296" s="1"/>
    </row>
    <row r="5297" ht="14.25" customHeight="1">
      <c r="A5297" s="1">
        <v>100.0</v>
      </c>
      <c r="B5297" s="1" t="s">
        <v>2412</v>
      </c>
      <c r="C5297" s="1">
        <v>10.0</v>
      </c>
      <c r="D5297" s="1" t="s">
        <v>6</v>
      </c>
      <c r="E5297" s="1"/>
    </row>
    <row r="5298" ht="14.25" customHeight="1">
      <c r="A5298" s="1">
        <v>100.0</v>
      </c>
      <c r="B5298" s="1" t="s">
        <v>2412</v>
      </c>
      <c r="C5298" s="1">
        <v>10.0</v>
      </c>
      <c r="D5298" s="1" t="s">
        <v>6</v>
      </c>
      <c r="E5298" s="1"/>
    </row>
    <row r="5299" ht="14.25" customHeight="1">
      <c r="A5299" s="1">
        <v>100.0</v>
      </c>
      <c r="B5299" s="1" t="s">
        <v>2412</v>
      </c>
      <c r="C5299" s="1">
        <v>10.0</v>
      </c>
      <c r="D5299" s="1" t="s">
        <v>6</v>
      </c>
      <c r="E5299" s="1"/>
    </row>
    <row r="5300" ht="14.25" customHeight="1">
      <c r="A5300" s="1">
        <v>33.0</v>
      </c>
      <c r="B5300" s="1" t="s">
        <v>2412</v>
      </c>
      <c r="C5300" s="1">
        <v>0.0</v>
      </c>
      <c r="D5300" s="1" t="s">
        <v>6</v>
      </c>
      <c r="E5300" s="1"/>
    </row>
    <row r="5301" ht="14.25" customHeight="1">
      <c r="A5301" s="1">
        <v>33.0</v>
      </c>
      <c r="B5301" s="1" t="s">
        <v>2412</v>
      </c>
      <c r="C5301" s="1">
        <v>6.0</v>
      </c>
      <c r="D5301" s="1" t="s">
        <v>6</v>
      </c>
      <c r="E5301" s="1"/>
    </row>
    <row r="5302" ht="14.25" customHeight="1">
      <c r="A5302" s="1">
        <v>100.0</v>
      </c>
      <c r="B5302" s="1" t="s">
        <v>2412</v>
      </c>
      <c r="C5302" s="1">
        <v>10.0</v>
      </c>
      <c r="D5302" s="1" t="s">
        <v>6</v>
      </c>
      <c r="E5302" s="1"/>
    </row>
    <row r="5303" ht="14.25" customHeight="1">
      <c r="A5303" s="1">
        <v>100.0</v>
      </c>
      <c r="B5303" s="1" t="s">
        <v>2412</v>
      </c>
      <c r="C5303" s="1">
        <v>10.0</v>
      </c>
      <c r="D5303" s="1" t="s">
        <v>6</v>
      </c>
      <c r="E5303" s="1"/>
    </row>
    <row r="5304" ht="14.25" customHeight="1">
      <c r="A5304" s="1">
        <v>100.0</v>
      </c>
      <c r="B5304" s="1" t="s">
        <v>2412</v>
      </c>
      <c r="C5304" s="1">
        <v>9.0</v>
      </c>
      <c r="D5304" s="1" t="s">
        <v>6</v>
      </c>
      <c r="E5304" s="1"/>
    </row>
    <row r="5305" ht="14.25" customHeight="1">
      <c r="A5305" s="1">
        <v>100.0</v>
      </c>
      <c r="B5305" s="1" t="s">
        <v>2412</v>
      </c>
      <c r="C5305" s="1">
        <v>10.0</v>
      </c>
      <c r="D5305" s="2" t="s">
        <v>2414</v>
      </c>
      <c r="E5305" s="1" t="str">
        <f>IFERROR(__xludf.DUMMYFUNCTION("GOOGLETRANSLATE(D5305,""PT"",""EN"")"),"The quality of the services offered is their values.")</f>
        <v>The quality of the services offered is their values.</v>
      </c>
    </row>
    <row r="5306" ht="14.25" customHeight="1">
      <c r="A5306" s="1">
        <v>100.0</v>
      </c>
      <c r="B5306" s="1" t="s">
        <v>2412</v>
      </c>
      <c r="C5306" s="1">
        <v>10.0</v>
      </c>
      <c r="D5306" s="1" t="s">
        <v>6</v>
      </c>
      <c r="E5306" s="1"/>
    </row>
    <row r="5307" ht="14.25" customHeight="1">
      <c r="A5307" s="1">
        <v>66.0</v>
      </c>
      <c r="B5307" s="1" t="s">
        <v>2412</v>
      </c>
      <c r="C5307" s="1">
        <v>8.0</v>
      </c>
      <c r="D5307" s="1" t="s">
        <v>190</v>
      </c>
      <c r="E5307" s="1" t="str">
        <f>IFERROR(__xludf.DUMMYFUNCTION("GOOGLETRANSLATE(D5307,""PT"",""EN"")"),"Agility")</f>
        <v>Agility</v>
      </c>
    </row>
    <row r="5308" ht="14.25" customHeight="1">
      <c r="A5308" s="1">
        <v>100.0</v>
      </c>
      <c r="B5308" s="1" t="s">
        <v>2412</v>
      </c>
      <c r="C5308" s="1">
        <v>10.0</v>
      </c>
      <c r="D5308" s="2" t="s">
        <v>2415</v>
      </c>
      <c r="E5308" s="1" t="str">
        <f>IFERROR(__xludf.DUMMYFUNCTION("GOOGLETRANSLATE(D5308,""PT"",""EN"")"),"Service and fees")</f>
        <v>Service and fees</v>
      </c>
    </row>
    <row r="5309" ht="14.25" customHeight="1">
      <c r="A5309" s="1">
        <v>33.0</v>
      </c>
      <c r="B5309" s="1" t="s">
        <v>2412</v>
      </c>
      <c r="C5309" s="1">
        <v>0.0</v>
      </c>
      <c r="D5309" s="2" t="s">
        <v>2416</v>
      </c>
      <c r="E5309" s="1" t="str">
        <f>IFERROR(__xludf.DUMMYFUNCTION("GOOGLETRANSLATE(D5309,""PT"",""EN"")"),"Why did I lose my agency is account is Sicoob doesn't send me ... I haven't been able to access the application already 8 months")</f>
        <v>Why did I lose my agency is account is Sicoob doesn't send me ... I haven't been able to access the application already 8 months</v>
      </c>
    </row>
    <row r="5310" ht="14.25" customHeight="1">
      <c r="A5310" s="1">
        <v>100.0</v>
      </c>
      <c r="B5310" s="1" t="s">
        <v>2412</v>
      </c>
      <c r="C5310" s="1">
        <v>10.0</v>
      </c>
      <c r="D5310" s="2" t="s">
        <v>2417</v>
      </c>
      <c r="E5310" s="1" t="str">
        <f>IFERROR(__xludf.DUMMYFUNCTION("GOOGLETRANSLATE(D5310,""PT"",""EN"")"),"Purpose is quality.")</f>
        <v>Purpose is quality.</v>
      </c>
    </row>
    <row r="5311" ht="14.25" customHeight="1">
      <c r="A5311" s="1">
        <v>100.0</v>
      </c>
      <c r="B5311" s="1" t="s">
        <v>2412</v>
      </c>
      <c r="C5311" s="1">
        <v>10.0</v>
      </c>
      <c r="D5311" s="1" t="s">
        <v>352</v>
      </c>
      <c r="E5311" s="1" t="str">
        <f>IFERROR(__xludf.DUMMYFUNCTION("GOOGLETRANSLATE(D5311,""PT"",""EN"")"),"Top")</f>
        <v>Top</v>
      </c>
    </row>
    <row r="5312" ht="14.25" customHeight="1">
      <c r="A5312" s="1">
        <v>100.0</v>
      </c>
      <c r="B5312" s="1" t="s">
        <v>2412</v>
      </c>
      <c r="C5312" s="1">
        <v>9.0</v>
      </c>
      <c r="D5312" s="1" t="s">
        <v>6</v>
      </c>
      <c r="E5312" s="1"/>
    </row>
    <row r="5313" ht="14.25" customHeight="1">
      <c r="A5313" s="1">
        <v>100.0</v>
      </c>
      <c r="B5313" s="1" t="s">
        <v>2412</v>
      </c>
      <c r="C5313" s="1">
        <v>10.0</v>
      </c>
      <c r="D5313" s="1" t="s">
        <v>6</v>
      </c>
      <c r="E5313" s="1"/>
    </row>
    <row r="5314" ht="14.25" customHeight="1">
      <c r="A5314" s="1">
        <v>100.0</v>
      </c>
      <c r="B5314" s="1" t="s">
        <v>2412</v>
      </c>
      <c r="C5314" s="1">
        <v>10.0</v>
      </c>
      <c r="D5314" s="2" t="s">
        <v>2418</v>
      </c>
      <c r="E5314" s="1" t="str">
        <f>IFERROR(__xludf.DUMMYFUNCTION("GOOGLETRANSLATE(D5314,""PT"",""EN"")"),"Great personal service")</f>
        <v>Great personal service</v>
      </c>
    </row>
    <row r="5315" ht="14.25" customHeight="1">
      <c r="A5315" s="1">
        <v>66.0</v>
      </c>
      <c r="B5315" s="1" t="s">
        <v>2412</v>
      </c>
      <c r="C5315" s="1">
        <v>7.0</v>
      </c>
      <c r="D5315" s="1" t="s">
        <v>2419</v>
      </c>
      <c r="E5315" s="1" t="str">
        <f>IFERROR(__xludf.DUMMYFUNCTION("GOOGLETRANSLATE(D5315,""PT"",""EN"")"),"It is the score that I consider fair")</f>
        <v>It is the score that I consider fair</v>
      </c>
    </row>
    <row r="5316" ht="14.25" customHeight="1">
      <c r="A5316" s="1">
        <v>33.0</v>
      </c>
      <c r="B5316" s="1" t="s">
        <v>2412</v>
      </c>
      <c r="C5316" s="1">
        <v>0.0</v>
      </c>
      <c r="D5316" s="2" t="s">
        <v>2420</v>
      </c>
      <c r="E5316" s="1" t="str">
        <f>IFERROR(__xludf.DUMMYFUNCTION("GOOGLETRANSLATE(D5316,""PT"",""EN"")"),"Pessimo does not release anything to customers,")</f>
        <v>Pessimo does not release anything to customers,</v>
      </c>
    </row>
    <row r="5317" ht="14.25" customHeight="1">
      <c r="A5317" s="1">
        <v>100.0</v>
      </c>
      <c r="B5317" s="1" t="s">
        <v>2412</v>
      </c>
      <c r="C5317" s="1">
        <v>10.0</v>
      </c>
      <c r="D5317" s="1" t="s">
        <v>2421</v>
      </c>
      <c r="E5317" s="1" t="str">
        <f>IFERROR(__xludf.DUMMYFUNCTION("GOOGLETRANSLATE(D5317,""PT"",""EN"")"),"Good employee service.")</f>
        <v>Good employee service.</v>
      </c>
    </row>
    <row r="5318" ht="14.25" customHeight="1">
      <c r="A5318" s="1">
        <v>100.0</v>
      </c>
      <c r="B5318" s="1" t="s">
        <v>2412</v>
      </c>
      <c r="C5318" s="1">
        <v>10.0</v>
      </c>
      <c r="D5318" s="1" t="s">
        <v>6</v>
      </c>
      <c r="E5318" s="1"/>
    </row>
    <row r="5319" ht="14.25" customHeight="1">
      <c r="A5319" s="1">
        <v>100.0</v>
      </c>
      <c r="B5319" s="1" t="s">
        <v>2412</v>
      </c>
      <c r="C5319" s="1">
        <v>10.0</v>
      </c>
      <c r="D5319" s="1" t="s">
        <v>1370</v>
      </c>
      <c r="E5319" s="1" t="str">
        <f>IFERROR(__xludf.DUMMYFUNCTION("GOOGLETRANSLATE(D5319,""PT"",""EN"")"),"good relationship")</f>
        <v>good relationship</v>
      </c>
    </row>
    <row r="5320" ht="14.25" customHeight="1">
      <c r="A5320" s="1">
        <v>33.0</v>
      </c>
      <c r="B5320" s="1" t="s">
        <v>2412</v>
      </c>
      <c r="C5320" s="1">
        <v>0.0</v>
      </c>
      <c r="D5320" s="1" t="s">
        <v>6</v>
      </c>
      <c r="E5320" s="1"/>
    </row>
    <row r="5321" ht="14.25" customHeight="1">
      <c r="A5321" s="1">
        <v>100.0</v>
      </c>
      <c r="B5321" s="1" t="s">
        <v>2412</v>
      </c>
      <c r="C5321" s="1">
        <v>10.0</v>
      </c>
      <c r="D5321" s="1" t="s">
        <v>6</v>
      </c>
      <c r="E5321" s="1"/>
    </row>
    <row r="5322" ht="14.25" customHeight="1">
      <c r="A5322" s="1">
        <v>100.0</v>
      </c>
      <c r="B5322" s="1" t="s">
        <v>2412</v>
      </c>
      <c r="C5322" s="1">
        <v>10.0</v>
      </c>
      <c r="D5322" s="1" t="s">
        <v>6</v>
      </c>
      <c r="E5322" s="1"/>
    </row>
    <row r="5323" ht="14.25" customHeight="1">
      <c r="A5323" s="1">
        <v>100.0</v>
      </c>
      <c r="B5323" s="1" t="s">
        <v>2412</v>
      </c>
      <c r="C5323" s="1">
        <v>10.0</v>
      </c>
      <c r="D5323" s="2" t="s">
        <v>208</v>
      </c>
      <c r="E5323" s="1" t="str">
        <f>IFERROR(__xludf.DUMMYFUNCTION("GOOGLETRANSLATE(D5323,""PT"",""EN"")"),"excellent")</f>
        <v>excellent</v>
      </c>
    </row>
    <row r="5324" ht="14.25" customHeight="1">
      <c r="A5324" s="1">
        <v>33.0</v>
      </c>
      <c r="B5324" s="1" t="s">
        <v>2412</v>
      </c>
      <c r="C5324" s="1">
        <v>0.0</v>
      </c>
      <c r="D5324" s="2" t="s">
        <v>2422</v>
      </c>
      <c r="E5324" s="1" t="str">
        <f>IFERROR(__xludf.DUMMYFUNCTION("GOOGLETRANSLATE(D5324,""PT"",""EN"")"),"Pessimal in troubleshooting, it offers no possibility if you have little money, but when I investigate more significant values ​​I was super well attended. This any bank does. Pessimal service, makes the sense of people.")</f>
        <v>Pessimal in troubleshooting, it offers no possibility if you have little money, but when I investigate more significant values ​​I was super well attended. This any bank does. Pessimal service, makes the sense of people.</v>
      </c>
    </row>
    <row r="5325" ht="14.25" customHeight="1">
      <c r="A5325" s="1">
        <v>33.0</v>
      </c>
      <c r="B5325" s="1" t="s">
        <v>2412</v>
      </c>
      <c r="C5325" s="1">
        <v>0.0</v>
      </c>
      <c r="D5325" s="1" t="s">
        <v>6</v>
      </c>
      <c r="E5325" s="1"/>
    </row>
    <row r="5326" ht="14.25" customHeight="1">
      <c r="A5326" s="1">
        <v>100.0</v>
      </c>
      <c r="B5326" s="1" t="s">
        <v>2412</v>
      </c>
      <c r="C5326" s="1">
        <v>9.0</v>
      </c>
      <c r="D5326" s="1" t="s">
        <v>6</v>
      </c>
      <c r="E5326" s="1"/>
    </row>
    <row r="5327" ht="14.25" customHeight="1">
      <c r="A5327" s="1">
        <v>100.0</v>
      </c>
      <c r="B5327" s="1" t="s">
        <v>2412</v>
      </c>
      <c r="C5327" s="1">
        <v>9.0</v>
      </c>
      <c r="D5327" s="1" t="s">
        <v>62</v>
      </c>
      <c r="E5327" s="1" t="str">
        <f>IFERROR(__xludf.DUMMYFUNCTION("GOOGLETRANSLATE(D5327,""PT"",""EN"")"),"Good service")</f>
        <v>Good service</v>
      </c>
    </row>
    <row r="5328" ht="14.25" customHeight="1">
      <c r="A5328" s="1">
        <v>100.0</v>
      </c>
      <c r="B5328" s="1" t="s">
        <v>2412</v>
      </c>
      <c r="C5328" s="1">
        <v>10.0</v>
      </c>
      <c r="D5328" s="1" t="s">
        <v>9</v>
      </c>
      <c r="E5328" s="1" t="str">
        <f>IFERROR(__xludf.DUMMYFUNCTION("GOOGLETRANSLATE(D5328,""PT"",""EN"")"),"10")</f>
        <v>10</v>
      </c>
    </row>
    <row r="5329" ht="14.25" customHeight="1">
      <c r="A5329" s="1">
        <v>100.0</v>
      </c>
      <c r="B5329" s="1" t="s">
        <v>2412</v>
      </c>
      <c r="C5329" s="1">
        <v>10.0</v>
      </c>
      <c r="D5329" s="1" t="s">
        <v>6</v>
      </c>
      <c r="E5329" s="1"/>
    </row>
    <row r="5330" ht="14.25" customHeight="1">
      <c r="A5330" s="1">
        <v>66.0</v>
      </c>
      <c r="B5330" s="1" t="s">
        <v>2412</v>
      </c>
      <c r="C5330" s="1">
        <v>7.0</v>
      </c>
      <c r="D5330" s="2" t="s">
        <v>2423</v>
      </c>
      <c r="E5330" s="1" t="str">
        <f>IFERROR(__xludf.DUMMYFUNCTION("GOOGLETRANSLATE(D5330,""PT"",""EN"")"),"It is a non -costly bank, it gives good investment opportunities is income. But a little impersonal.")</f>
        <v>It is a non -costly bank, it gives good investment opportunities is income. But a little impersonal.</v>
      </c>
    </row>
    <row r="5331" ht="14.25" customHeight="1">
      <c r="A5331" s="1">
        <v>100.0</v>
      </c>
      <c r="B5331" s="1" t="s">
        <v>2412</v>
      </c>
      <c r="C5331" s="1">
        <v>10.0</v>
      </c>
      <c r="D5331" s="1" t="s">
        <v>6</v>
      </c>
      <c r="E5331" s="1"/>
    </row>
    <row r="5332" ht="14.25" customHeight="1">
      <c r="A5332" s="1">
        <v>33.0</v>
      </c>
      <c r="B5332" s="1" t="s">
        <v>2412</v>
      </c>
      <c r="C5332" s="1">
        <v>1.0</v>
      </c>
      <c r="D5332" s="1" t="s">
        <v>6</v>
      </c>
      <c r="E5332" s="1"/>
    </row>
    <row r="5333" ht="14.25" customHeight="1">
      <c r="A5333" s="1">
        <v>33.0</v>
      </c>
      <c r="B5333" s="1" t="s">
        <v>2412</v>
      </c>
      <c r="C5333" s="1">
        <v>4.0</v>
      </c>
      <c r="D5333" s="2" t="s">
        <v>2424</v>
      </c>
      <c r="E5333" s="1" t="str">
        <f>IFERROR(__xludf.DUMMYFUNCTION("GOOGLETRANSLATE(D5333,""PT"",""EN"")"),"Difficulty in feeding the limit of the card, difficulty in better loan to the pau public employee")</f>
        <v>Difficulty in feeding the limit of the card, difficulty in better loan to the pau public employee</v>
      </c>
    </row>
    <row r="5334" ht="14.25" customHeight="1">
      <c r="A5334" s="1">
        <v>66.0</v>
      </c>
      <c r="B5334" s="1" t="s">
        <v>2412</v>
      </c>
      <c r="C5334" s="1">
        <v>7.0</v>
      </c>
      <c r="D5334" s="1" t="s">
        <v>6</v>
      </c>
      <c r="E5334" s="1"/>
    </row>
    <row r="5335" ht="14.25" customHeight="1">
      <c r="A5335" s="1">
        <v>100.0</v>
      </c>
      <c r="B5335" s="1" t="s">
        <v>2412</v>
      </c>
      <c r="C5335" s="1">
        <v>10.0</v>
      </c>
      <c r="D5335" s="2" t="s">
        <v>2425</v>
      </c>
      <c r="E5335" s="1" t="str">
        <f>IFERROR(__xludf.DUMMYFUNCTION("GOOGLETRANSLATE(D5335,""PT"",""EN"")"),"Service efficiently is agility")</f>
        <v>Service efficiently is agility</v>
      </c>
    </row>
    <row r="5336" ht="14.25" customHeight="1">
      <c r="A5336" s="1">
        <v>100.0</v>
      </c>
      <c r="B5336" s="1" t="s">
        <v>2412</v>
      </c>
      <c r="C5336" s="1">
        <v>10.0</v>
      </c>
      <c r="D5336" s="1" t="s">
        <v>6</v>
      </c>
      <c r="E5336" s="1"/>
    </row>
    <row r="5337" ht="14.25" customHeight="1">
      <c r="A5337" s="1">
        <v>66.0</v>
      </c>
      <c r="B5337" s="1" t="s">
        <v>2412</v>
      </c>
      <c r="C5337" s="1">
        <v>8.0</v>
      </c>
      <c r="D5337" s="1" t="s">
        <v>6</v>
      </c>
      <c r="E5337" s="1"/>
    </row>
    <row r="5338" ht="14.25" customHeight="1">
      <c r="A5338" s="1">
        <v>100.0</v>
      </c>
      <c r="B5338" s="1" t="s">
        <v>2412</v>
      </c>
      <c r="C5338" s="1">
        <v>10.0</v>
      </c>
      <c r="D5338" s="2" t="s">
        <v>2426</v>
      </c>
      <c r="E5338" s="1" t="str">
        <f>IFERROR(__xludf.DUMMYFUNCTION("GOOGLETRANSLATE(D5338,""PT"",""EN"")"),"The service is the education of employees are note 1000")</f>
        <v>The service is the education of employees are note 1000</v>
      </c>
    </row>
    <row r="5339" ht="14.25" customHeight="1">
      <c r="A5339" s="1">
        <v>66.0</v>
      </c>
      <c r="B5339" s="1" t="s">
        <v>2412</v>
      </c>
      <c r="C5339" s="1">
        <v>7.0</v>
      </c>
      <c r="D5339" s="1" t="s">
        <v>6</v>
      </c>
      <c r="E5339" s="1"/>
    </row>
    <row r="5340" ht="14.25" customHeight="1">
      <c r="A5340" s="1">
        <v>100.0</v>
      </c>
      <c r="B5340" s="1" t="s">
        <v>2412</v>
      </c>
      <c r="C5340" s="1">
        <v>10.0</v>
      </c>
      <c r="D5340" s="1" t="s">
        <v>2427</v>
      </c>
      <c r="E5340" s="1" t="str">
        <f>IFERROR(__xludf.DUMMYFUNCTION("GOOGLETRANSLATE(D5340,""PT"",""EN"")"),"Optimistic")</f>
        <v>Optimistic</v>
      </c>
    </row>
    <row r="5341" ht="14.25" customHeight="1">
      <c r="A5341" s="1">
        <v>100.0</v>
      </c>
      <c r="B5341" s="1" t="s">
        <v>2412</v>
      </c>
      <c r="C5341" s="1">
        <v>10.0</v>
      </c>
      <c r="D5341" s="1" t="s">
        <v>6</v>
      </c>
      <c r="E5341" s="1"/>
    </row>
    <row r="5342" ht="14.25" customHeight="1">
      <c r="A5342" s="1">
        <v>33.0</v>
      </c>
      <c r="B5342" s="1" t="s">
        <v>2412</v>
      </c>
      <c r="C5342" s="1">
        <v>2.0</v>
      </c>
      <c r="D5342" s="1" t="s">
        <v>2281</v>
      </c>
      <c r="E5342" s="1" t="str">
        <f>IFERROR(__xludf.DUMMYFUNCTION("GOOGLETRANSLATE(D5342,""PT"",""EN"")"),"two")</f>
        <v>two</v>
      </c>
    </row>
    <row r="5343" ht="14.25" customHeight="1">
      <c r="A5343" s="1">
        <v>100.0</v>
      </c>
      <c r="B5343" s="1" t="s">
        <v>2412</v>
      </c>
      <c r="C5343" s="1">
        <v>10.0</v>
      </c>
      <c r="D5343" s="1" t="s">
        <v>6</v>
      </c>
      <c r="E5343" s="1"/>
    </row>
    <row r="5344" ht="14.25" customHeight="1">
      <c r="A5344" s="1">
        <v>33.0</v>
      </c>
      <c r="B5344" s="1" t="s">
        <v>2412</v>
      </c>
      <c r="C5344" s="1">
        <v>0.0</v>
      </c>
      <c r="D5344" s="1" t="s">
        <v>2428</v>
      </c>
      <c r="E5344" s="1"/>
    </row>
    <row r="5345" ht="14.25" customHeight="1">
      <c r="A5345" s="1">
        <v>100.0</v>
      </c>
      <c r="B5345" s="1" t="s">
        <v>2412</v>
      </c>
      <c r="C5345" s="1">
        <v>10.0</v>
      </c>
      <c r="D5345" s="1" t="s">
        <v>2128</v>
      </c>
      <c r="E5345" s="1" t="str">
        <f>IFERROR(__xludf.DUMMYFUNCTION("GOOGLETRANSLATE(D5345,""PT"",""EN"")"),"The service is excellent")</f>
        <v>The service is excellent</v>
      </c>
    </row>
    <row r="5346" ht="14.25" customHeight="1">
      <c r="A5346" s="1">
        <v>100.0</v>
      </c>
      <c r="B5346" s="1" t="s">
        <v>2412</v>
      </c>
      <c r="C5346" s="1">
        <v>10.0</v>
      </c>
      <c r="D5346" s="2" t="s">
        <v>2429</v>
      </c>
      <c r="E5346" s="1" t="str">
        <f>IFERROR(__xludf.DUMMYFUNCTION("GOOGLETRANSLATE(D5346,""PT"",""EN"")"),"Great bank. It is great relationships")</f>
        <v>Great bank. It is great relationships</v>
      </c>
    </row>
    <row r="5347" ht="14.25" customHeight="1">
      <c r="A5347" s="1">
        <v>33.0</v>
      </c>
      <c r="B5347" s="1" t="s">
        <v>2412</v>
      </c>
      <c r="C5347" s="1">
        <v>2.0</v>
      </c>
      <c r="D5347" s="1" t="s">
        <v>2430</v>
      </c>
      <c r="E5347" s="1" t="str">
        <f>IFERROR(__xludf.DUMMYFUNCTION("GOOGLETRANSLATE(D5347,""PT"",""EN"")"),"I was poorly attended.")</f>
        <v>I was poorly attended.</v>
      </c>
    </row>
    <row r="5348" ht="14.25" customHeight="1">
      <c r="A5348" s="1">
        <v>100.0</v>
      </c>
      <c r="B5348" s="1" t="s">
        <v>2412</v>
      </c>
      <c r="C5348" s="1">
        <v>10.0</v>
      </c>
      <c r="D5348" s="2" t="s">
        <v>2429</v>
      </c>
      <c r="E5348" s="1" t="str">
        <f>IFERROR(__xludf.DUMMYFUNCTION("GOOGLETRANSLATE(D5348,""PT"",""EN"")"),"Great bank. It is great relationships")</f>
        <v>Great bank. It is great relationships</v>
      </c>
    </row>
    <row r="5349" ht="14.25" customHeight="1">
      <c r="A5349" s="1">
        <v>100.0</v>
      </c>
      <c r="B5349" s="1" t="s">
        <v>2412</v>
      </c>
      <c r="C5349" s="1">
        <v>10.0</v>
      </c>
      <c r="D5349" s="1" t="s">
        <v>6</v>
      </c>
      <c r="E5349" s="1"/>
    </row>
    <row r="5350" ht="14.25" customHeight="1">
      <c r="A5350" s="1">
        <v>66.0</v>
      </c>
      <c r="B5350" s="1" t="s">
        <v>2412</v>
      </c>
      <c r="C5350" s="1">
        <v>7.0</v>
      </c>
      <c r="D5350" s="2" t="s">
        <v>2431</v>
      </c>
      <c r="E5350" s="1" t="str">
        <f>IFERROR(__xludf.DUMMYFUNCTION("GOOGLETRANSLATE(D5350,""PT"",""EN"")"),"Difficulty release credit card even with daily movement, do not reach notifications on the mobile screen")</f>
        <v>Difficulty release credit card even with daily movement, do not reach notifications on the mobile screen</v>
      </c>
    </row>
    <row r="5351" ht="14.25" customHeight="1">
      <c r="A5351" s="1">
        <v>66.0</v>
      </c>
      <c r="B5351" s="1" t="s">
        <v>2412</v>
      </c>
      <c r="C5351" s="1">
        <v>8.0</v>
      </c>
      <c r="D5351" s="1" t="s">
        <v>6</v>
      </c>
      <c r="E5351" s="1"/>
    </row>
    <row r="5352" ht="14.25" customHeight="1">
      <c r="A5352" s="1">
        <v>100.0</v>
      </c>
      <c r="B5352" s="1" t="s">
        <v>2412</v>
      </c>
      <c r="C5352" s="1">
        <v>9.0</v>
      </c>
      <c r="D5352" s="1" t="s">
        <v>6</v>
      </c>
      <c r="E5352" s="1"/>
    </row>
    <row r="5353" ht="14.25" customHeight="1">
      <c r="A5353" s="1">
        <v>100.0</v>
      </c>
      <c r="B5353" s="1" t="s">
        <v>2412</v>
      </c>
      <c r="C5353" s="1">
        <v>10.0</v>
      </c>
      <c r="D5353" s="1" t="s">
        <v>6</v>
      </c>
      <c r="E5353" s="1"/>
    </row>
    <row r="5354" ht="14.25" customHeight="1">
      <c r="A5354" s="1">
        <v>100.0</v>
      </c>
      <c r="B5354" s="1" t="s">
        <v>2412</v>
      </c>
      <c r="C5354" s="1">
        <v>10.0</v>
      </c>
      <c r="D5354" s="2" t="s">
        <v>2432</v>
      </c>
      <c r="E5354" s="1" t="str">
        <f>IFERROR(__xludf.DUMMYFUNCTION("GOOGLETRANSLATE(D5354,""PT"",""EN"")"),"The service, to the facilities offered by the bank is practicality encourage to recommend it.")</f>
        <v>The service, to the facilities offered by the bank is practicality encourage to recommend it.</v>
      </c>
    </row>
    <row r="5355" ht="14.25" customHeight="1">
      <c r="A5355" s="1">
        <v>33.0</v>
      </c>
      <c r="B5355" s="1" t="s">
        <v>2412</v>
      </c>
      <c r="C5355" s="1">
        <v>0.0</v>
      </c>
      <c r="D5355" s="1" t="s">
        <v>2433</v>
      </c>
      <c r="E5355" s="1" t="str">
        <f>IFERROR(__xludf.DUMMYFUNCTION("GOOGLETRANSLATE(D5355,""PT"",""EN"")"),"Very bad management of management")</f>
        <v>Very bad management of management</v>
      </c>
    </row>
    <row r="5356" ht="14.25" customHeight="1">
      <c r="A5356" s="1">
        <v>100.0</v>
      </c>
      <c r="B5356" s="1" t="s">
        <v>2412</v>
      </c>
      <c r="C5356" s="1">
        <v>10.0</v>
      </c>
      <c r="D5356" s="1" t="s">
        <v>6</v>
      </c>
      <c r="E5356" s="1"/>
    </row>
    <row r="5357" ht="14.25" customHeight="1">
      <c r="A5357" s="1">
        <v>100.0</v>
      </c>
      <c r="B5357" s="1" t="s">
        <v>2412</v>
      </c>
      <c r="C5357" s="1">
        <v>10.0</v>
      </c>
      <c r="D5357" s="1" t="s">
        <v>6</v>
      </c>
      <c r="E5357" s="1"/>
    </row>
    <row r="5358" ht="14.25" customHeight="1">
      <c r="A5358" s="1">
        <v>100.0</v>
      </c>
      <c r="B5358" s="1" t="s">
        <v>2412</v>
      </c>
      <c r="C5358" s="1">
        <v>10.0</v>
      </c>
      <c r="D5358" s="1" t="s">
        <v>132</v>
      </c>
      <c r="E5358" s="1" t="str">
        <f>IFERROR(__xludf.DUMMYFUNCTION("GOOGLETRANSLATE(D5358,""PT"",""EN"")"),"Great service")</f>
        <v>Great service</v>
      </c>
    </row>
    <row r="5359" ht="14.25" customHeight="1">
      <c r="A5359" s="1">
        <v>100.0</v>
      </c>
      <c r="B5359" s="1" t="s">
        <v>2412</v>
      </c>
      <c r="C5359" s="1">
        <v>10.0</v>
      </c>
      <c r="D5359" s="2" t="s">
        <v>2434</v>
      </c>
      <c r="E5359" s="1" t="str">
        <f>IFERROR(__xludf.DUMMYFUNCTION("GOOGLETRANSLATE(D5359,""PT"",""EN"")"),"Very attentive service team, is the bank itself very good.")</f>
        <v>Very attentive service team, is the bank itself very good.</v>
      </c>
    </row>
    <row r="5360" ht="14.25" customHeight="1">
      <c r="A5360" s="1">
        <v>100.0</v>
      </c>
      <c r="B5360" s="1" t="s">
        <v>2412</v>
      </c>
      <c r="C5360" s="1">
        <v>10.0</v>
      </c>
      <c r="D5360" s="1" t="s">
        <v>2435</v>
      </c>
      <c r="E5360" s="1" t="str">
        <f>IFERROR(__xludf.DUMMYFUNCTION("GOOGLETRANSLATE(D5360,""PT"",""EN"")"),"Super Indico")</f>
        <v>Super Indico</v>
      </c>
    </row>
    <row r="5361" ht="14.25" customHeight="1">
      <c r="A5361" s="1">
        <v>33.0</v>
      </c>
      <c r="B5361" s="1" t="s">
        <v>2412</v>
      </c>
      <c r="C5361" s="1">
        <v>5.0</v>
      </c>
      <c r="D5361" s="1" t="s">
        <v>6</v>
      </c>
      <c r="E5361" s="1"/>
    </row>
    <row r="5362" ht="14.25" customHeight="1">
      <c r="A5362" s="1">
        <v>100.0</v>
      </c>
      <c r="B5362" s="1" t="s">
        <v>2412</v>
      </c>
      <c r="C5362" s="1">
        <v>9.0</v>
      </c>
      <c r="D5362" s="1" t="s">
        <v>6</v>
      </c>
      <c r="E5362" s="1"/>
    </row>
    <row r="5363" ht="14.25" customHeight="1">
      <c r="A5363" s="1">
        <v>33.0</v>
      </c>
      <c r="B5363" s="1" t="s">
        <v>2412</v>
      </c>
      <c r="C5363" s="1">
        <v>2.0</v>
      </c>
      <c r="D5363" s="1" t="s">
        <v>6</v>
      </c>
      <c r="E5363" s="1"/>
    </row>
    <row r="5364" ht="14.25" customHeight="1">
      <c r="A5364" s="1">
        <v>66.0</v>
      </c>
      <c r="B5364" s="1" t="s">
        <v>2412</v>
      </c>
      <c r="C5364" s="1">
        <v>8.0</v>
      </c>
      <c r="D5364" s="1" t="s">
        <v>6</v>
      </c>
      <c r="E5364" s="1"/>
    </row>
    <row r="5365" ht="14.25" customHeight="1">
      <c r="A5365" s="1">
        <v>100.0</v>
      </c>
      <c r="B5365" s="1" t="s">
        <v>2412</v>
      </c>
      <c r="C5365" s="1">
        <v>10.0</v>
      </c>
      <c r="D5365" s="1" t="s">
        <v>6</v>
      </c>
      <c r="E5365" s="1"/>
    </row>
    <row r="5366" ht="14.25" customHeight="1">
      <c r="A5366" s="1">
        <v>100.0</v>
      </c>
      <c r="B5366" s="1" t="s">
        <v>2412</v>
      </c>
      <c r="C5366" s="1">
        <v>10.0</v>
      </c>
      <c r="D5366" s="1" t="s">
        <v>6</v>
      </c>
      <c r="E5366" s="1"/>
    </row>
    <row r="5367" ht="14.25" customHeight="1">
      <c r="A5367" s="1">
        <v>100.0</v>
      </c>
      <c r="B5367" s="1" t="s">
        <v>2412</v>
      </c>
      <c r="C5367" s="1">
        <v>10.0</v>
      </c>
      <c r="D5367" s="1" t="s">
        <v>2436</v>
      </c>
      <c r="E5367" s="1" t="str">
        <f>IFERROR(__xludf.DUMMYFUNCTION("GOOGLETRANSLATE(D5367,""PT"",""EN"")"),"For sure")</f>
        <v>For sure</v>
      </c>
    </row>
    <row r="5368" ht="14.25" customHeight="1">
      <c r="A5368" s="1">
        <v>33.0</v>
      </c>
      <c r="B5368" s="1" t="s">
        <v>2412</v>
      </c>
      <c r="C5368" s="1">
        <v>2.0</v>
      </c>
      <c r="D5368" s="2" t="s">
        <v>2437</v>
      </c>
      <c r="E5368" s="1" t="str">
        <f>IFERROR(__xludf.DUMMYFUNCTION("GOOGLETRANSLATE(D5368,""PT"",""EN"")"),"I made a request for a line of credit in my account legal entity is I was not answered under a ridiculous justification is without defense for credit area")</f>
        <v>I made a request for a line of credit in my account legal entity is I was not answered under a ridiculous justification is without defense for credit area</v>
      </c>
    </row>
    <row r="5369" ht="14.25" customHeight="1">
      <c r="A5369" s="1">
        <v>100.0</v>
      </c>
      <c r="B5369" s="1" t="s">
        <v>2412</v>
      </c>
      <c r="C5369" s="1">
        <v>10.0</v>
      </c>
      <c r="D5369" s="1" t="s">
        <v>2438</v>
      </c>
      <c r="E5369" s="1" t="str">
        <f>IFERROR(__xludf.DUMMYFUNCTION("GOOGLETRANSLATE(D5369,""PT"",""EN"")"),"Great service always")</f>
        <v>Great service always</v>
      </c>
    </row>
    <row r="5370" ht="14.25" customHeight="1">
      <c r="A5370" s="1">
        <v>66.0</v>
      </c>
      <c r="B5370" s="1" t="s">
        <v>2412</v>
      </c>
      <c r="C5370" s="1">
        <v>7.0</v>
      </c>
      <c r="D5370" s="2" t="s">
        <v>2439</v>
      </c>
      <c r="E5370" s="1" t="str">
        <f>IFERROR(__xludf.DUMMYFUNCTION("GOOGLETRANSLATE(D5370,""PT"",""EN"")"),"You should open more doors with opportunities for young people, especially on apprentice! It is also there should be more recognition, as this is missing a lot.")</f>
        <v>You should open more doors with opportunities for young people, especially on apprentice! It is also there should be more recognition, as this is missing a lot.</v>
      </c>
    </row>
    <row r="5371" ht="14.25" customHeight="1">
      <c r="A5371" s="1">
        <v>66.0</v>
      </c>
      <c r="B5371" s="1" t="s">
        <v>2412</v>
      </c>
      <c r="C5371" s="1">
        <v>7.0</v>
      </c>
      <c r="D5371" s="1" t="s">
        <v>6</v>
      </c>
      <c r="E5371" s="1"/>
    </row>
    <row r="5372" ht="14.25" customHeight="1">
      <c r="A5372" s="1">
        <v>100.0</v>
      </c>
      <c r="B5372" s="1" t="s">
        <v>2412</v>
      </c>
      <c r="C5372" s="1">
        <v>10.0</v>
      </c>
      <c r="D5372" s="1" t="s">
        <v>2440</v>
      </c>
      <c r="E5372" s="1" t="str">
        <f>IFERROR(__xludf.DUMMYFUNCTION("GOOGLETRANSLATE(D5372,""PT"",""EN"")"),"sorted out")</f>
        <v>sorted out</v>
      </c>
    </row>
    <row r="5373" ht="14.25" customHeight="1">
      <c r="A5373" s="1">
        <v>66.0</v>
      </c>
      <c r="B5373" s="1" t="s">
        <v>2412</v>
      </c>
      <c r="C5373" s="1">
        <v>8.0</v>
      </c>
      <c r="D5373" s="1" t="s">
        <v>6</v>
      </c>
      <c r="E5373" s="1"/>
    </row>
    <row r="5374" ht="14.25" customHeight="1">
      <c r="A5374" s="1">
        <v>33.0</v>
      </c>
      <c r="B5374" s="1" t="s">
        <v>2412</v>
      </c>
      <c r="C5374" s="1">
        <v>0.0</v>
      </c>
      <c r="D5374" s="1" t="s">
        <v>6</v>
      </c>
      <c r="E5374" s="1"/>
    </row>
    <row r="5375" ht="14.25" customHeight="1">
      <c r="A5375" s="1">
        <v>33.0</v>
      </c>
      <c r="B5375" s="1" t="s">
        <v>2412</v>
      </c>
      <c r="C5375" s="1">
        <v>3.0</v>
      </c>
      <c r="D5375" s="1" t="s">
        <v>6</v>
      </c>
      <c r="E5375" s="1"/>
    </row>
    <row r="5376" ht="14.25" customHeight="1">
      <c r="A5376" s="1">
        <v>33.0</v>
      </c>
      <c r="B5376" s="1" t="s">
        <v>2412</v>
      </c>
      <c r="C5376" s="1">
        <v>5.0</v>
      </c>
      <c r="D5376" s="2" t="s">
        <v>2441</v>
      </c>
      <c r="E5376" s="1" t="str">
        <f>IFERROR(__xludf.DUMMYFUNCTION("GOOGLETRANSLATE(D5376,""PT"",""EN"")"),"In general Sicoob is good, but when the issue is loans, it is very bureaucratic.")</f>
        <v>In general Sicoob is good, but when the issue is loans, it is very bureaucratic.</v>
      </c>
    </row>
    <row r="5377" ht="14.25" customHeight="1">
      <c r="A5377" s="1">
        <v>100.0</v>
      </c>
      <c r="B5377" s="1" t="s">
        <v>2412</v>
      </c>
      <c r="C5377" s="1">
        <v>10.0</v>
      </c>
      <c r="D5377" s="1" t="s">
        <v>2442</v>
      </c>
      <c r="E5377" s="1" t="str">
        <f>IFERROR(__xludf.DUMMYFUNCTION("GOOGLETRANSLATE(D5377,""PT"",""EN"")"),"Great relationship")</f>
        <v>Great relationship</v>
      </c>
    </row>
    <row r="5378" ht="14.25" customHeight="1">
      <c r="A5378" s="1">
        <v>33.0</v>
      </c>
      <c r="B5378" s="1" t="s">
        <v>2412</v>
      </c>
      <c r="C5378" s="1">
        <v>3.0</v>
      </c>
      <c r="D5378" s="1" t="s">
        <v>6</v>
      </c>
      <c r="E5378" s="1"/>
    </row>
    <row r="5379" ht="14.25" customHeight="1">
      <c r="A5379" s="1">
        <v>100.0</v>
      </c>
      <c r="B5379" s="1" t="s">
        <v>2412</v>
      </c>
      <c r="C5379" s="1">
        <v>10.0</v>
      </c>
      <c r="D5379" s="1" t="s">
        <v>6</v>
      </c>
      <c r="E5379" s="1"/>
    </row>
    <row r="5380" ht="14.25" customHeight="1">
      <c r="A5380" s="1">
        <v>33.0</v>
      </c>
      <c r="B5380" s="1" t="s">
        <v>2412</v>
      </c>
      <c r="C5380" s="1">
        <v>0.0</v>
      </c>
      <c r="D5380" s="2" t="s">
        <v>2443</v>
      </c>
      <c r="E5380" s="1" t="str">
        <f>IFERROR(__xludf.DUMMYFUNCTION("GOOGLETRANSLATE(D5380,""PT"",""EN"")"),"Does not respond to the customer")</f>
        <v>Does not respond to the customer</v>
      </c>
    </row>
    <row r="5381" ht="14.25" customHeight="1">
      <c r="A5381" s="1">
        <v>33.0</v>
      </c>
      <c r="B5381" s="1" t="s">
        <v>2412</v>
      </c>
      <c r="C5381" s="1">
        <v>5.0</v>
      </c>
      <c r="D5381" s="2" t="s">
        <v>2444</v>
      </c>
      <c r="E5381" s="1" t="str">
        <f>IFERROR(__xludf.DUMMYFUNCTION("GOOGLETRANSLATE(D5381,""PT"",""EN"")"),"I found the credit card access for example difficult, the application is complicated.")</f>
        <v>I found the credit card access for example difficult, the application is complicated.</v>
      </c>
    </row>
    <row r="5382" ht="14.25" customHeight="1">
      <c r="A5382" s="1">
        <v>33.0</v>
      </c>
      <c r="B5382" s="1" t="s">
        <v>2412</v>
      </c>
      <c r="C5382" s="1">
        <v>5.0</v>
      </c>
      <c r="D5382" s="2" t="s">
        <v>2445</v>
      </c>
      <c r="E5382" s="1" t="str">
        <f>IFERROR(__xludf.DUMMYFUNCTION("GOOGLETRANSLATE(D5382,""PT"",""EN"")"),"Improve service via electronic system is social network. Service via WhatsApp can not solve the problem, tempted a few more times, no longer fulfill the request, no longer responding.")</f>
        <v>Improve service via electronic system is social network. Service via WhatsApp can not solve the problem, tempted a few more times, no longer fulfill the request, no longer responding.</v>
      </c>
    </row>
    <row r="5383" ht="14.25" customHeight="1">
      <c r="A5383" s="1">
        <v>100.0</v>
      </c>
      <c r="B5383" s="1" t="s">
        <v>2412</v>
      </c>
      <c r="C5383" s="1">
        <v>10.0</v>
      </c>
      <c r="D5383" s="1" t="s">
        <v>2446</v>
      </c>
      <c r="E5383" s="1" t="str">
        <f>IFERROR(__xludf.DUMMYFUNCTION("GOOGLETRANSLATE(D5383,""PT"",""EN"")"),"Great performance of the institution.")</f>
        <v>Great performance of the institution.</v>
      </c>
    </row>
    <row r="5384" ht="14.25" customHeight="1">
      <c r="A5384" s="1">
        <v>33.0</v>
      </c>
      <c r="B5384" s="1" t="s">
        <v>2412</v>
      </c>
      <c r="C5384" s="1">
        <v>6.0</v>
      </c>
      <c r="D5384" s="1" t="s">
        <v>6</v>
      </c>
      <c r="E5384" s="1"/>
    </row>
    <row r="5385" ht="14.25" customHeight="1">
      <c r="A5385" s="1">
        <v>100.0</v>
      </c>
      <c r="B5385" s="1" t="s">
        <v>2412</v>
      </c>
      <c r="C5385" s="1">
        <v>10.0</v>
      </c>
      <c r="D5385" s="1" t="s">
        <v>2447</v>
      </c>
      <c r="E5385" s="1" t="str">
        <f>IFERROR(__xludf.DUMMYFUNCTION("GOOGLETRANSLATE(D5385,""PT"",""EN"")"),"Practical")</f>
        <v>Practical</v>
      </c>
    </row>
    <row r="5386" ht="14.25" customHeight="1">
      <c r="A5386" s="1">
        <v>100.0</v>
      </c>
      <c r="B5386" s="1" t="s">
        <v>2412</v>
      </c>
      <c r="C5386" s="1">
        <v>10.0</v>
      </c>
      <c r="D5386" s="2" t="s">
        <v>2448</v>
      </c>
      <c r="E5386" s="1" t="str">
        <f>IFERROR(__xludf.DUMMYFUNCTION("GOOGLETRANSLATE(D5386,""PT"",""EN"")"),"Fast and effective service. congratulations!!")</f>
        <v>Fast and effective service. congratulations!!</v>
      </c>
    </row>
    <row r="5387" ht="14.25" customHeight="1">
      <c r="A5387" s="1">
        <v>100.0</v>
      </c>
      <c r="B5387" s="1" t="s">
        <v>2412</v>
      </c>
      <c r="C5387" s="1">
        <v>9.0</v>
      </c>
      <c r="D5387" s="2" t="s">
        <v>2449</v>
      </c>
      <c r="E5387" s="1" t="str">
        <f>IFERROR(__xludf.DUMMYFUNCTION("GOOGLETRANSLATE(D5387,""PT"",""EN"")"),"Good service and attention of people")</f>
        <v>Good service and attention of people</v>
      </c>
    </row>
    <row r="5388" ht="14.25" customHeight="1">
      <c r="A5388" s="1">
        <v>100.0</v>
      </c>
      <c r="B5388" s="1" t="s">
        <v>2412</v>
      </c>
      <c r="C5388" s="1">
        <v>10.0</v>
      </c>
      <c r="D5388" s="1" t="s">
        <v>6</v>
      </c>
      <c r="E5388" s="1"/>
    </row>
    <row r="5389" ht="14.25" customHeight="1">
      <c r="A5389" s="1">
        <v>33.0</v>
      </c>
      <c r="B5389" s="1" t="s">
        <v>2412</v>
      </c>
      <c r="C5389" s="1">
        <v>1.0</v>
      </c>
      <c r="D5389" s="1" t="s">
        <v>6</v>
      </c>
      <c r="E5389" s="1"/>
    </row>
    <row r="5390" ht="14.25" customHeight="1">
      <c r="A5390" s="1">
        <v>100.0</v>
      </c>
      <c r="B5390" s="1" t="s">
        <v>2412</v>
      </c>
      <c r="C5390" s="1">
        <v>10.0</v>
      </c>
      <c r="D5390" s="1" t="s">
        <v>2450</v>
      </c>
      <c r="E5390" s="1" t="str">
        <f>IFERROR(__xludf.DUMMYFUNCTION("GOOGLETRANSLATE(D5390,""PT"",""EN"")"),"Sympathy")</f>
        <v>Sympathy</v>
      </c>
    </row>
    <row r="5391" ht="14.25" customHeight="1">
      <c r="A5391" s="1">
        <v>100.0</v>
      </c>
      <c r="B5391" s="1" t="s">
        <v>2412</v>
      </c>
      <c r="C5391" s="1">
        <v>9.0</v>
      </c>
      <c r="D5391" s="1" t="s">
        <v>505</v>
      </c>
      <c r="E5391" s="1" t="str">
        <f>IFERROR(__xludf.DUMMYFUNCTION("GOOGLETRANSLATE(D5391,""PT"",""EN"")"),"9")</f>
        <v>9</v>
      </c>
    </row>
    <row r="5392" ht="14.25" customHeight="1">
      <c r="A5392" s="1">
        <v>66.0</v>
      </c>
      <c r="B5392" s="1" t="s">
        <v>2412</v>
      </c>
      <c r="C5392" s="1">
        <v>8.0</v>
      </c>
      <c r="D5392" s="1" t="s">
        <v>388</v>
      </c>
      <c r="E5392" s="1" t="str">
        <f>IFERROR(__xludf.DUMMYFUNCTION("GOOGLETRANSLATE(D5392,""PT"",""EN"")"),"8")</f>
        <v>8</v>
      </c>
    </row>
    <row r="5393" ht="14.25" customHeight="1">
      <c r="A5393" s="1">
        <v>100.0</v>
      </c>
      <c r="B5393" s="1" t="s">
        <v>2412</v>
      </c>
      <c r="C5393" s="1">
        <v>10.0</v>
      </c>
      <c r="D5393" s="1" t="s">
        <v>2451</v>
      </c>
      <c r="E5393" s="1" t="str">
        <f>IFERROR(__xludf.DUMMYFUNCTION("GOOGLETRANSLATE(D5393,""PT"",""EN"")"),"Very good bank")</f>
        <v>Very good bank</v>
      </c>
    </row>
    <row r="5394" ht="14.25" customHeight="1">
      <c r="A5394" s="1">
        <v>33.0</v>
      </c>
      <c r="B5394" s="1" t="s">
        <v>2412</v>
      </c>
      <c r="C5394" s="1">
        <v>2.0</v>
      </c>
      <c r="D5394" s="1" t="s">
        <v>6</v>
      </c>
      <c r="E5394" s="1"/>
    </row>
    <row r="5395" ht="14.25" customHeight="1">
      <c r="A5395" s="1">
        <v>100.0</v>
      </c>
      <c r="B5395" s="1" t="s">
        <v>2412</v>
      </c>
      <c r="C5395" s="1">
        <v>10.0</v>
      </c>
      <c r="D5395" s="1" t="s">
        <v>6</v>
      </c>
      <c r="E5395" s="1"/>
    </row>
    <row r="5396" ht="14.25" customHeight="1">
      <c r="A5396" s="1">
        <v>66.0</v>
      </c>
      <c r="B5396" s="1" t="s">
        <v>2412</v>
      </c>
      <c r="C5396" s="1">
        <v>7.0</v>
      </c>
      <c r="D5396" s="1" t="s">
        <v>2452</v>
      </c>
      <c r="E5396" s="1" t="str">
        <f>IFERROR(__xludf.DUMMYFUNCTION("GOOGLETRANSLATE(D5396,""PT"",""EN"")"),"Lots of delay in answers")</f>
        <v>Lots of delay in answers</v>
      </c>
    </row>
    <row r="5397" ht="14.25" customHeight="1">
      <c r="A5397" s="1">
        <v>66.0</v>
      </c>
      <c r="B5397" s="1" t="s">
        <v>2412</v>
      </c>
      <c r="C5397" s="1">
        <v>7.0</v>
      </c>
      <c r="D5397" s="1" t="s">
        <v>6</v>
      </c>
      <c r="E5397" s="1"/>
    </row>
    <row r="5398" ht="14.25" customHeight="1">
      <c r="A5398" s="1">
        <v>100.0</v>
      </c>
      <c r="B5398" s="1" t="s">
        <v>2412</v>
      </c>
      <c r="C5398" s="1">
        <v>10.0</v>
      </c>
      <c r="D5398" s="1" t="s">
        <v>2453</v>
      </c>
      <c r="E5398" s="1" t="str">
        <f>IFERROR(__xludf.DUMMYFUNCTION("GOOGLETRANSLATE(D5398,""PT"",""EN"")"),"Very good in everything")</f>
        <v>Very good in everything</v>
      </c>
    </row>
    <row r="5399" ht="14.25" customHeight="1">
      <c r="A5399" s="1">
        <v>33.0</v>
      </c>
      <c r="B5399" s="1" t="s">
        <v>2412</v>
      </c>
      <c r="C5399" s="1">
        <v>0.0</v>
      </c>
      <c r="D5399" s="2" t="s">
        <v>2454</v>
      </c>
      <c r="E5399" s="1" t="str">
        <f>IFERROR(__xludf.DUMMYFUNCTION("GOOGLETRANSLATE(D5399,""PT"",""EN"")"),"Are not accessible for negotiation.")</f>
        <v>Are not accessible for negotiation.</v>
      </c>
    </row>
    <row r="5400" ht="14.25" customHeight="1">
      <c r="A5400" s="1">
        <v>66.0</v>
      </c>
      <c r="B5400" s="1" t="s">
        <v>2412</v>
      </c>
      <c r="C5400" s="1">
        <v>8.0</v>
      </c>
      <c r="D5400" s="1" t="s">
        <v>803</v>
      </c>
      <c r="E5400" s="1" t="str">
        <f>IFERROR(__xludf.DUMMYFUNCTION("GOOGLETRANSLATE(D5400,""PT"",""EN"")"),"Good")</f>
        <v>Good</v>
      </c>
    </row>
    <row r="5401" ht="14.25" customHeight="1">
      <c r="A5401" s="1">
        <v>33.0</v>
      </c>
      <c r="B5401" s="1" t="s">
        <v>2412</v>
      </c>
      <c r="C5401" s="1">
        <v>6.0</v>
      </c>
      <c r="D5401" s="1" t="s">
        <v>2455</v>
      </c>
      <c r="E5401" s="1" t="str">
        <f>IFERROR(__xludf.DUMMYFUNCTION("GOOGLETRANSLATE(D5401,""PT"",""EN"")"),"Because when there is a problem, it is only possible to solve it in the cooperative itself, like password exchange.")</f>
        <v>Because when there is a problem, it is only possible to solve it in the cooperative itself, like password exchange.</v>
      </c>
    </row>
    <row r="5402" ht="14.25" customHeight="1">
      <c r="A5402" s="1">
        <v>66.0</v>
      </c>
      <c r="B5402" s="1" t="s">
        <v>2412</v>
      </c>
      <c r="C5402" s="1">
        <v>8.0</v>
      </c>
      <c r="D5402" s="1" t="s">
        <v>6</v>
      </c>
      <c r="E5402" s="1"/>
    </row>
    <row r="5403" ht="14.25" customHeight="1">
      <c r="A5403" s="1">
        <v>100.0</v>
      </c>
      <c r="B5403" s="1" t="s">
        <v>2412</v>
      </c>
      <c r="C5403" s="1">
        <v>10.0</v>
      </c>
      <c r="D5403" s="1" t="s">
        <v>2456</v>
      </c>
      <c r="E5403" s="1" t="str">
        <f>IFERROR(__xludf.DUMMYFUNCTION("GOOGLETRANSLATE(D5403,""PT"",""EN"")"),"For being a space of collective construction.")</f>
        <v>For being a space of collective construction.</v>
      </c>
    </row>
    <row r="5404" ht="14.25" customHeight="1">
      <c r="A5404" s="1">
        <v>100.0</v>
      </c>
      <c r="B5404" s="1" t="s">
        <v>2412</v>
      </c>
      <c r="C5404" s="1">
        <v>10.0</v>
      </c>
      <c r="D5404" s="1" t="s">
        <v>2457</v>
      </c>
      <c r="E5404" s="1" t="str">
        <f>IFERROR(__xludf.DUMMYFUNCTION("GOOGLETRANSLATE(D5404,""PT"",""EN"")"),"Special service.")</f>
        <v>Special service.</v>
      </c>
    </row>
    <row r="5405" ht="14.25" customHeight="1">
      <c r="A5405" s="1">
        <v>66.0</v>
      </c>
      <c r="B5405" s="1" t="s">
        <v>2412</v>
      </c>
      <c r="C5405" s="1">
        <v>8.0</v>
      </c>
      <c r="D5405" s="1" t="s">
        <v>62</v>
      </c>
      <c r="E5405" s="1" t="str">
        <f>IFERROR(__xludf.DUMMYFUNCTION("GOOGLETRANSLATE(D5405,""PT"",""EN"")"),"Good service")</f>
        <v>Good service</v>
      </c>
    </row>
    <row r="5406" ht="14.25" customHeight="1">
      <c r="A5406" s="1">
        <v>33.0</v>
      </c>
      <c r="B5406" s="1" t="s">
        <v>2412</v>
      </c>
      <c r="C5406" s="1">
        <v>0.0</v>
      </c>
      <c r="D5406" s="1" t="s">
        <v>6</v>
      </c>
      <c r="E5406" s="1"/>
    </row>
    <row r="5407" ht="14.25" customHeight="1">
      <c r="A5407" s="1">
        <v>100.0</v>
      </c>
      <c r="B5407" s="1" t="s">
        <v>2412</v>
      </c>
      <c r="C5407" s="1">
        <v>10.0</v>
      </c>
      <c r="D5407" s="2" t="s">
        <v>2458</v>
      </c>
      <c r="E5407" s="1" t="str">
        <f>IFERROR(__xludf.DUMMYFUNCTION("GOOGLETRANSLATE(D5407,""PT"",""EN"")"),"Practicality and security")</f>
        <v>Practicality and security</v>
      </c>
    </row>
    <row r="5408" ht="14.25" customHeight="1">
      <c r="A5408" s="1">
        <v>33.0</v>
      </c>
      <c r="B5408" s="1" t="s">
        <v>2412</v>
      </c>
      <c r="C5408" s="1">
        <v>6.0</v>
      </c>
      <c r="D5408" s="1" t="s">
        <v>6</v>
      </c>
      <c r="E5408" s="1"/>
    </row>
    <row r="5409" ht="14.25" customHeight="1">
      <c r="A5409" s="1">
        <v>100.0</v>
      </c>
      <c r="B5409" s="1" t="s">
        <v>2412</v>
      </c>
      <c r="C5409" s="1">
        <v>9.0</v>
      </c>
      <c r="D5409" s="1" t="s">
        <v>6</v>
      </c>
      <c r="E5409" s="1"/>
    </row>
    <row r="5410" ht="14.25" customHeight="1">
      <c r="A5410" s="1">
        <v>100.0</v>
      </c>
      <c r="B5410" s="1" t="s">
        <v>2412</v>
      </c>
      <c r="C5410" s="1">
        <v>10.0</v>
      </c>
      <c r="D5410" s="1" t="s">
        <v>6</v>
      </c>
      <c r="E5410" s="1"/>
    </row>
    <row r="5411" ht="14.25" customHeight="1">
      <c r="A5411" s="1">
        <v>100.0</v>
      </c>
      <c r="B5411" s="1" t="s">
        <v>2412</v>
      </c>
      <c r="C5411" s="1">
        <v>9.0</v>
      </c>
      <c r="D5411" s="1" t="s">
        <v>6</v>
      </c>
      <c r="E5411" s="1"/>
    </row>
    <row r="5412" ht="14.25" customHeight="1">
      <c r="A5412" s="1">
        <v>100.0</v>
      </c>
      <c r="B5412" s="1" t="s">
        <v>2412</v>
      </c>
      <c r="C5412" s="1">
        <v>10.0</v>
      </c>
      <c r="D5412" s="2" t="s">
        <v>2459</v>
      </c>
      <c r="E5412" s="1" t="str">
        <f>IFERROR(__xludf.DUMMYFUNCTION("GOOGLETRANSLATE(D5412,""PT"",""EN"")"),"The app is very good, very objective is because Sicoob is more than a bank :)")</f>
        <v>The app is very good, very objective is because Sicoob is more than a bank :)</v>
      </c>
    </row>
    <row r="5413" ht="14.25" customHeight="1">
      <c r="A5413" s="1">
        <v>33.0</v>
      </c>
      <c r="B5413" s="1" t="s">
        <v>2412</v>
      </c>
      <c r="C5413" s="1">
        <v>0.0</v>
      </c>
      <c r="D5413" s="2" t="s">
        <v>2460</v>
      </c>
      <c r="E5413" s="1" t="str">
        <f>IFERROR(__xludf.DUMMYFUNCTION("GOOGLETRANSLATE(D5413,""PT"",""EN"")"),"To this day I have not received the 20 I deposited in the quota, it is look that I have canceled the account for months. Imagine if you had applied money to this bank?")</f>
        <v>To this day I have not received the 20 I deposited in the quota, it is look that I have canceled the account for months. Imagine if you had applied money to this bank?</v>
      </c>
    </row>
    <row r="5414" ht="14.25" customHeight="1">
      <c r="A5414" s="1">
        <v>33.0</v>
      </c>
      <c r="B5414" s="1" t="s">
        <v>2412</v>
      </c>
      <c r="C5414" s="1">
        <v>0.0</v>
      </c>
      <c r="D5414" s="2" t="s">
        <v>2461</v>
      </c>
      <c r="E5414" s="1" t="str">
        <f>IFERROR(__xludf.DUMMYFUNCTION("GOOGLETRANSLATE(D5414,""PT"",""EN"")"),"Dissatisfaction with the bank and branch in its customer service")</f>
        <v>Dissatisfaction with the bank and branch in its customer service</v>
      </c>
    </row>
    <row r="5415" ht="14.25" customHeight="1">
      <c r="A5415" s="1">
        <v>100.0</v>
      </c>
      <c r="B5415" s="1" t="s">
        <v>2412</v>
      </c>
      <c r="C5415" s="1">
        <v>10.0</v>
      </c>
      <c r="D5415" s="2" t="s">
        <v>2462</v>
      </c>
      <c r="E5415" s="1" t="str">
        <f>IFERROR(__xludf.DUMMYFUNCTION("GOOGLETRANSLATE(D5415,""PT"",""EN"")"),"It is a cooperative, where you are treated as a person is not as any number.")</f>
        <v>It is a cooperative, where you are treated as a person is not as any number.</v>
      </c>
    </row>
    <row r="5416" ht="14.25" customHeight="1">
      <c r="A5416" s="1">
        <v>100.0</v>
      </c>
      <c r="B5416" s="1" t="s">
        <v>2412</v>
      </c>
      <c r="C5416" s="1">
        <v>10.0</v>
      </c>
      <c r="D5416" s="1" t="s">
        <v>6</v>
      </c>
      <c r="E5416" s="1"/>
    </row>
    <row r="5417" ht="14.25" customHeight="1">
      <c r="A5417" s="1">
        <v>100.0</v>
      </c>
      <c r="B5417" s="1" t="s">
        <v>2412</v>
      </c>
      <c r="C5417" s="1">
        <v>10.0</v>
      </c>
      <c r="D5417" s="1" t="s">
        <v>6</v>
      </c>
      <c r="E5417" s="1"/>
    </row>
    <row r="5418" ht="14.25" customHeight="1">
      <c r="A5418" s="1">
        <v>100.0</v>
      </c>
      <c r="B5418" s="1" t="s">
        <v>2412</v>
      </c>
      <c r="C5418" s="1">
        <v>10.0</v>
      </c>
      <c r="D5418" s="1" t="s">
        <v>6</v>
      </c>
      <c r="E5418" s="1"/>
    </row>
    <row r="5419" ht="14.25" customHeight="1">
      <c r="A5419" s="1">
        <v>33.0</v>
      </c>
      <c r="B5419" s="1" t="s">
        <v>2412</v>
      </c>
      <c r="C5419" s="1">
        <v>0.0</v>
      </c>
      <c r="D5419" s="2" t="s">
        <v>2463</v>
      </c>
      <c r="E5419" s="1" t="str">
        <f>IFERROR(__xludf.DUMMYFUNCTION("GOOGLETRANSLATE(D5419,""PT"",""EN"")"),"Sicoob does not help those who need it, because every time I needed my credit were denied, I am very dissatisfied, because I regretted opening the account")</f>
        <v>Sicoob does not help those who need it, because every time I needed my credit were denied, I am very dissatisfied, because I regretted opening the account</v>
      </c>
    </row>
    <row r="5420" ht="14.25" customHeight="1">
      <c r="A5420" s="1">
        <v>100.0</v>
      </c>
      <c r="B5420" s="1" t="s">
        <v>2412</v>
      </c>
      <c r="C5420" s="1">
        <v>10.0</v>
      </c>
      <c r="D5420" s="1" t="s">
        <v>6</v>
      </c>
      <c r="E5420" s="1"/>
    </row>
    <row r="5421" ht="14.25" customHeight="1">
      <c r="A5421" s="1">
        <v>33.0</v>
      </c>
      <c r="B5421" s="1" t="s">
        <v>2412</v>
      </c>
      <c r="C5421" s="1">
        <v>5.0</v>
      </c>
      <c r="D5421" s="2" t="s">
        <v>2464</v>
      </c>
      <c r="E5421" s="1" t="str">
        <f>IFERROR(__xludf.DUMMYFUNCTION("GOOGLETRANSLATE(D5421,""PT"",""EN"")"),"has greatly improve")</f>
        <v>has greatly improve</v>
      </c>
    </row>
    <row r="5422" ht="14.25" customHeight="1">
      <c r="A5422" s="1">
        <v>100.0</v>
      </c>
      <c r="B5422" s="1" t="s">
        <v>2412</v>
      </c>
      <c r="C5422" s="1">
        <v>10.0</v>
      </c>
      <c r="D5422" s="1" t="s">
        <v>6</v>
      </c>
      <c r="E5422" s="1"/>
    </row>
    <row r="5423" ht="14.25" customHeight="1">
      <c r="A5423" s="1">
        <v>66.0</v>
      </c>
      <c r="B5423" s="1" t="s">
        <v>2412</v>
      </c>
      <c r="C5423" s="1">
        <v>7.0</v>
      </c>
      <c r="D5423" s="2" t="s">
        <v>2465</v>
      </c>
      <c r="E5423" s="1" t="str">
        <f>IFERROR(__xludf.DUMMYFUNCTION("GOOGLETRANSLATE(D5423,""PT"",""EN"")"),"So far, the best banking institution for my experience. But it leaves something to be desired at meetings, certain arguments from the associates the institution does not respond. Leaving an appearance that the high echelon does not do the professional ser"&amp;"vice.")</f>
        <v>So far, the best banking institution for my experience. But it leaves something to be desired at meetings, certain arguments from the associates the institution does not respond. Leaving an appearance that the high echelon does not do the professional service.</v>
      </c>
    </row>
    <row r="5424" ht="14.25" customHeight="1">
      <c r="A5424" s="1">
        <v>100.0</v>
      </c>
      <c r="B5424" s="1" t="s">
        <v>2412</v>
      </c>
      <c r="C5424" s="1">
        <v>10.0</v>
      </c>
      <c r="D5424" s="1" t="s">
        <v>6</v>
      </c>
      <c r="E5424" s="1"/>
    </row>
    <row r="5425" ht="14.25" customHeight="1">
      <c r="A5425" s="1">
        <v>33.0</v>
      </c>
      <c r="B5425" s="1" t="s">
        <v>2412</v>
      </c>
      <c r="C5425" s="1">
        <v>1.0</v>
      </c>
      <c r="D5425" s="1" t="s">
        <v>6</v>
      </c>
      <c r="E5425" s="1"/>
    </row>
    <row r="5426" ht="14.25" customHeight="1">
      <c r="A5426" s="1">
        <v>33.0</v>
      </c>
      <c r="B5426" s="1" t="s">
        <v>2412</v>
      </c>
      <c r="C5426" s="1">
        <v>0.0</v>
      </c>
      <c r="D5426" s="2" t="s">
        <v>2466</v>
      </c>
      <c r="E5426" s="1" t="str">
        <f>IFERROR(__xludf.DUMMYFUNCTION("GOOGLETRANSLATE(D5426,""PT"",""EN"")"),"Very bureaucratic without automation all very manual is not taking into account bank movements or within the cooperative itself is neither of other banks. Too difficult to work horrible experience. Only one caveat the employees are great care of them perf"&amp;"ect but they have numerous limitations.")</f>
        <v>Very bureaucratic without automation all very manual is not taking into account bank movements or within the cooperative itself is neither of other banks. Too difficult to work horrible experience. Only one caveat the employees are great care of them perfect but they have numerous limitations.</v>
      </c>
    </row>
    <row r="5427" ht="14.25" customHeight="1">
      <c r="A5427" s="1">
        <v>33.0</v>
      </c>
      <c r="B5427" s="1" t="s">
        <v>2412</v>
      </c>
      <c r="C5427" s="1">
        <v>3.0</v>
      </c>
      <c r="D5427" s="2" t="s">
        <v>2467</v>
      </c>
      <c r="E5427" s="1" t="str">
        <f>IFERROR(__xludf.DUMMYFUNCTION("GOOGLETRANSLATE(D5427,""PT"",""EN"")"),"No opportunities for the entrepreneur. Financing line. Credit card. Credit limit. All very complicated!")</f>
        <v>No opportunities for the entrepreneur. Financing line. Credit card. Credit limit. All very complicated!</v>
      </c>
    </row>
    <row r="5428" ht="14.25" customHeight="1">
      <c r="A5428" s="1">
        <v>100.0</v>
      </c>
      <c r="B5428" s="1" t="s">
        <v>2412</v>
      </c>
      <c r="C5428" s="1">
        <v>10.0</v>
      </c>
      <c r="D5428" s="1" t="s">
        <v>6</v>
      </c>
      <c r="E5428" s="1"/>
    </row>
    <row r="5429" ht="14.25" customHeight="1">
      <c r="A5429" s="1">
        <v>100.0</v>
      </c>
      <c r="B5429" s="1" t="s">
        <v>2412</v>
      </c>
      <c r="C5429" s="1">
        <v>10.0</v>
      </c>
      <c r="D5429" s="1" t="s">
        <v>6</v>
      </c>
      <c r="E5429" s="1"/>
    </row>
    <row r="5430" ht="14.25" customHeight="1">
      <c r="A5430" s="1">
        <v>100.0</v>
      </c>
      <c r="B5430" s="1" t="s">
        <v>2412</v>
      </c>
      <c r="C5430" s="1">
        <v>10.0</v>
      </c>
      <c r="D5430" s="2" t="s">
        <v>2468</v>
      </c>
      <c r="E5430" s="1" t="str">
        <f>IFERROR(__xludf.DUMMYFUNCTION("GOOGLETRANSLATE(D5430,""PT"",""EN"")"),"Practicality about everything that refers to Sicoob, app very easy is dynamic")</f>
        <v>Practicality about everything that refers to Sicoob, app very easy is dynamic</v>
      </c>
    </row>
    <row r="5431" ht="14.25" customHeight="1">
      <c r="A5431" s="1">
        <v>100.0</v>
      </c>
      <c r="B5431" s="1" t="s">
        <v>2412</v>
      </c>
      <c r="C5431" s="1">
        <v>10.0</v>
      </c>
      <c r="D5431" s="1" t="s">
        <v>6</v>
      </c>
      <c r="E5431" s="1"/>
    </row>
    <row r="5432" ht="14.25" customHeight="1">
      <c r="A5432" s="1">
        <v>33.0</v>
      </c>
      <c r="B5432" s="1" t="s">
        <v>2412</v>
      </c>
      <c r="C5432" s="1">
        <v>0.0</v>
      </c>
      <c r="D5432" s="1" t="s">
        <v>2469</v>
      </c>
      <c r="E5432" s="1" t="str">
        <f>IFERROR(__xludf.DUMMYFUNCTION("GOOGLETRANSLATE(D5432,""PT"",""EN"")"),"Dissatisfaction")</f>
        <v>Dissatisfaction</v>
      </c>
    </row>
    <row r="5433" ht="14.25" customHeight="1">
      <c r="A5433" s="1">
        <v>100.0</v>
      </c>
      <c r="B5433" s="1" t="s">
        <v>2412</v>
      </c>
      <c r="C5433" s="1">
        <v>10.0</v>
      </c>
      <c r="D5433" s="1" t="s">
        <v>783</v>
      </c>
      <c r="E5433" s="1" t="str">
        <f>IFERROR(__xludf.DUMMYFUNCTION("GOOGLETRANSLATE(D5433,""PT"",""EN"")"),"Excellent cooperative")</f>
        <v>Excellent cooperative</v>
      </c>
    </row>
    <row r="5434" ht="14.25" customHeight="1">
      <c r="A5434" s="1">
        <v>33.0</v>
      </c>
      <c r="B5434" s="1" t="s">
        <v>2412</v>
      </c>
      <c r="C5434" s="1">
        <v>5.0</v>
      </c>
      <c r="D5434" s="1" t="s">
        <v>6</v>
      </c>
      <c r="E5434" s="1"/>
    </row>
    <row r="5435" ht="14.25" customHeight="1">
      <c r="A5435" s="1">
        <v>100.0</v>
      </c>
      <c r="B5435" s="1" t="s">
        <v>2412</v>
      </c>
      <c r="C5435" s="1">
        <v>10.0</v>
      </c>
      <c r="D5435" s="1" t="s">
        <v>2470</v>
      </c>
      <c r="E5435" s="1" t="str">
        <f>IFERROR(__xludf.DUMMYFUNCTION("GOOGLETRANSLATE(D5435,""PT"",""EN"")"),"BANK Great Low interest !!!")</f>
        <v>BANK Great Low interest !!!</v>
      </c>
    </row>
    <row r="5436" ht="14.25" customHeight="1">
      <c r="A5436" s="1">
        <v>100.0</v>
      </c>
      <c r="B5436" s="1" t="s">
        <v>2412</v>
      </c>
      <c r="C5436" s="1">
        <v>9.0</v>
      </c>
      <c r="D5436" s="1" t="s">
        <v>6</v>
      </c>
      <c r="E5436" s="1"/>
    </row>
    <row r="5437" ht="14.25" customHeight="1">
      <c r="A5437" s="1">
        <v>100.0</v>
      </c>
      <c r="B5437" s="1" t="s">
        <v>2412</v>
      </c>
      <c r="C5437" s="1">
        <v>10.0</v>
      </c>
      <c r="D5437" s="2" t="s">
        <v>2471</v>
      </c>
      <c r="E5437" s="1" t="str">
        <f>IFERROR(__xludf.DUMMYFUNCTION("GOOGLETRANSLATE(D5437,""PT"",""EN"")"),"Confidence in the company. Ease of access to products. Clear and objective explanations")</f>
        <v>Confidence in the company. Ease of access to products. Clear and objective explanations</v>
      </c>
    </row>
    <row r="5438" ht="14.25" customHeight="1">
      <c r="A5438" s="1">
        <v>100.0</v>
      </c>
      <c r="B5438" s="1" t="s">
        <v>2412</v>
      </c>
      <c r="C5438" s="1">
        <v>10.0</v>
      </c>
      <c r="D5438" s="1" t="s">
        <v>2472</v>
      </c>
      <c r="E5438" s="1" t="str">
        <f>IFERROR(__xludf.DUMMYFUNCTION("GOOGLETRANSLATE(D5438,""PT"",""EN"")"),"I am always very well attended!")</f>
        <v>I am always very well attended!</v>
      </c>
    </row>
    <row r="5439" ht="14.25" customHeight="1">
      <c r="A5439" s="1">
        <v>100.0</v>
      </c>
      <c r="B5439" s="1" t="s">
        <v>2412</v>
      </c>
      <c r="C5439" s="1">
        <v>10.0</v>
      </c>
      <c r="D5439" s="1" t="s">
        <v>6</v>
      </c>
      <c r="E5439" s="1"/>
    </row>
    <row r="5440" ht="14.25" customHeight="1">
      <c r="A5440" s="1">
        <v>100.0</v>
      </c>
      <c r="B5440" s="1" t="s">
        <v>2412</v>
      </c>
      <c r="C5440" s="1">
        <v>10.0</v>
      </c>
      <c r="D5440" s="1" t="s">
        <v>6</v>
      </c>
      <c r="E5440" s="1"/>
    </row>
    <row r="5441" ht="14.25" customHeight="1">
      <c r="A5441" s="1">
        <v>100.0</v>
      </c>
      <c r="B5441" s="1" t="s">
        <v>2412</v>
      </c>
      <c r="C5441" s="1">
        <v>10.0</v>
      </c>
      <c r="D5441" s="1" t="s">
        <v>6</v>
      </c>
      <c r="E5441" s="1"/>
    </row>
    <row r="5442" ht="14.25" customHeight="1">
      <c r="A5442" s="1">
        <v>100.0</v>
      </c>
      <c r="B5442" s="1" t="s">
        <v>2412</v>
      </c>
      <c r="C5442" s="1">
        <v>10.0</v>
      </c>
      <c r="D5442" s="1" t="s">
        <v>6</v>
      </c>
      <c r="E5442" s="1"/>
    </row>
    <row r="5443" ht="14.25" customHeight="1">
      <c r="A5443" s="1">
        <v>33.0</v>
      </c>
      <c r="B5443" s="1" t="s">
        <v>2412</v>
      </c>
      <c r="C5443" s="1">
        <v>5.0</v>
      </c>
      <c r="D5443" s="1" t="s">
        <v>6</v>
      </c>
      <c r="E5443" s="1"/>
    </row>
    <row r="5444" ht="14.25" customHeight="1">
      <c r="A5444" s="1">
        <v>100.0</v>
      </c>
      <c r="B5444" s="1" t="s">
        <v>2412</v>
      </c>
      <c r="C5444" s="1">
        <v>9.0</v>
      </c>
      <c r="D5444" s="1" t="s">
        <v>6</v>
      </c>
      <c r="E5444" s="1"/>
    </row>
    <row r="5445" ht="14.25" customHeight="1">
      <c r="A5445" s="1">
        <v>100.0</v>
      </c>
      <c r="B5445" s="1" t="s">
        <v>2412</v>
      </c>
      <c r="C5445" s="1">
        <v>10.0</v>
      </c>
      <c r="D5445" s="2" t="s">
        <v>2473</v>
      </c>
      <c r="E5445" s="1" t="str">
        <f>IFERROR(__xludf.DUMMYFUNCTION("GOOGLETRANSLATE(D5445,""PT"",""EN"")"),"So far everything I needed I was super well attended by my manager and team without any difficulty that continues so thanks")</f>
        <v>So far everything I needed I was super well attended by my manager and team without any difficulty that continues so thanks</v>
      </c>
    </row>
    <row r="5446" ht="14.25" customHeight="1">
      <c r="A5446" s="1">
        <v>100.0</v>
      </c>
      <c r="B5446" s="1" t="s">
        <v>2412</v>
      </c>
      <c r="C5446" s="1">
        <v>10.0</v>
      </c>
      <c r="D5446" s="2" t="s">
        <v>2474</v>
      </c>
      <c r="E5446" s="1" t="str">
        <f>IFERROR(__xludf.DUMMYFUNCTION("GOOGLETRANSLATE(D5446,""PT"",""EN"")"),"benefits")</f>
        <v>benefits</v>
      </c>
    </row>
    <row r="5447" ht="14.25" customHeight="1">
      <c r="A5447" s="1">
        <v>33.0</v>
      </c>
      <c r="B5447" s="1" t="s">
        <v>2412</v>
      </c>
      <c r="C5447" s="1">
        <v>1.0</v>
      </c>
      <c r="D5447" s="2" t="s">
        <v>2475</v>
      </c>
      <c r="E5447" s="1" t="str">
        <f>IFERROR(__xludf.DUMMYFUNCTION("GOOGLETRANSLATE(D5447,""PT"",""EN"")"),"I am not satisfied with the bank I will cancel the 2 account I have.")</f>
        <v>I am not satisfied with the bank I will cancel the 2 account I have.</v>
      </c>
    </row>
    <row r="5448" ht="14.25" customHeight="1">
      <c r="A5448" s="1">
        <v>100.0</v>
      </c>
      <c r="B5448" s="1" t="s">
        <v>2412</v>
      </c>
      <c r="C5448" s="1">
        <v>10.0</v>
      </c>
      <c r="D5448" s="1" t="s">
        <v>6</v>
      </c>
      <c r="E5448" s="1"/>
    </row>
    <row r="5449" ht="14.25" customHeight="1">
      <c r="A5449" s="1">
        <v>100.0</v>
      </c>
      <c r="B5449" s="1" t="s">
        <v>2412</v>
      </c>
      <c r="C5449" s="1">
        <v>10.0</v>
      </c>
      <c r="D5449" s="1" t="s">
        <v>9</v>
      </c>
      <c r="E5449" s="1" t="str">
        <f>IFERROR(__xludf.DUMMYFUNCTION("GOOGLETRANSLATE(D5449,""PT"",""EN"")"),"10")</f>
        <v>10</v>
      </c>
    </row>
    <row r="5450" ht="14.25" customHeight="1">
      <c r="A5450" s="1">
        <v>33.0</v>
      </c>
      <c r="B5450" s="1" t="s">
        <v>2412</v>
      </c>
      <c r="C5450" s="1">
        <v>0.0</v>
      </c>
      <c r="D5450" s="2" t="s">
        <v>2476</v>
      </c>
      <c r="E5450" s="1" t="str">
        <f>IFERROR(__xludf.DUMMYFUNCTION("GOOGLETRANSLATE(D5450,""PT"",""EN"")"),"Pesse the service, I requested a credit analysis, never answered me is even the card sent me. No one doesn't even care to support a shame.")</f>
        <v>Pesse the service, I requested a credit analysis, never answered me is even the card sent me. No one doesn't even care to support a shame.</v>
      </c>
    </row>
    <row r="5451" ht="14.25" customHeight="1">
      <c r="A5451" s="1">
        <v>100.0</v>
      </c>
      <c r="B5451" s="1" t="s">
        <v>2412</v>
      </c>
      <c r="C5451" s="1">
        <v>10.0</v>
      </c>
      <c r="D5451" s="1" t="s">
        <v>2477</v>
      </c>
      <c r="E5451" s="1" t="str">
        <f>IFERROR(__xludf.DUMMYFUNCTION("GOOGLETRANSLATE(D5451,""PT"",""EN"")"),"Excellent job")</f>
        <v>Excellent job</v>
      </c>
    </row>
    <row r="5452" ht="14.25" customHeight="1">
      <c r="A5452" s="1">
        <v>100.0</v>
      </c>
      <c r="B5452" s="1" t="s">
        <v>2412</v>
      </c>
      <c r="C5452" s="1">
        <v>10.0</v>
      </c>
      <c r="D5452" s="1" t="s">
        <v>6</v>
      </c>
      <c r="E5452" s="1"/>
    </row>
    <row r="5453" ht="14.25" customHeight="1">
      <c r="A5453" s="1">
        <v>33.0</v>
      </c>
      <c r="B5453" s="1" t="s">
        <v>2412</v>
      </c>
      <c r="C5453" s="1">
        <v>3.0</v>
      </c>
      <c r="D5453" s="2" t="s">
        <v>2478</v>
      </c>
      <c r="E5453" s="1" t="str">
        <f>IFERROR(__xludf.DUMMYFUNCTION("GOOGLETRANSLATE(D5453,""PT"",""EN"")"),"It is very bad service on the phone is malou difficulty has no credit when it has to just be missing the heart")</f>
        <v>It is very bad service on the phone is malou difficulty has no credit when it has to just be missing the heart</v>
      </c>
    </row>
    <row r="5454" ht="14.25" customHeight="1">
      <c r="A5454" s="1">
        <v>33.0</v>
      </c>
      <c r="B5454" s="1" t="s">
        <v>2412</v>
      </c>
      <c r="C5454" s="1">
        <v>3.0</v>
      </c>
      <c r="D5454" s="2" t="s">
        <v>2479</v>
      </c>
      <c r="E5454" s="1" t="str">
        <f>IFERROR(__xludf.DUMMYFUNCTION("GOOGLETRANSLATE(D5454,""PT"",""EN"")"),"Hard access. It's you lose money")</f>
        <v>Hard access. It's you lose money</v>
      </c>
    </row>
    <row r="5455" ht="14.25" customHeight="1">
      <c r="A5455" s="1">
        <v>100.0</v>
      </c>
      <c r="B5455" s="1" t="s">
        <v>2412</v>
      </c>
      <c r="C5455" s="1">
        <v>10.0</v>
      </c>
      <c r="D5455" s="2" t="s">
        <v>2480</v>
      </c>
      <c r="E5455" s="1" t="str">
        <f>IFERROR(__xludf.DUMMYFUNCTION("GOOGLETRANSLATE(D5455,""PT"",""EN"")"),"It's a great good service bank.")</f>
        <v>It's a great good service bank.</v>
      </c>
    </row>
    <row r="5456" ht="14.25" customHeight="1">
      <c r="A5456" s="1">
        <v>100.0</v>
      </c>
      <c r="B5456" s="1" t="s">
        <v>2412</v>
      </c>
      <c r="C5456" s="1">
        <v>10.0</v>
      </c>
      <c r="D5456" s="1" t="s">
        <v>9</v>
      </c>
      <c r="E5456" s="1" t="str">
        <f>IFERROR(__xludf.DUMMYFUNCTION("GOOGLETRANSLATE(D5456,""PT"",""EN"")"),"10")</f>
        <v>10</v>
      </c>
    </row>
    <row r="5457" ht="14.25" customHeight="1">
      <c r="A5457" s="1">
        <v>100.0</v>
      </c>
      <c r="B5457" s="1" t="s">
        <v>2412</v>
      </c>
      <c r="C5457" s="1">
        <v>10.0</v>
      </c>
      <c r="D5457" s="1" t="s">
        <v>6</v>
      </c>
      <c r="E5457" s="1"/>
    </row>
    <row r="5458" ht="14.25" customHeight="1">
      <c r="A5458" s="1">
        <v>33.0</v>
      </c>
      <c r="B5458" s="1" t="s">
        <v>2412</v>
      </c>
      <c r="C5458" s="1">
        <v>5.0</v>
      </c>
      <c r="D5458" s="1" t="s">
        <v>2481</v>
      </c>
      <c r="E5458" s="1" t="str">
        <f>IFERROR(__xludf.DUMMYFUNCTION("GOOGLETRANSLATE(D5458,""PT"",""EN"")"),"Little money for customers.")</f>
        <v>Little money for customers.</v>
      </c>
    </row>
    <row r="5459" ht="14.25" customHeight="1">
      <c r="A5459" s="1">
        <v>66.0</v>
      </c>
      <c r="B5459" s="1" t="s">
        <v>2412</v>
      </c>
      <c r="C5459" s="1">
        <v>7.0</v>
      </c>
      <c r="D5459" s="2" t="s">
        <v>2482</v>
      </c>
      <c r="E5459" s="1" t="str">
        <f>IFERROR(__xludf.DUMMYFUNCTION("GOOGLETRANSLATE(D5459,""PT"",""EN"")"),"it is good")</f>
        <v>it is good</v>
      </c>
    </row>
    <row r="5460" ht="14.25" customHeight="1">
      <c r="A5460" s="1">
        <v>66.0</v>
      </c>
      <c r="B5460" s="1" t="s">
        <v>2412</v>
      </c>
      <c r="C5460" s="1">
        <v>7.0</v>
      </c>
      <c r="D5460" s="2" t="s">
        <v>2483</v>
      </c>
      <c r="E5460" s="1" t="str">
        <f>IFERROR(__xludf.DUMMYFUNCTION("GOOGLETRANSLATE(D5460,""PT"",""EN"")"),"I could put in detail in the statement the slips received from the day one by one for better identification of the received, because they come together is now it was very bad, because before it was detailed for our number is now not come but, thank you")</f>
        <v>I could put in detail in the statement the slips received from the day one by one for better identification of the received, because they come together is now it was very bad, because before it was detailed for our number is now not come but, thank you</v>
      </c>
    </row>
    <row r="5461" ht="14.25" customHeight="1">
      <c r="A5461" s="1">
        <v>33.0</v>
      </c>
      <c r="B5461" s="1" t="s">
        <v>2412</v>
      </c>
      <c r="C5461" s="1">
        <v>3.0</v>
      </c>
      <c r="D5461" s="2" t="s">
        <v>2484</v>
      </c>
      <c r="E5461" s="1" t="str">
        <f>IFERROR(__xludf.DUMMYFUNCTION("GOOGLETRANSLATE(D5461,""PT"",""EN"")"),"So far I had no support or an assistance.")</f>
        <v>So far I had no support or an assistance.</v>
      </c>
    </row>
    <row r="5462" ht="14.25" customHeight="1">
      <c r="A5462" s="1">
        <v>33.0</v>
      </c>
      <c r="B5462" s="1" t="s">
        <v>2412</v>
      </c>
      <c r="C5462" s="1">
        <v>1.0</v>
      </c>
      <c r="D5462" s="1" t="s">
        <v>6</v>
      </c>
      <c r="E5462" s="1"/>
    </row>
    <row r="5463" ht="14.25" customHeight="1">
      <c r="A5463" s="1">
        <v>100.0</v>
      </c>
      <c r="B5463" s="1" t="s">
        <v>2412</v>
      </c>
      <c r="C5463" s="1">
        <v>10.0</v>
      </c>
      <c r="D5463" s="1" t="s">
        <v>2485</v>
      </c>
      <c r="E5463" s="1" t="str">
        <f>IFERROR(__xludf.DUMMYFUNCTION("GOOGLETRANSLATE(D5463,""PT"",""EN"")"),"Everything perfect")</f>
        <v>Everything perfect</v>
      </c>
    </row>
    <row r="5464" ht="14.25" customHeight="1">
      <c r="A5464" s="1">
        <v>100.0</v>
      </c>
      <c r="B5464" s="1" t="s">
        <v>2412</v>
      </c>
      <c r="C5464" s="1">
        <v>10.0</v>
      </c>
      <c r="D5464" s="1" t="s">
        <v>2486</v>
      </c>
      <c r="E5464" s="1" t="str">
        <f>IFERROR(__xludf.DUMMYFUNCTION("GOOGLETRANSLATE(D5464,""PT"",""EN"")"),"Every time I needed I was very well attended, all the employees of my agency Sicoob are excellent ...")</f>
        <v>Every time I needed I was very well attended, all the employees of my agency Sicoob are excellent ...</v>
      </c>
    </row>
    <row r="5465" ht="14.25" customHeight="1">
      <c r="A5465" s="1">
        <v>33.0</v>
      </c>
      <c r="B5465" s="1" t="s">
        <v>2412</v>
      </c>
      <c r="C5465" s="1">
        <v>0.0</v>
      </c>
      <c r="D5465" s="2" t="s">
        <v>2487</v>
      </c>
      <c r="E5465" s="1" t="str">
        <f>IFERROR(__xludf.DUMMYFUNCTION("GOOGLETRANSLATE(D5465,""PT"",""EN"")"),"In terms of service is zero crossed information. protested my name is a notary not recommend")</f>
        <v>In terms of service is zero crossed information. protested my name is a notary not recommend</v>
      </c>
    </row>
    <row r="5466" ht="14.25" customHeight="1">
      <c r="A5466" s="1">
        <v>100.0</v>
      </c>
      <c r="B5466" s="1" t="s">
        <v>2412</v>
      </c>
      <c r="C5466" s="1">
        <v>10.0</v>
      </c>
      <c r="D5466" s="1" t="s">
        <v>6</v>
      </c>
      <c r="E5466" s="1"/>
    </row>
    <row r="5467" ht="14.25" customHeight="1">
      <c r="A5467" s="1">
        <v>33.0</v>
      </c>
      <c r="B5467" s="1" t="s">
        <v>2412</v>
      </c>
      <c r="C5467" s="1">
        <v>1.0</v>
      </c>
      <c r="D5467" s="2" t="s">
        <v>2488</v>
      </c>
      <c r="E5467" s="1" t="str">
        <f>IFERROR(__xludf.DUMMYFUNCTION("GOOGLETRANSLATE(D5467,""PT"",""EN"")"),"A fully disconnected bank from your customer, I do not recommend")</f>
        <v>A fully disconnected bank from your customer, I do not recommend</v>
      </c>
    </row>
    <row r="5468" ht="14.25" customHeight="1">
      <c r="A5468" s="1">
        <v>100.0</v>
      </c>
      <c r="B5468" s="1" t="s">
        <v>2412</v>
      </c>
      <c r="C5468" s="1">
        <v>10.0</v>
      </c>
      <c r="D5468" s="2" t="s">
        <v>2489</v>
      </c>
      <c r="E5468" s="1" t="str">
        <f>IFERROR(__xludf.DUMMYFUNCTION("GOOGLETRANSLATE(D5468,""PT"",""EN"")"),"An excellent bank with educated people is kind great conditions of loan")</f>
        <v>An excellent bank with educated people is kind great conditions of loan</v>
      </c>
    </row>
    <row r="5469" ht="14.25" customHeight="1">
      <c r="A5469" s="1">
        <v>100.0</v>
      </c>
      <c r="B5469" s="1" t="s">
        <v>2412</v>
      </c>
      <c r="C5469" s="1">
        <v>9.0</v>
      </c>
      <c r="D5469" s="1" t="s">
        <v>6</v>
      </c>
      <c r="E5469" s="1"/>
    </row>
    <row r="5470" ht="14.25" customHeight="1">
      <c r="A5470" s="1">
        <v>100.0</v>
      </c>
      <c r="B5470" s="1" t="s">
        <v>2412</v>
      </c>
      <c r="C5470" s="1">
        <v>10.0</v>
      </c>
      <c r="D5470" s="1" t="s">
        <v>2490</v>
      </c>
      <c r="E5470" s="1" t="str">
        <f>IFERROR(__xludf.DUMMYFUNCTION("GOOGLETRANSLATE(D5470,""PT"",""EN"")"),"Every time I go to Sicoob I'm very well attended ...")</f>
        <v>Every time I go to Sicoob I'm very well attended ...</v>
      </c>
    </row>
    <row r="5471" ht="14.25" customHeight="1">
      <c r="A5471" s="1">
        <v>100.0</v>
      </c>
      <c r="B5471" s="1" t="s">
        <v>2412</v>
      </c>
      <c r="C5471" s="1">
        <v>10.0</v>
      </c>
      <c r="D5471" s="2" t="s">
        <v>2491</v>
      </c>
      <c r="E5471" s="1" t="str">
        <f>IFERROR(__xludf.DUMMYFUNCTION("GOOGLETRANSLATE(D5471,""PT"",""EN"")"),"Best bank is the app is amazing.")</f>
        <v>Best bank is the app is amazing.</v>
      </c>
    </row>
    <row r="5472" ht="14.25" customHeight="1">
      <c r="A5472" s="1">
        <v>33.0</v>
      </c>
      <c r="B5472" s="1" t="s">
        <v>2412</v>
      </c>
      <c r="C5472" s="1">
        <v>4.0</v>
      </c>
      <c r="D5472" s="2" t="s">
        <v>2492</v>
      </c>
      <c r="E5472" s="1" t="str">
        <f>IFERROR(__xludf.DUMMYFUNCTION("GOOGLETRANSLATE(D5472,""PT"",""EN"")"),"Lack of income, bad credit line, problem application.")</f>
        <v>Lack of income, bad credit line, problem application.</v>
      </c>
    </row>
    <row r="5473" ht="14.25" customHeight="1">
      <c r="A5473" s="1">
        <v>100.0</v>
      </c>
      <c r="B5473" s="1" t="s">
        <v>2412</v>
      </c>
      <c r="C5473" s="1">
        <v>10.0</v>
      </c>
      <c r="D5473" s="1" t="s">
        <v>2493</v>
      </c>
      <c r="E5473" s="1" t="str">
        <f>IFERROR(__xludf.DUMMYFUNCTION("GOOGLETRANSLATE(D5473,""PT"",""EN"")"),"Excellence in general.")</f>
        <v>Excellence in general.</v>
      </c>
    </row>
    <row r="5474" ht="14.25" customHeight="1">
      <c r="A5474" s="1">
        <v>100.0</v>
      </c>
      <c r="B5474" s="1" t="s">
        <v>2412</v>
      </c>
      <c r="C5474" s="1">
        <v>10.0</v>
      </c>
      <c r="D5474" s="1" t="s">
        <v>6</v>
      </c>
      <c r="E5474" s="1"/>
    </row>
    <row r="5475" ht="14.25" customHeight="1">
      <c r="A5475" s="1">
        <v>100.0</v>
      </c>
      <c r="B5475" s="1" t="s">
        <v>2412</v>
      </c>
      <c r="C5475" s="1">
        <v>10.0</v>
      </c>
      <c r="D5475" s="1" t="s">
        <v>62</v>
      </c>
      <c r="E5475" s="1" t="str">
        <f>IFERROR(__xludf.DUMMYFUNCTION("GOOGLETRANSLATE(D5475,""PT"",""EN"")"),"Good service")</f>
        <v>Good service</v>
      </c>
    </row>
    <row r="5476" ht="14.25" customHeight="1">
      <c r="A5476" s="1">
        <v>100.0</v>
      </c>
      <c r="B5476" s="1" t="s">
        <v>2412</v>
      </c>
      <c r="C5476" s="1">
        <v>10.0</v>
      </c>
      <c r="D5476" s="1" t="s">
        <v>6</v>
      </c>
      <c r="E5476" s="1"/>
    </row>
    <row r="5477" ht="14.25" customHeight="1">
      <c r="A5477" s="1">
        <v>33.0</v>
      </c>
      <c r="B5477" s="1" t="s">
        <v>2412</v>
      </c>
      <c r="C5477" s="1">
        <v>4.0</v>
      </c>
      <c r="D5477" s="2" t="s">
        <v>2494</v>
      </c>
      <c r="E5477" s="1" t="str">
        <f>IFERROR(__xludf.DUMMYFUNCTION("GOOGLETRANSLATE(D5477,""PT"",""EN"")"),"People below results are far from the entity. Competition among the Sicoob demonstrates disorganization is the damage of the whole. Pitiful")</f>
        <v>People below results are far from the entity. Competition among the Sicoob demonstrates disorganization is the damage of the whole. Pitiful</v>
      </c>
    </row>
    <row r="5478" ht="14.25" customHeight="1">
      <c r="A5478" s="1">
        <v>100.0</v>
      </c>
      <c r="B5478" s="1" t="s">
        <v>2412</v>
      </c>
      <c r="C5478" s="1">
        <v>10.0</v>
      </c>
      <c r="D5478" s="1" t="s">
        <v>2495</v>
      </c>
      <c r="E5478" s="1" t="str">
        <f>IFERROR(__xludf.DUMMYFUNCTION("GOOGLETRANSLATE(D5478,""PT"",""EN"")"),"Relationship with the manager")</f>
        <v>Relationship with the manager</v>
      </c>
    </row>
    <row r="5479" ht="14.25" customHeight="1">
      <c r="A5479" s="1">
        <v>66.0</v>
      </c>
      <c r="B5479" s="1" t="s">
        <v>2412</v>
      </c>
      <c r="C5479" s="1">
        <v>8.0</v>
      </c>
      <c r="D5479" s="1" t="s">
        <v>6</v>
      </c>
      <c r="E5479" s="1"/>
    </row>
    <row r="5480" ht="14.25" customHeight="1">
      <c r="A5480" s="1">
        <v>33.0</v>
      </c>
      <c r="B5480" s="1" t="s">
        <v>2412</v>
      </c>
      <c r="C5480" s="1">
        <v>0.0</v>
      </c>
      <c r="D5480" s="1" t="s">
        <v>6</v>
      </c>
      <c r="E5480" s="1"/>
    </row>
    <row r="5481" ht="14.25" customHeight="1">
      <c r="A5481" s="1">
        <v>33.0</v>
      </c>
      <c r="B5481" s="1" t="s">
        <v>2412</v>
      </c>
      <c r="C5481" s="1">
        <v>0.0</v>
      </c>
      <c r="D5481" s="2" t="s">
        <v>2496</v>
      </c>
      <c r="E5481" s="1" t="str">
        <f>IFERROR(__xludf.DUMMYFUNCTION("GOOGLETRANSLATE(D5481,""PT"",""EN"")"),"I opened an account I did not use I tried to close the account has more than 90 is nothing, pessimal service")</f>
        <v>I opened an account I did not use I tried to close the account has more than 90 is nothing, pessimal service</v>
      </c>
    </row>
    <row r="5482" ht="14.25" customHeight="1">
      <c r="A5482" s="1">
        <v>33.0</v>
      </c>
      <c r="B5482" s="1" t="s">
        <v>2412</v>
      </c>
      <c r="C5482" s="1">
        <v>0.0</v>
      </c>
      <c r="D5482" s="1" t="s">
        <v>2497</v>
      </c>
      <c r="E5482" s="1" t="str">
        <f>IFERROR(__xludf.DUMMYFUNCTION("GOOGLETRANSLATE(D5482,""PT"",""EN"")"),"Service at the very bad agency")</f>
        <v>Service at the very bad agency</v>
      </c>
    </row>
    <row r="5483" ht="14.25" customHeight="1">
      <c r="A5483" s="1">
        <v>66.0</v>
      </c>
      <c r="B5483" s="1" t="s">
        <v>2412</v>
      </c>
      <c r="C5483" s="1">
        <v>7.0</v>
      </c>
      <c r="D5483" s="1" t="s">
        <v>2498</v>
      </c>
      <c r="E5483" s="1" t="str">
        <f>IFERROR(__xludf.DUMMYFUNCTION("GOOGLETRANSLATE(D5483,""PT"",""EN"")"),"Bank's initiative is missing to look for the customer to perish products that may be useful. Often I needed to look for the cooperative.")</f>
        <v>Bank's initiative is missing to look for the customer to perish products that may be useful. Often I needed to look for the cooperative.</v>
      </c>
    </row>
    <row r="5484" ht="14.25" customHeight="1">
      <c r="A5484" s="1">
        <v>33.0</v>
      </c>
      <c r="B5484" s="1" t="s">
        <v>2412</v>
      </c>
      <c r="C5484" s="1">
        <v>2.0</v>
      </c>
      <c r="D5484" s="1" t="s">
        <v>2499</v>
      </c>
      <c r="E5484" s="1" t="str">
        <f>IFERROR(__xludf.DUMMYFUNCTION("GOOGLETRANSLATE(D5484,""PT"",""EN"")"),"Safety system of the institution is flawed.")</f>
        <v>Safety system of the institution is flawed.</v>
      </c>
    </row>
    <row r="5485" ht="14.25" customHeight="1">
      <c r="A5485" s="1">
        <v>33.0</v>
      </c>
      <c r="B5485" s="1" t="s">
        <v>2412</v>
      </c>
      <c r="C5485" s="1">
        <v>0.0</v>
      </c>
      <c r="D5485" s="2" t="s">
        <v>2500</v>
      </c>
      <c r="E5485" s="1" t="str">
        <f>IFERROR(__xludf.DUMMYFUNCTION("GOOGLETRANSLATE(D5485,""PT"",""EN"")"),"I would never recommend. I have PF and PJ account in other banks is an excellent relationship with credit. In Sicoob my PF neither is my PJ not even opened. Fernanda Raber 05958884107")</f>
        <v>I would never recommend. I have PF and PJ account in other banks is an excellent relationship with credit. In Sicoob my PF neither is my PJ not even opened. Fernanda Raber 05958884107</v>
      </c>
    </row>
    <row r="5486" ht="14.25" customHeight="1">
      <c r="A5486" s="1">
        <v>66.0</v>
      </c>
      <c r="B5486" s="1" t="s">
        <v>2412</v>
      </c>
      <c r="C5486" s="1">
        <v>8.0</v>
      </c>
      <c r="D5486" s="1" t="s">
        <v>2501</v>
      </c>
      <c r="E5486" s="1" t="str">
        <f>IFERROR(__xludf.DUMMYFUNCTION("GOOGLETRANSLATE(D5486,""PT"",""EN"")"),"Excellent manager but inner process time consuming")</f>
        <v>Excellent manager but inner process time consuming</v>
      </c>
    </row>
    <row r="5487" ht="14.25" customHeight="1">
      <c r="A5487" s="1">
        <v>33.0</v>
      </c>
      <c r="B5487" s="1" t="s">
        <v>2412</v>
      </c>
      <c r="C5487" s="1">
        <v>3.0</v>
      </c>
      <c r="D5487" s="2" t="s">
        <v>2502</v>
      </c>
      <c r="E5487" s="1" t="str">
        <f>IFERROR(__xludf.DUMMYFUNCTION("GOOGLETRANSLATE(D5487,""PT"",""EN"")"),"Manager does not solve anything")</f>
        <v>Manager does not solve anything</v>
      </c>
    </row>
    <row r="5488" ht="14.25" customHeight="1">
      <c r="A5488" s="1">
        <v>33.0</v>
      </c>
      <c r="B5488" s="1" t="s">
        <v>2412</v>
      </c>
      <c r="C5488" s="1">
        <v>3.0</v>
      </c>
      <c r="D5488" s="1" t="s">
        <v>6</v>
      </c>
      <c r="E5488" s="1"/>
    </row>
    <row r="5489" ht="14.25" customHeight="1">
      <c r="A5489" s="1">
        <v>33.0</v>
      </c>
      <c r="B5489" s="1" t="s">
        <v>2412</v>
      </c>
      <c r="C5489" s="1">
        <v>0.0</v>
      </c>
      <c r="D5489" s="2" t="s">
        <v>2503</v>
      </c>
      <c r="E5489" s="1" t="str">
        <f>IFERROR(__xludf.DUMMYFUNCTION("GOOGLETRANSLATE(D5489,""PT"",""EN"")"),"I sent my salary in out of 2022 is not even a credit card to this day. I did insurance is already I want to cancel.")</f>
        <v>I sent my salary in out of 2022 is not even a credit card to this day. I did insurance is already I want to cancel.</v>
      </c>
    </row>
    <row r="5490" ht="14.25" customHeight="1">
      <c r="A5490" s="1">
        <v>100.0</v>
      </c>
      <c r="B5490" s="1" t="s">
        <v>2412</v>
      </c>
      <c r="C5490" s="1">
        <v>10.0</v>
      </c>
      <c r="D5490" s="1" t="s">
        <v>6</v>
      </c>
      <c r="E5490" s="1"/>
    </row>
    <row r="5491" ht="14.25" customHeight="1">
      <c r="A5491" s="1">
        <v>100.0</v>
      </c>
      <c r="B5491" s="1" t="s">
        <v>2412</v>
      </c>
      <c r="C5491" s="1">
        <v>10.0</v>
      </c>
      <c r="D5491" s="1" t="s">
        <v>6</v>
      </c>
      <c r="E5491" s="1"/>
    </row>
    <row r="5492" ht="14.25" customHeight="1">
      <c r="A5492" s="1">
        <v>33.0</v>
      </c>
      <c r="B5492" s="1" t="s">
        <v>2412</v>
      </c>
      <c r="C5492" s="1">
        <v>2.0</v>
      </c>
      <c r="D5492" s="2" t="s">
        <v>2504</v>
      </c>
      <c r="E5492" s="1" t="str">
        <f>IFERROR(__xludf.DUMMYFUNCTION("GOOGLETRANSLATE(D5492,""PT"",""EN"")"),"Why having a credit limit is I can not have an explanation because I am not approved with credit limit")</f>
        <v>Why having a credit limit is I can not have an explanation because I am not approved with credit limit</v>
      </c>
    </row>
    <row r="5493" ht="14.25" customHeight="1">
      <c r="A5493" s="1">
        <v>100.0</v>
      </c>
      <c r="B5493" s="1" t="s">
        <v>2412</v>
      </c>
      <c r="C5493" s="1">
        <v>10.0</v>
      </c>
      <c r="D5493" s="1" t="s">
        <v>6</v>
      </c>
      <c r="E5493" s="1"/>
    </row>
    <row r="5494" ht="14.25" customHeight="1">
      <c r="A5494" s="1">
        <v>100.0</v>
      </c>
      <c r="B5494" s="1" t="s">
        <v>2412</v>
      </c>
      <c r="C5494" s="1">
        <v>10.0</v>
      </c>
      <c r="D5494" s="2" t="s">
        <v>2505</v>
      </c>
      <c r="E5494" s="1" t="str">
        <f>IFERROR(__xludf.DUMMYFUNCTION("GOOGLETRANSLATE(D5494,""PT"",""EN"")"),"Excellent bank is service")</f>
        <v>Excellent bank is service</v>
      </c>
    </row>
    <row r="5495" ht="14.25" customHeight="1">
      <c r="A5495" s="1">
        <v>100.0</v>
      </c>
      <c r="B5495" s="1" t="s">
        <v>2412</v>
      </c>
      <c r="C5495" s="1">
        <v>10.0</v>
      </c>
      <c r="D5495" s="1" t="s">
        <v>6</v>
      </c>
      <c r="E5495" s="1"/>
    </row>
    <row r="5496" ht="14.25" customHeight="1">
      <c r="A5496" s="1">
        <v>100.0</v>
      </c>
      <c r="B5496" s="1" t="s">
        <v>2412</v>
      </c>
      <c r="C5496" s="1">
        <v>10.0</v>
      </c>
      <c r="D5496" s="1" t="s">
        <v>6</v>
      </c>
      <c r="E5496" s="1"/>
    </row>
    <row r="5497" ht="14.25" customHeight="1">
      <c r="A5497" s="1">
        <v>100.0</v>
      </c>
      <c r="B5497" s="1" t="s">
        <v>2412</v>
      </c>
      <c r="C5497" s="1">
        <v>10.0</v>
      </c>
      <c r="D5497" s="1" t="s">
        <v>6</v>
      </c>
      <c r="E5497" s="1"/>
    </row>
    <row r="5498" ht="14.25" customHeight="1">
      <c r="A5498" s="1">
        <v>100.0</v>
      </c>
      <c r="B5498" s="1" t="s">
        <v>2412</v>
      </c>
      <c r="C5498" s="1">
        <v>10.0</v>
      </c>
      <c r="D5498" s="1" t="s">
        <v>6</v>
      </c>
      <c r="E5498" s="1"/>
    </row>
    <row r="5499" ht="14.25" customHeight="1">
      <c r="A5499" s="1">
        <v>100.0</v>
      </c>
      <c r="B5499" s="1" t="s">
        <v>2412</v>
      </c>
      <c r="C5499" s="1">
        <v>10.0</v>
      </c>
      <c r="D5499" s="1" t="s">
        <v>6</v>
      </c>
      <c r="E5499" s="1"/>
    </row>
    <row r="5500" ht="14.25" customHeight="1">
      <c r="A5500" s="1">
        <v>100.0</v>
      </c>
      <c r="B5500" s="1" t="s">
        <v>2412</v>
      </c>
      <c r="C5500" s="1">
        <v>9.0</v>
      </c>
      <c r="D5500" s="1" t="s">
        <v>183</v>
      </c>
      <c r="E5500" s="1" t="str">
        <f>IFERROR(__xludf.DUMMYFUNCTION("GOOGLETRANSLATE(D5500,""PT"",""EN"")"),"Great Cooperative")</f>
        <v>Great Cooperative</v>
      </c>
    </row>
    <row r="5501" ht="14.25" customHeight="1">
      <c r="A5501" s="1">
        <v>33.0</v>
      </c>
      <c r="B5501" s="1" t="s">
        <v>2412</v>
      </c>
      <c r="C5501" s="1">
        <v>1.0</v>
      </c>
      <c r="D5501" s="1" t="s">
        <v>6</v>
      </c>
      <c r="E5501" s="1"/>
    </row>
    <row r="5502" ht="14.25" customHeight="1">
      <c r="A5502" s="1">
        <v>100.0</v>
      </c>
      <c r="B5502" s="1" t="s">
        <v>2412</v>
      </c>
      <c r="C5502" s="1">
        <v>10.0</v>
      </c>
      <c r="D5502" s="2" t="s">
        <v>2506</v>
      </c>
      <c r="E5502" s="1" t="str">
        <f>IFERROR(__xludf.DUMMYFUNCTION("GOOGLETRANSLATE(D5502,""PT"",""EN"")"),"Good service and attention with customers")</f>
        <v>Good service and attention with customers</v>
      </c>
    </row>
    <row r="5503" ht="14.25" customHeight="1">
      <c r="A5503" s="1">
        <v>66.0</v>
      </c>
      <c r="B5503" s="1" t="s">
        <v>2412</v>
      </c>
      <c r="C5503" s="1">
        <v>7.0</v>
      </c>
      <c r="D5503" s="1" t="s">
        <v>6</v>
      </c>
      <c r="E5503" s="1"/>
    </row>
    <row r="5504" ht="14.25" customHeight="1">
      <c r="A5504" s="1">
        <v>100.0</v>
      </c>
      <c r="B5504" s="1" t="s">
        <v>2412</v>
      </c>
      <c r="C5504" s="1">
        <v>10.0</v>
      </c>
      <c r="D5504" s="1" t="s">
        <v>6</v>
      </c>
      <c r="E5504" s="1"/>
    </row>
    <row r="5505" ht="14.25" customHeight="1">
      <c r="A5505" s="1">
        <v>100.0</v>
      </c>
      <c r="B5505" s="1" t="s">
        <v>2412</v>
      </c>
      <c r="C5505" s="1">
        <v>10.0</v>
      </c>
      <c r="D5505" s="1" t="s">
        <v>85</v>
      </c>
      <c r="E5505" s="1" t="str">
        <f>IFERROR(__xludf.DUMMYFUNCTION("GOOGLETRANSLATE(D5505,""PT"",""EN"")"),"Service")</f>
        <v>Service</v>
      </c>
    </row>
    <row r="5506" ht="14.25" customHeight="1">
      <c r="A5506" s="1">
        <v>100.0</v>
      </c>
      <c r="B5506" s="1" t="s">
        <v>2412</v>
      </c>
      <c r="C5506" s="1">
        <v>9.0</v>
      </c>
      <c r="D5506" s="1" t="s">
        <v>6</v>
      </c>
      <c r="E5506" s="1"/>
    </row>
    <row r="5507" ht="14.25" customHeight="1">
      <c r="A5507" s="1">
        <v>100.0</v>
      </c>
      <c r="B5507" s="1" t="s">
        <v>2412</v>
      </c>
      <c r="C5507" s="1">
        <v>10.0</v>
      </c>
      <c r="D5507" s="1" t="s">
        <v>6</v>
      </c>
      <c r="E5507" s="1"/>
    </row>
    <row r="5508" ht="14.25" customHeight="1">
      <c r="A5508" s="1">
        <v>33.0</v>
      </c>
      <c r="B5508" s="1" t="s">
        <v>2412</v>
      </c>
      <c r="C5508" s="1">
        <v>0.0</v>
      </c>
      <c r="D5508" s="1" t="s">
        <v>6</v>
      </c>
      <c r="E5508" s="1"/>
    </row>
    <row r="5509" ht="14.25" customHeight="1">
      <c r="A5509" s="1">
        <v>100.0</v>
      </c>
      <c r="B5509" s="1" t="s">
        <v>2412</v>
      </c>
      <c r="C5509" s="1">
        <v>10.0</v>
      </c>
      <c r="D5509" s="1" t="s">
        <v>6</v>
      </c>
      <c r="E5509" s="1"/>
    </row>
    <row r="5510" ht="14.25" customHeight="1">
      <c r="A5510" s="1">
        <v>100.0</v>
      </c>
      <c r="B5510" s="1" t="s">
        <v>2412</v>
      </c>
      <c r="C5510" s="1">
        <v>10.0</v>
      </c>
      <c r="D5510" s="2" t="s">
        <v>2507</v>
      </c>
      <c r="E5510" s="1" t="str">
        <f>IFERROR(__xludf.DUMMYFUNCTION("GOOGLETRANSLATE(D5510,""PT"",""EN"")"),"Service is accurate in the credit guidelines ...")</f>
        <v>Service is accurate in the credit guidelines ...</v>
      </c>
    </row>
    <row r="5511" ht="14.25" customHeight="1">
      <c r="A5511" s="1">
        <v>33.0</v>
      </c>
      <c r="B5511" s="1" t="s">
        <v>2412</v>
      </c>
      <c r="C5511" s="1">
        <v>6.0</v>
      </c>
      <c r="D5511" s="1" t="s">
        <v>2508</v>
      </c>
      <c r="E5511" s="1" t="str">
        <f>IFERROR(__xludf.DUMMYFUNCTION("GOOGLETRANSLATE(D5511,""PT"",""EN"")"),"Very expensive bank regarding the competition. Misleading")</f>
        <v>Very expensive bank regarding the competition. Misleading</v>
      </c>
    </row>
    <row r="5512" ht="14.25" customHeight="1">
      <c r="A5512" s="1">
        <v>100.0</v>
      </c>
      <c r="B5512" s="1" t="s">
        <v>2412</v>
      </c>
      <c r="C5512" s="1">
        <v>10.0</v>
      </c>
      <c r="D5512" s="1" t="s">
        <v>6</v>
      </c>
      <c r="E5512" s="1"/>
    </row>
    <row r="5513" ht="14.25" customHeight="1">
      <c r="A5513" s="1">
        <v>100.0</v>
      </c>
      <c r="B5513" s="1" t="s">
        <v>2412</v>
      </c>
      <c r="C5513" s="1">
        <v>10.0</v>
      </c>
      <c r="D5513" s="1" t="s">
        <v>6</v>
      </c>
      <c r="E5513" s="1"/>
    </row>
    <row r="5514" ht="14.25" customHeight="1">
      <c r="A5514" s="1">
        <v>100.0</v>
      </c>
      <c r="B5514" s="1" t="s">
        <v>2412</v>
      </c>
      <c r="C5514" s="1">
        <v>10.0</v>
      </c>
      <c r="D5514" s="1" t="s">
        <v>2509</v>
      </c>
      <c r="E5514" s="1" t="str">
        <f>IFERROR(__xludf.DUMMYFUNCTION("GOOGLETRANSLATE(D5514,""PT"",""EN"")"),"Good relationship with the manager")</f>
        <v>Good relationship with the manager</v>
      </c>
    </row>
    <row r="5515" ht="14.25" customHeight="1">
      <c r="A5515" s="1">
        <v>100.0</v>
      </c>
      <c r="B5515" s="1" t="s">
        <v>2412</v>
      </c>
      <c r="C5515" s="1">
        <v>10.0</v>
      </c>
      <c r="D5515" s="1" t="s">
        <v>6</v>
      </c>
      <c r="E5515" s="1"/>
    </row>
    <row r="5516" ht="14.25" customHeight="1">
      <c r="A5516" s="1">
        <v>100.0</v>
      </c>
      <c r="B5516" s="1" t="s">
        <v>2412</v>
      </c>
      <c r="C5516" s="1">
        <v>10.0</v>
      </c>
      <c r="D5516" s="1" t="s">
        <v>6</v>
      </c>
      <c r="E5516" s="1"/>
    </row>
    <row r="5517" ht="14.25" customHeight="1">
      <c r="A5517" s="1">
        <v>100.0</v>
      </c>
      <c r="B5517" s="1" t="s">
        <v>2412</v>
      </c>
      <c r="C5517" s="1">
        <v>10.0</v>
      </c>
      <c r="D5517" s="1" t="s">
        <v>412</v>
      </c>
      <c r="E5517" s="1" t="str">
        <f>IFERROR(__xludf.DUMMYFUNCTION("GOOGLETRANSLATE(D5517,""PT"",""EN"")"),"Efficiency")</f>
        <v>Efficiency</v>
      </c>
    </row>
    <row r="5518" ht="14.25" customHeight="1">
      <c r="A5518" s="1">
        <v>33.0</v>
      </c>
      <c r="B5518" s="1" t="s">
        <v>2412</v>
      </c>
      <c r="C5518" s="1">
        <v>1.0</v>
      </c>
      <c r="D5518" s="1" t="s">
        <v>2510</v>
      </c>
      <c r="E5518" s="1" t="str">
        <f>IFERROR(__xludf.DUMMYFUNCTION("GOOGLETRANSLATE(D5518,""PT"",""EN"")"),"Daughter")</f>
        <v>Daughter</v>
      </c>
    </row>
    <row r="5519" ht="14.25" customHeight="1">
      <c r="A5519" s="1">
        <v>100.0</v>
      </c>
      <c r="B5519" s="1" t="s">
        <v>2412</v>
      </c>
      <c r="C5519" s="1">
        <v>10.0</v>
      </c>
      <c r="D5519" s="2" t="s">
        <v>2511</v>
      </c>
      <c r="E5519" s="1" t="str">
        <f>IFERROR(__xludf.DUMMYFUNCTION("GOOGLETRANSLATE(D5519,""PT"",""EN"")"),"I have excellent service, quickly delivery of my requests, it is because it is a bank with the lowest fees among the lines compared to other institutions.")</f>
        <v>I have excellent service, quickly delivery of my requests, it is because it is a bank with the lowest fees among the lines compared to other institutions.</v>
      </c>
    </row>
    <row r="5520" ht="14.25" customHeight="1">
      <c r="A5520" s="1">
        <v>100.0</v>
      </c>
      <c r="B5520" s="1" t="s">
        <v>2412</v>
      </c>
      <c r="C5520" s="1">
        <v>10.0</v>
      </c>
      <c r="D5520" s="2" t="s">
        <v>2512</v>
      </c>
      <c r="E5520" s="1" t="str">
        <f>IFERROR(__xludf.DUMMYFUNCTION("GOOGLETRANSLATE(D5520,""PT"",""EN"")"),"A cooperative that always pleases me is for me well")</f>
        <v>A cooperative that always pleases me is for me well</v>
      </c>
    </row>
    <row r="5521" ht="14.25" customHeight="1">
      <c r="A5521" s="1">
        <v>100.0</v>
      </c>
      <c r="B5521" s="1" t="s">
        <v>2412</v>
      </c>
      <c r="C5521" s="1">
        <v>10.0</v>
      </c>
      <c r="D5521" s="1" t="s">
        <v>6</v>
      </c>
      <c r="E5521" s="1"/>
    </row>
    <row r="5522" ht="14.25" customHeight="1">
      <c r="A5522" s="1">
        <v>66.0</v>
      </c>
      <c r="B5522" s="1" t="s">
        <v>2412</v>
      </c>
      <c r="C5522" s="1">
        <v>8.0</v>
      </c>
      <c r="D5522" s="1" t="s">
        <v>62</v>
      </c>
      <c r="E5522" s="1" t="str">
        <f>IFERROR(__xludf.DUMMYFUNCTION("GOOGLETRANSLATE(D5522,""PT"",""EN"")"),"Good service")</f>
        <v>Good service</v>
      </c>
    </row>
    <row r="5523" ht="14.25" customHeight="1">
      <c r="A5523" s="1">
        <v>33.0</v>
      </c>
      <c r="B5523" s="1" t="s">
        <v>2412</v>
      </c>
      <c r="C5523" s="1">
        <v>3.0</v>
      </c>
      <c r="D5523" s="1" t="s">
        <v>2513</v>
      </c>
      <c r="E5523" s="1" t="str">
        <f>IFERROR(__xludf.DUMMYFUNCTION("GOOGLETRANSLATE(D5523,""PT"",""EN"")"),"The bank's security system is not desired.")</f>
        <v>The bank's security system is not desired.</v>
      </c>
    </row>
    <row r="5524" ht="14.25" customHeight="1">
      <c r="A5524" s="1">
        <v>100.0</v>
      </c>
      <c r="B5524" s="1" t="s">
        <v>2412</v>
      </c>
      <c r="C5524" s="1">
        <v>10.0</v>
      </c>
      <c r="D5524" s="1" t="s">
        <v>6</v>
      </c>
      <c r="E5524" s="1"/>
    </row>
    <row r="5525" ht="14.25" customHeight="1">
      <c r="A5525" s="1">
        <v>100.0</v>
      </c>
      <c r="B5525" s="1" t="s">
        <v>2412</v>
      </c>
      <c r="C5525" s="1">
        <v>10.0</v>
      </c>
      <c r="D5525" s="2" t="s">
        <v>2514</v>
      </c>
      <c r="E5525" s="1" t="str">
        <f>IFERROR(__xludf.DUMMYFUNCTION("GOOGLETRANSLATE(D5525,""PT"",""EN"")"),"Trust and respect.")</f>
        <v>Trust and respect.</v>
      </c>
    </row>
    <row r="5526" ht="14.25" customHeight="1">
      <c r="A5526" s="1">
        <v>100.0</v>
      </c>
      <c r="B5526" s="1" t="s">
        <v>2412</v>
      </c>
      <c r="C5526" s="1">
        <v>10.0</v>
      </c>
      <c r="D5526" s="1" t="s">
        <v>121</v>
      </c>
      <c r="E5526" s="1" t="str">
        <f>IFERROR(__xludf.DUMMYFUNCTION("GOOGLETRANSLATE(D5526,""PT"",""EN"")"),"Satisfaction.")</f>
        <v>Satisfaction.</v>
      </c>
    </row>
    <row r="5527" ht="14.25" customHeight="1">
      <c r="A5527" s="1">
        <v>100.0</v>
      </c>
      <c r="B5527" s="1" t="s">
        <v>2412</v>
      </c>
      <c r="C5527" s="1">
        <v>10.0</v>
      </c>
      <c r="D5527" s="1" t="s">
        <v>2515</v>
      </c>
      <c r="E5527" s="1" t="str">
        <f>IFERROR(__xludf.DUMMYFUNCTION("GOOGLETRANSLATE(D5527,""PT"",""EN"")"),"Practicality.")</f>
        <v>Practicality.</v>
      </c>
    </row>
    <row r="5528" ht="14.25" customHeight="1">
      <c r="A5528" s="1">
        <v>100.0</v>
      </c>
      <c r="B5528" s="1" t="s">
        <v>2412</v>
      </c>
      <c r="C5528" s="1">
        <v>10.0</v>
      </c>
      <c r="D5528" s="1" t="s">
        <v>6</v>
      </c>
      <c r="E5528" s="1"/>
    </row>
    <row r="5529" ht="14.25" customHeight="1">
      <c r="A5529" s="1">
        <v>33.0</v>
      </c>
      <c r="B5529" s="1" t="s">
        <v>2412</v>
      </c>
      <c r="C5529" s="1">
        <v>0.0</v>
      </c>
      <c r="D5529" s="1" t="s">
        <v>6</v>
      </c>
      <c r="E5529" s="1"/>
    </row>
    <row r="5530" ht="14.25" customHeight="1">
      <c r="A5530" s="1">
        <v>100.0</v>
      </c>
      <c r="B5530" s="1" t="s">
        <v>2412</v>
      </c>
      <c r="C5530" s="1">
        <v>10.0</v>
      </c>
      <c r="D5530" s="1" t="s">
        <v>6</v>
      </c>
      <c r="E5530" s="1"/>
    </row>
    <row r="5531" ht="14.25" customHeight="1">
      <c r="A5531" s="1">
        <v>100.0</v>
      </c>
      <c r="B5531" s="1" t="s">
        <v>2412</v>
      </c>
      <c r="C5531" s="1">
        <v>10.0</v>
      </c>
      <c r="D5531" s="1" t="s">
        <v>2516</v>
      </c>
      <c r="E5531" s="1" t="str">
        <f>IFERROR(__xludf.DUMMYFUNCTION("GOOGLETRANSLATE(D5531,""PT"",""EN"")"),"Great service option!")</f>
        <v>Great service option!</v>
      </c>
    </row>
    <row r="5532" ht="14.25" customHeight="1">
      <c r="A5532" s="1">
        <v>100.0</v>
      </c>
      <c r="B5532" s="1" t="s">
        <v>2412</v>
      </c>
      <c r="C5532" s="1">
        <v>10.0</v>
      </c>
      <c r="D5532" s="1" t="s">
        <v>20</v>
      </c>
      <c r="E5532" s="1" t="str">
        <f>IFERROR(__xludf.DUMMYFUNCTION("GOOGLETRANSLATE(D5532,""PT"",""EN"")"),"Very good")</f>
        <v>Very good</v>
      </c>
    </row>
    <row r="5533" ht="14.25" customHeight="1">
      <c r="A5533" s="1">
        <v>33.0</v>
      </c>
      <c r="B5533" s="1" t="s">
        <v>2412</v>
      </c>
      <c r="C5533" s="1">
        <v>3.0</v>
      </c>
      <c r="D5533" s="2" t="s">
        <v>2517</v>
      </c>
      <c r="E5533" s="1" t="str">
        <f>IFERROR(__xludf.DUMMYFUNCTION("GOOGLETRANSLATE(D5533,""PT"",""EN"")"),"The moment I needed it didn't help me! A very big bureaucracy!")</f>
        <v>The moment I needed it didn't help me! A very big bureaucracy!</v>
      </c>
    </row>
    <row r="5534" ht="14.25" customHeight="1">
      <c r="A5534" s="1">
        <v>100.0</v>
      </c>
      <c r="B5534" s="1" t="s">
        <v>2412</v>
      </c>
      <c r="C5534" s="1">
        <v>10.0</v>
      </c>
      <c r="D5534" s="1" t="s">
        <v>6</v>
      </c>
      <c r="E5534" s="1"/>
    </row>
    <row r="5535" ht="14.25" customHeight="1">
      <c r="A5535" s="1">
        <v>33.0</v>
      </c>
      <c r="B5535" s="1" t="s">
        <v>2412</v>
      </c>
      <c r="C5535" s="1">
        <v>4.0</v>
      </c>
      <c r="D5535" s="1" t="s">
        <v>6</v>
      </c>
      <c r="E5535" s="1"/>
    </row>
    <row r="5536" ht="14.25" customHeight="1">
      <c r="A5536" s="1">
        <v>100.0</v>
      </c>
      <c r="B5536" s="1" t="s">
        <v>2412</v>
      </c>
      <c r="C5536" s="1">
        <v>10.0</v>
      </c>
      <c r="D5536" s="1" t="s">
        <v>2518</v>
      </c>
      <c r="E5536" s="1" t="str">
        <f>IFERROR(__xludf.DUMMYFUNCTION("GOOGLETRANSLATE(D5536,""PT"",""EN"")"),"Nothing to describe")</f>
        <v>Nothing to describe</v>
      </c>
    </row>
    <row r="5537" ht="14.25" customHeight="1">
      <c r="A5537" s="1">
        <v>100.0</v>
      </c>
      <c r="B5537" s="1" t="s">
        <v>2412</v>
      </c>
      <c r="C5537" s="1">
        <v>10.0</v>
      </c>
      <c r="D5537" s="1" t="s">
        <v>85</v>
      </c>
      <c r="E5537" s="1" t="str">
        <f>IFERROR(__xludf.DUMMYFUNCTION("GOOGLETRANSLATE(D5537,""PT"",""EN"")"),"Service")</f>
        <v>Service</v>
      </c>
    </row>
    <row r="5538" ht="14.25" customHeight="1">
      <c r="A5538" s="1">
        <v>33.0</v>
      </c>
      <c r="B5538" s="1" t="s">
        <v>2412</v>
      </c>
      <c r="C5538" s="1">
        <v>0.0</v>
      </c>
      <c r="D5538" s="1" t="s">
        <v>6</v>
      </c>
      <c r="E5538" s="1"/>
    </row>
    <row r="5539" ht="14.25" customHeight="1">
      <c r="A5539" s="1">
        <v>33.0</v>
      </c>
      <c r="B5539" s="1" t="s">
        <v>2412</v>
      </c>
      <c r="C5539" s="1">
        <v>5.0</v>
      </c>
      <c r="D5539" s="2" t="s">
        <v>2519</v>
      </c>
      <c r="E5539" s="1" t="str">
        <f>IFERROR(__xludf.DUMMYFUNCTION("GOOGLETRANSLATE(D5539,""PT"",""EN"")"),"Do not give credit limits")</f>
        <v>Do not give credit limits</v>
      </c>
    </row>
    <row r="5540" ht="14.25" customHeight="1">
      <c r="A5540" s="1">
        <v>100.0</v>
      </c>
      <c r="B5540" s="1" t="s">
        <v>2412</v>
      </c>
      <c r="C5540" s="1">
        <v>10.0</v>
      </c>
      <c r="D5540" s="2" t="s">
        <v>2520</v>
      </c>
      <c r="E5540" s="1" t="str">
        <f>IFERROR(__xludf.DUMMYFUNCTION("GOOGLETRANSLATE(D5540,""PT"",""EN"")"),"Good service, easy access, just have to simplify the app a little more, but that's okay ...")</f>
        <v>Good service, easy access, just have to simplify the app a little more, but that's okay ...</v>
      </c>
    </row>
    <row r="5541" ht="14.25" customHeight="1">
      <c r="A5541" s="1">
        <v>33.0</v>
      </c>
      <c r="B5541" s="1" t="s">
        <v>2412</v>
      </c>
      <c r="C5541" s="1">
        <v>2.0</v>
      </c>
      <c r="D5541" s="1" t="s">
        <v>6</v>
      </c>
      <c r="E5541" s="1"/>
    </row>
    <row r="5542" ht="14.25" customHeight="1">
      <c r="A5542" s="1">
        <v>100.0</v>
      </c>
      <c r="B5542" s="1" t="s">
        <v>2412</v>
      </c>
      <c r="C5542" s="1">
        <v>10.0</v>
      </c>
      <c r="D5542" s="1" t="s">
        <v>6</v>
      </c>
      <c r="E5542" s="1"/>
    </row>
    <row r="5543" ht="14.25" customHeight="1">
      <c r="A5543" s="1">
        <v>33.0</v>
      </c>
      <c r="B5543" s="1" t="s">
        <v>2412</v>
      </c>
      <c r="C5543" s="1">
        <v>3.0</v>
      </c>
      <c r="D5543" s="1" t="s">
        <v>2521</v>
      </c>
      <c r="E5543" s="1" t="str">
        <f>IFERROR(__xludf.DUMMYFUNCTION("GOOGLETRANSLATE(D5543,""PT"",""EN"")"),"Long time to formalize the closing of account")</f>
        <v>Long time to formalize the closing of account</v>
      </c>
    </row>
    <row r="5544" ht="14.25" customHeight="1">
      <c r="A5544" s="1">
        <v>100.0</v>
      </c>
      <c r="B5544" s="1" t="s">
        <v>2412</v>
      </c>
      <c r="C5544" s="1">
        <v>9.0</v>
      </c>
      <c r="D5544" s="1" t="s">
        <v>2522</v>
      </c>
      <c r="E5544" s="1" t="str">
        <f>IFERROR(__xludf.DUMMYFUNCTION("GOOGLETRANSLATE(D5544,""PT"",""EN"")"),"Safe")</f>
        <v>Safe</v>
      </c>
    </row>
    <row r="5545" ht="14.25" customHeight="1">
      <c r="A5545" s="1">
        <v>66.0</v>
      </c>
      <c r="B5545" s="1" t="s">
        <v>2412</v>
      </c>
      <c r="C5545" s="1">
        <v>8.0</v>
      </c>
      <c r="D5545" s="1" t="s">
        <v>2523</v>
      </c>
      <c r="E5545" s="1" t="str">
        <f>IFERROR(__xludf.DUMMYFUNCTION("GOOGLETRANSLATE(D5545,""PT"",""EN"")"),"Who cooperates grows")</f>
        <v>Who cooperates grows</v>
      </c>
    </row>
    <row r="5546" ht="14.25" customHeight="1">
      <c r="A5546" s="1">
        <v>100.0</v>
      </c>
      <c r="B5546" s="1" t="s">
        <v>2412</v>
      </c>
      <c r="C5546" s="1">
        <v>10.0</v>
      </c>
      <c r="D5546" s="1" t="s">
        <v>118</v>
      </c>
      <c r="E5546" s="1" t="str">
        <f>IFERROR(__xludf.DUMMYFUNCTION("GOOGLETRANSLATE(D5546,""PT"",""EN"")"),"NOTE MIL")</f>
        <v>NOTE MIL</v>
      </c>
    </row>
    <row r="5547" ht="14.25" customHeight="1">
      <c r="A5547" s="1">
        <v>100.0</v>
      </c>
      <c r="B5547" s="1" t="s">
        <v>2412</v>
      </c>
      <c r="C5547" s="1">
        <v>10.0</v>
      </c>
      <c r="D5547" s="1" t="s">
        <v>6</v>
      </c>
      <c r="E5547" s="1"/>
    </row>
    <row r="5548" ht="14.25" customHeight="1">
      <c r="A5548" s="1">
        <v>33.0</v>
      </c>
      <c r="B5548" s="1" t="s">
        <v>2412</v>
      </c>
      <c r="C5548" s="1">
        <v>2.0</v>
      </c>
      <c r="D5548" s="1" t="s">
        <v>6</v>
      </c>
      <c r="E5548" s="1"/>
    </row>
    <row r="5549" ht="14.25" customHeight="1">
      <c r="A5549" s="1">
        <v>100.0</v>
      </c>
      <c r="B5549" s="1" t="s">
        <v>2412</v>
      </c>
      <c r="C5549" s="1">
        <v>10.0</v>
      </c>
      <c r="D5549" s="2" t="s">
        <v>2524</v>
      </c>
      <c r="E5549" s="1" t="str">
        <f>IFERROR(__xludf.DUMMYFUNCTION("GOOGLETRANSLATE(D5549,""PT"",""EN"")"),"Great service, just missing my credit card 😄")</f>
        <v>Great service, just missing my credit card 😄</v>
      </c>
    </row>
    <row r="5550" ht="14.25" customHeight="1">
      <c r="A5550" s="1">
        <v>100.0</v>
      </c>
      <c r="B5550" s="1" t="s">
        <v>2412</v>
      </c>
      <c r="C5550" s="1">
        <v>10.0</v>
      </c>
      <c r="D5550" s="1" t="s">
        <v>6</v>
      </c>
      <c r="E5550" s="1"/>
    </row>
    <row r="5551" ht="14.25" customHeight="1">
      <c r="A5551" s="1">
        <v>33.0</v>
      </c>
      <c r="B5551" s="1" t="s">
        <v>2412</v>
      </c>
      <c r="C5551" s="1">
        <v>2.0</v>
      </c>
      <c r="D5551" s="1" t="s">
        <v>6</v>
      </c>
      <c r="E5551" s="1"/>
    </row>
    <row r="5552" ht="14.25" customHeight="1">
      <c r="A5552" s="1">
        <v>100.0</v>
      </c>
      <c r="B5552" s="1" t="s">
        <v>2412</v>
      </c>
      <c r="C5552" s="1">
        <v>9.0</v>
      </c>
      <c r="D5552" s="1" t="s">
        <v>2525</v>
      </c>
      <c r="E5552" s="1" t="str">
        <f>IFERROR(__xludf.DUMMYFUNCTION("GOOGLETRANSLATE(D5552,""PT"",""EN"")"),"I consider Sicoob the best company because it works the best for people, in living in society. I speak to everyone of the benefit. Thank you very much.")</f>
        <v>I consider Sicoob the best company because it works the best for people, in living in society. I speak to everyone of the benefit. Thank you very much.</v>
      </c>
    </row>
    <row r="5553" ht="14.25" customHeight="1">
      <c r="A5553" s="1">
        <v>33.0</v>
      </c>
      <c r="B5553" s="1" t="s">
        <v>2412</v>
      </c>
      <c r="C5553" s="1">
        <v>0.0</v>
      </c>
      <c r="D5553" s="1" t="s">
        <v>6</v>
      </c>
      <c r="E5553" s="1"/>
    </row>
    <row r="5554" ht="14.25" customHeight="1">
      <c r="A5554" s="1">
        <v>100.0</v>
      </c>
      <c r="B5554" s="1" t="s">
        <v>2412</v>
      </c>
      <c r="C5554" s="1">
        <v>10.0</v>
      </c>
      <c r="D5554" s="1" t="s">
        <v>6</v>
      </c>
      <c r="E5554" s="1"/>
    </row>
    <row r="5555" ht="14.25" customHeight="1">
      <c r="A5555" s="1">
        <v>100.0</v>
      </c>
      <c r="B5555" s="1" t="s">
        <v>2412</v>
      </c>
      <c r="C5555" s="1">
        <v>10.0</v>
      </c>
      <c r="D5555" s="1" t="s">
        <v>6</v>
      </c>
      <c r="E5555" s="1"/>
    </row>
    <row r="5556" ht="14.25" customHeight="1">
      <c r="A5556" s="1">
        <v>100.0</v>
      </c>
      <c r="B5556" s="1" t="s">
        <v>2412</v>
      </c>
      <c r="C5556" s="1">
        <v>9.0</v>
      </c>
      <c r="D5556" s="1" t="s">
        <v>571</v>
      </c>
      <c r="E5556" s="1" t="str">
        <f>IFERROR(__xludf.DUMMYFUNCTION("GOOGLETRANSLATE(D5556,""PT"",""EN"")"),"The service")</f>
        <v>The service</v>
      </c>
    </row>
    <row r="5557" ht="14.25" customHeight="1">
      <c r="A5557" s="1">
        <v>100.0</v>
      </c>
      <c r="B5557" s="1" t="s">
        <v>2412</v>
      </c>
      <c r="C5557" s="1">
        <v>10.0</v>
      </c>
      <c r="D5557" s="1" t="s">
        <v>2526</v>
      </c>
      <c r="E5557" s="1" t="str">
        <f>IFERROR(__xludf.DUMMYFUNCTION("GOOGLETRANSLATE(D5557,""PT"",""EN"")"),"I think it could be interesting to other people.")</f>
        <v>I think it could be interesting to other people.</v>
      </c>
    </row>
    <row r="5558" ht="14.25" customHeight="1">
      <c r="A5558" s="1">
        <v>100.0</v>
      </c>
      <c r="B5558" s="1" t="s">
        <v>2412</v>
      </c>
      <c r="C5558" s="1">
        <v>10.0</v>
      </c>
      <c r="D5558" s="1" t="s">
        <v>6</v>
      </c>
      <c r="E5558" s="1"/>
    </row>
    <row r="5559" ht="14.25" customHeight="1">
      <c r="A5559" s="1">
        <v>100.0</v>
      </c>
      <c r="B5559" s="1" t="s">
        <v>2412</v>
      </c>
      <c r="C5559" s="1">
        <v>9.0</v>
      </c>
      <c r="D5559" s="1" t="s">
        <v>6</v>
      </c>
      <c r="E5559" s="1"/>
    </row>
    <row r="5560" ht="14.25" customHeight="1">
      <c r="A5560" s="1">
        <v>100.0</v>
      </c>
      <c r="B5560" s="1" t="s">
        <v>2412</v>
      </c>
      <c r="C5560" s="1">
        <v>10.0</v>
      </c>
      <c r="D5560" s="1" t="s">
        <v>192</v>
      </c>
      <c r="E5560" s="1" t="str">
        <f>IFERROR(__xludf.DUMMYFUNCTION("GOOGLETRANSLATE(D5560,""PT"",""EN"")"),"Great")</f>
        <v>Great</v>
      </c>
    </row>
    <row r="5561" ht="14.25" customHeight="1">
      <c r="A5561" s="1">
        <v>100.0</v>
      </c>
      <c r="B5561" s="1" t="s">
        <v>2412</v>
      </c>
      <c r="C5561" s="1">
        <v>10.0</v>
      </c>
      <c r="D5561" s="1" t="s">
        <v>6</v>
      </c>
      <c r="E5561" s="1"/>
    </row>
    <row r="5562" ht="14.25" customHeight="1">
      <c r="A5562" s="1">
        <v>100.0</v>
      </c>
      <c r="B5562" s="1" t="s">
        <v>2412</v>
      </c>
      <c r="C5562" s="1">
        <v>10.0</v>
      </c>
      <c r="D5562" s="1" t="s">
        <v>2527</v>
      </c>
      <c r="E5562" s="1" t="str">
        <f>IFERROR(__xludf.DUMMYFUNCTION("GOOGLETRANSLATE(D5562,""PT"",""EN"")"),"The best of all time!")</f>
        <v>The best of all time!</v>
      </c>
    </row>
    <row r="5563" ht="14.25" customHeight="1">
      <c r="A5563" s="1">
        <v>100.0</v>
      </c>
      <c r="B5563" s="1" t="s">
        <v>2412</v>
      </c>
      <c r="C5563" s="1">
        <v>10.0</v>
      </c>
      <c r="D5563" s="1" t="s">
        <v>6</v>
      </c>
      <c r="E5563" s="1"/>
    </row>
    <row r="5564" ht="14.25" customHeight="1">
      <c r="A5564" s="1">
        <v>33.0</v>
      </c>
      <c r="B5564" s="1" t="s">
        <v>2412</v>
      </c>
      <c r="C5564" s="1">
        <v>0.0</v>
      </c>
      <c r="D5564" s="1" t="s">
        <v>2528</v>
      </c>
      <c r="E5564" s="1" t="str">
        <f>IFERROR(__xludf.DUMMYFUNCTION("GOOGLETRANSLATE(D5564,""PT"",""EN"")"),"Very high interest rates")</f>
        <v>Very high interest rates</v>
      </c>
    </row>
    <row r="5565" ht="14.25" customHeight="1">
      <c r="A5565" s="1">
        <v>66.0</v>
      </c>
      <c r="B5565" s="1" t="s">
        <v>2412</v>
      </c>
      <c r="C5565" s="1">
        <v>8.0</v>
      </c>
      <c r="D5565" s="1" t="s">
        <v>6</v>
      </c>
      <c r="E5565" s="1"/>
    </row>
    <row r="5566" ht="14.25" customHeight="1">
      <c r="A5566" s="1">
        <v>100.0</v>
      </c>
      <c r="B5566" s="1" t="s">
        <v>2412</v>
      </c>
      <c r="C5566" s="1">
        <v>10.0</v>
      </c>
      <c r="D5566" s="1" t="s">
        <v>6</v>
      </c>
      <c r="E5566" s="1"/>
    </row>
    <row r="5567" ht="14.25" customHeight="1">
      <c r="A5567" s="1">
        <v>100.0</v>
      </c>
      <c r="B5567" s="1" t="s">
        <v>2412</v>
      </c>
      <c r="C5567" s="1">
        <v>9.0</v>
      </c>
      <c r="D5567" s="1" t="s">
        <v>6</v>
      </c>
      <c r="E5567" s="1"/>
    </row>
    <row r="5568" ht="14.25" customHeight="1">
      <c r="A5568" s="1">
        <v>33.0</v>
      </c>
      <c r="B5568" s="1" t="s">
        <v>2412</v>
      </c>
      <c r="C5568" s="1">
        <v>3.0</v>
      </c>
      <c r="D5568" s="1" t="s">
        <v>2529</v>
      </c>
      <c r="E5568" s="1" t="str">
        <f>IFERROR(__xludf.DUMMYFUNCTION("GOOGLETRANSLATE(D5568,""PT"",""EN"")"),"Missing manager!")</f>
        <v>Missing manager!</v>
      </c>
    </row>
    <row r="5569" ht="14.25" customHeight="1">
      <c r="A5569" s="1">
        <v>100.0</v>
      </c>
      <c r="B5569" s="1" t="s">
        <v>2412</v>
      </c>
      <c r="C5569" s="1">
        <v>10.0</v>
      </c>
      <c r="D5569" s="1" t="s">
        <v>6</v>
      </c>
      <c r="E5569" s="1"/>
    </row>
    <row r="5570" ht="14.25" customHeight="1">
      <c r="A5570" s="1">
        <v>33.0</v>
      </c>
      <c r="B5570" s="1" t="s">
        <v>2412</v>
      </c>
      <c r="C5570" s="1">
        <v>0.0</v>
      </c>
      <c r="D5570" s="1" t="s">
        <v>6</v>
      </c>
      <c r="E5570" s="1"/>
    </row>
    <row r="5571" ht="14.25" customHeight="1">
      <c r="A5571" s="1">
        <v>100.0</v>
      </c>
      <c r="B5571" s="1" t="s">
        <v>2412</v>
      </c>
      <c r="C5571" s="1">
        <v>10.0</v>
      </c>
      <c r="D5571" s="2" t="s">
        <v>2530</v>
      </c>
      <c r="E5571" s="1" t="str">
        <f>IFERROR(__xludf.DUMMYFUNCTION("GOOGLETRANSLATE(D5571,""PT"",""EN"")"),"Has fair financial principles and solutions")</f>
        <v>Has fair financial principles and solutions</v>
      </c>
    </row>
    <row r="5572" ht="14.25" customHeight="1">
      <c r="A5572" s="1">
        <v>33.0</v>
      </c>
      <c r="B5572" s="1" t="s">
        <v>2412</v>
      </c>
      <c r="C5572" s="1">
        <v>0.0</v>
      </c>
      <c r="D5572" s="1" t="s">
        <v>6</v>
      </c>
      <c r="E5572" s="1"/>
    </row>
    <row r="5573" ht="14.25" customHeight="1">
      <c r="A5573" s="1">
        <v>100.0</v>
      </c>
      <c r="B5573" s="1" t="s">
        <v>2412</v>
      </c>
      <c r="C5573" s="1">
        <v>10.0</v>
      </c>
      <c r="D5573" s="1" t="s">
        <v>6</v>
      </c>
      <c r="E5573" s="1"/>
    </row>
    <row r="5574" ht="14.25" customHeight="1">
      <c r="A5574" s="1">
        <v>100.0</v>
      </c>
      <c r="B5574" s="1" t="s">
        <v>2412</v>
      </c>
      <c r="C5574" s="1">
        <v>10.0</v>
      </c>
      <c r="D5574" s="2" t="s">
        <v>1655</v>
      </c>
      <c r="E5574" s="1" t="str">
        <f>IFERROR(__xludf.DUMMYFUNCTION("GOOGLETRANSLATE(D5574,""PT"",""EN"")"),"Care and Agility")</f>
        <v>Care and Agility</v>
      </c>
    </row>
    <row r="5575" ht="14.25" customHeight="1">
      <c r="A5575" s="1">
        <v>33.0</v>
      </c>
      <c r="B5575" s="1" t="s">
        <v>2412</v>
      </c>
      <c r="C5575" s="1">
        <v>6.0</v>
      </c>
      <c r="D5575" s="2" t="s">
        <v>2531</v>
      </c>
      <c r="E5575" s="1" t="str">
        <f>IFERROR(__xludf.DUMMYFUNCTION("GOOGLETRANSLATE(D5575,""PT"",""EN"")"),"It is very bureaucratic to get a loan.")</f>
        <v>It is very bureaucratic to get a loan.</v>
      </c>
    </row>
    <row r="5576" ht="14.25" customHeight="1">
      <c r="A5576" s="1">
        <v>33.0</v>
      </c>
      <c r="B5576" s="1" t="s">
        <v>2412</v>
      </c>
      <c r="C5576" s="1">
        <v>6.0</v>
      </c>
      <c r="D5576" s="2" t="s">
        <v>2532</v>
      </c>
      <c r="E5576" s="1" t="str">
        <f>IFERROR(__xludf.DUMMYFUNCTION("GOOGLETRANSLATE(D5576,""PT"",""EN"")"),"Lots of rest with the customer, after it became a money power !!!!")</f>
        <v>Lots of rest with the customer, after it became a money power !!!!</v>
      </c>
    </row>
    <row r="5577" ht="14.25" customHeight="1">
      <c r="A5577" s="1">
        <v>100.0</v>
      </c>
      <c r="B5577" s="1" t="s">
        <v>2412</v>
      </c>
      <c r="C5577" s="1">
        <v>10.0</v>
      </c>
      <c r="D5577" s="1" t="s">
        <v>6</v>
      </c>
      <c r="E5577" s="1"/>
    </row>
    <row r="5578" ht="14.25" customHeight="1">
      <c r="A5578" s="1">
        <v>33.0</v>
      </c>
      <c r="B5578" s="1" t="s">
        <v>2412</v>
      </c>
      <c r="C5578" s="1">
        <v>0.0</v>
      </c>
      <c r="D5578" s="2" t="s">
        <v>2533</v>
      </c>
      <c r="E5578" s="1" t="str">
        <f>IFERROR(__xludf.DUMMYFUNCTION("GOOGLETRANSLATE(D5578,""PT"",""EN"")"),"Bad service, is not fulfilling what promised me.")</f>
        <v>Bad service, is not fulfilling what promised me.</v>
      </c>
    </row>
    <row r="5579" ht="14.25" customHeight="1">
      <c r="A5579" s="1">
        <v>33.0</v>
      </c>
      <c r="B5579" s="1" t="s">
        <v>2412</v>
      </c>
      <c r="C5579" s="1">
        <v>6.0</v>
      </c>
      <c r="D5579" s="1" t="s">
        <v>6</v>
      </c>
      <c r="E5579" s="1"/>
    </row>
    <row r="5580" ht="14.25" customHeight="1">
      <c r="A5580" s="1">
        <v>100.0</v>
      </c>
      <c r="B5580" s="1" t="s">
        <v>2412</v>
      </c>
      <c r="C5580" s="1">
        <v>10.0</v>
      </c>
      <c r="D5580" s="2" t="s">
        <v>2534</v>
      </c>
      <c r="E5580" s="1" t="str">
        <f>IFERROR(__xludf.DUMMYFUNCTION("GOOGLETRANSLATE(D5580,""PT"",""EN"")"),"Facilities is personalized service")</f>
        <v>Facilities is personalized service</v>
      </c>
    </row>
    <row r="5581" ht="14.25" customHeight="1">
      <c r="A5581" s="1">
        <v>100.0</v>
      </c>
      <c r="B5581" s="1" t="s">
        <v>2412</v>
      </c>
      <c r="C5581" s="1">
        <v>10.0</v>
      </c>
      <c r="D5581" s="1" t="s">
        <v>6</v>
      </c>
      <c r="E5581" s="1"/>
    </row>
    <row r="5582" ht="14.25" customHeight="1">
      <c r="A5582" s="1">
        <v>100.0</v>
      </c>
      <c r="B5582" s="1" t="s">
        <v>2412</v>
      </c>
      <c r="C5582" s="1">
        <v>10.0</v>
      </c>
      <c r="D5582" s="1" t="s">
        <v>6</v>
      </c>
      <c r="E5582" s="1"/>
    </row>
    <row r="5583" ht="14.25" customHeight="1">
      <c r="A5583" s="1">
        <v>100.0</v>
      </c>
      <c r="B5583" s="1" t="s">
        <v>2412</v>
      </c>
      <c r="C5583" s="1">
        <v>10.0</v>
      </c>
      <c r="D5583" s="2" t="s">
        <v>2535</v>
      </c>
      <c r="E5583" s="1" t="str">
        <f>IFERROR(__xludf.DUMMYFUNCTION("GOOGLETRANSLATE(D5583,""PT"",""EN"")"),"has a lot of quality and good service")</f>
        <v>has a lot of quality and good service</v>
      </c>
    </row>
    <row r="5584" ht="14.25" customHeight="1">
      <c r="A5584" s="1">
        <v>66.0</v>
      </c>
      <c r="B5584" s="1" t="s">
        <v>2412</v>
      </c>
      <c r="C5584" s="1">
        <v>8.0</v>
      </c>
      <c r="D5584" s="1" t="s">
        <v>2536</v>
      </c>
      <c r="E5584" s="1" t="str">
        <f>IFERROR(__xludf.DUMMYFUNCTION("GOOGLETRANSLATE(D5584,""PT"",""EN"")"),"Very good service")</f>
        <v>Very good service</v>
      </c>
    </row>
    <row r="5585" ht="14.25" customHeight="1">
      <c r="A5585" s="1">
        <v>100.0</v>
      </c>
      <c r="B5585" s="1" t="s">
        <v>2412</v>
      </c>
      <c r="C5585" s="1">
        <v>10.0</v>
      </c>
      <c r="D5585" s="2" t="s">
        <v>2537</v>
      </c>
      <c r="E5585" s="1" t="str">
        <f>IFERROR(__xludf.DUMMYFUNCTION("GOOGLETRANSLATE(D5585,""PT"",""EN"")"),"Cordiality, credibility is security to its associates.")</f>
        <v>Cordiality, credibility is security to its associates.</v>
      </c>
    </row>
    <row r="5586" ht="14.25" customHeight="1">
      <c r="A5586" s="1">
        <v>100.0</v>
      </c>
      <c r="B5586" s="1" t="s">
        <v>2412</v>
      </c>
      <c r="C5586" s="1">
        <v>10.0</v>
      </c>
      <c r="D5586" s="1" t="s">
        <v>37</v>
      </c>
      <c r="E5586" s="1" t="str">
        <f>IFERROR(__xludf.DUMMYFUNCTION("GOOGLETRANSLATE(D5586,""PT"",""EN"")"),"Great service")</f>
        <v>Great service</v>
      </c>
    </row>
    <row r="5587" ht="14.25" customHeight="1">
      <c r="A5587" s="1">
        <v>100.0</v>
      </c>
      <c r="B5587" s="1" t="s">
        <v>2412</v>
      </c>
      <c r="C5587" s="1">
        <v>9.0</v>
      </c>
      <c r="D5587" s="2" t="s">
        <v>2538</v>
      </c>
      <c r="E5587" s="1" t="str">
        <f>IFERROR(__xludf.DUMMYFUNCTION("GOOGLETRANSLATE(D5587,""PT"",""EN"")"),"Good service is clarity in negotiations")</f>
        <v>Good service is clarity in negotiations</v>
      </c>
    </row>
    <row r="5588" ht="14.25" customHeight="1">
      <c r="A5588" s="1">
        <v>100.0</v>
      </c>
      <c r="B5588" s="1" t="s">
        <v>2412</v>
      </c>
      <c r="C5588" s="1">
        <v>10.0</v>
      </c>
      <c r="D5588" s="1" t="s">
        <v>6</v>
      </c>
      <c r="E5588" s="1"/>
    </row>
    <row r="5589" ht="14.25" customHeight="1">
      <c r="A5589" s="1">
        <v>100.0</v>
      </c>
      <c r="B5589" s="1" t="s">
        <v>2412</v>
      </c>
      <c r="C5589" s="1">
        <v>10.0</v>
      </c>
      <c r="D5589" s="2" t="s">
        <v>2539</v>
      </c>
      <c r="E5589" s="1" t="str">
        <f>IFERROR(__xludf.DUMMYFUNCTION("GOOGLETRANSLATE(D5589,""PT"",""EN"")"),"Easy, fast in solutions")</f>
        <v>Easy, fast in solutions</v>
      </c>
    </row>
    <row r="5590" ht="14.25" customHeight="1">
      <c r="A5590" s="1">
        <v>33.0</v>
      </c>
      <c r="B5590" s="1" t="s">
        <v>2412</v>
      </c>
      <c r="C5590" s="1">
        <v>6.0</v>
      </c>
      <c r="D5590" s="2" t="s">
        <v>2540</v>
      </c>
      <c r="E5590" s="1" t="str">
        <f>IFERROR(__xludf.DUMMYFUNCTION("GOOGLETRANSLATE(D5590,""PT"",""EN"")"),"Lots of bureaucracy became a bank like others, which previously offered the cooperatives more.")</f>
        <v>Lots of bureaucracy became a bank like others, which previously offered the cooperatives more.</v>
      </c>
    </row>
    <row r="5591" ht="14.25" customHeight="1">
      <c r="A5591" s="1">
        <v>100.0</v>
      </c>
      <c r="B5591" s="1" t="s">
        <v>2412</v>
      </c>
      <c r="C5591" s="1">
        <v>9.0</v>
      </c>
      <c r="D5591" s="1" t="s">
        <v>6</v>
      </c>
      <c r="E5591" s="1"/>
    </row>
    <row r="5592" ht="14.25" customHeight="1">
      <c r="A5592" s="1">
        <v>100.0</v>
      </c>
      <c r="B5592" s="1" t="s">
        <v>2412</v>
      </c>
      <c r="C5592" s="1">
        <v>10.0</v>
      </c>
      <c r="D5592" s="2" t="s">
        <v>2541</v>
      </c>
      <c r="E5592" s="1" t="str">
        <f>IFERROR(__xludf.DUMMYFUNCTION("GOOGLETRANSLATE(D5592,""PT"",""EN"")"),"Less capitalism, but cooperativism!")</f>
        <v>Less capitalism, but cooperativism!</v>
      </c>
    </row>
    <row r="5593" ht="14.25" customHeight="1">
      <c r="A5593" s="1">
        <v>33.0</v>
      </c>
      <c r="B5593" s="1" t="s">
        <v>2412</v>
      </c>
      <c r="C5593" s="1">
        <v>3.0</v>
      </c>
      <c r="D5593" s="1" t="s">
        <v>6</v>
      </c>
      <c r="E5593" s="1"/>
    </row>
    <row r="5594" ht="14.25" customHeight="1">
      <c r="A5594" s="1">
        <v>33.0</v>
      </c>
      <c r="B5594" s="1" t="s">
        <v>2412</v>
      </c>
      <c r="C5594" s="1">
        <v>6.0</v>
      </c>
      <c r="D5594" s="1" t="s">
        <v>388</v>
      </c>
      <c r="E5594" s="1" t="str">
        <f>IFERROR(__xludf.DUMMYFUNCTION("GOOGLETRANSLATE(D5594,""PT"",""EN"")"),"8")</f>
        <v>8</v>
      </c>
    </row>
    <row r="5595" ht="14.25" customHeight="1">
      <c r="A5595" s="1">
        <v>100.0</v>
      </c>
      <c r="B5595" s="1" t="s">
        <v>2412</v>
      </c>
      <c r="C5595" s="1">
        <v>9.0</v>
      </c>
      <c r="D5595" s="1" t="s">
        <v>6</v>
      </c>
      <c r="E5595" s="1"/>
    </row>
    <row r="5596" ht="14.25" customHeight="1">
      <c r="A5596" s="1">
        <v>66.0</v>
      </c>
      <c r="B5596" s="1" t="s">
        <v>2412</v>
      </c>
      <c r="C5596" s="1">
        <v>7.0</v>
      </c>
      <c r="D5596" s="1" t="s">
        <v>2542</v>
      </c>
      <c r="E5596" s="1" t="str">
        <f>IFERROR(__xludf.DUMMYFUNCTION("GOOGLETRANSLATE(D5596,""PT"",""EN"")"),"Despite philosophy, there is great political interference implemented by groups, which remain in the direction")</f>
        <v>Despite philosophy, there is great political interference implemented by groups, which remain in the direction</v>
      </c>
    </row>
    <row r="5597" ht="14.25" customHeight="1">
      <c r="A5597" s="1">
        <v>100.0</v>
      </c>
      <c r="B5597" s="1" t="s">
        <v>2412</v>
      </c>
      <c r="C5597" s="1">
        <v>10.0</v>
      </c>
      <c r="D5597" s="1" t="s">
        <v>2543</v>
      </c>
      <c r="E5597" s="1" t="str">
        <f>IFERROR(__xludf.DUMMYFUNCTION("GOOGLETRANSLATE(D5597,""PT"",""EN"")"),"One of the best calls")</f>
        <v>One of the best calls</v>
      </c>
    </row>
    <row r="5598" ht="14.25" customHeight="1">
      <c r="A5598" s="1">
        <v>33.0</v>
      </c>
      <c r="B5598" s="1" t="s">
        <v>2412</v>
      </c>
      <c r="C5598" s="1">
        <v>0.0</v>
      </c>
      <c r="D5598" s="2" t="s">
        <v>2544</v>
      </c>
      <c r="E5598" s="1" t="str">
        <f>IFERROR(__xludf.DUMMYFUNCTION("GOOGLETRANSLATE(D5598,""PT"",""EN"")"),"I never got a credit in this cooperative either personal or to buy vehicle. A lot of bureaucracy")</f>
        <v>I never got a credit in this cooperative either personal or to buy vehicle. A lot of bureaucracy</v>
      </c>
    </row>
    <row r="5599" ht="14.25" customHeight="1">
      <c r="A5599" s="1">
        <v>100.0</v>
      </c>
      <c r="B5599" s="1" t="s">
        <v>2412</v>
      </c>
      <c r="C5599" s="1">
        <v>10.0</v>
      </c>
      <c r="D5599" s="1" t="s">
        <v>6</v>
      </c>
      <c r="E5599" s="1"/>
    </row>
    <row r="5600" ht="14.25" customHeight="1">
      <c r="A5600" s="1">
        <v>100.0</v>
      </c>
      <c r="B5600" s="1" t="s">
        <v>2412</v>
      </c>
      <c r="C5600" s="1">
        <v>10.0</v>
      </c>
      <c r="D5600" s="1" t="s">
        <v>456</v>
      </c>
      <c r="E5600" s="1" t="str">
        <f>IFERROR(__xludf.DUMMYFUNCTION("GOOGLETRANSLATE(D5600,""PT"",""EN"")"),"service")</f>
        <v>service</v>
      </c>
    </row>
    <row r="5601" ht="14.25" customHeight="1">
      <c r="A5601" s="1">
        <v>100.0</v>
      </c>
      <c r="B5601" s="1" t="s">
        <v>2412</v>
      </c>
      <c r="C5601" s="1">
        <v>9.0</v>
      </c>
      <c r="D5601" s="1" t="s">
        <v>2545</v>
      </c>
      <c r="E5601" s="1" t="str">
        <f>IFERROR(__xludf.DUMMYFUNCTION("GOOGLETRANSLATE(D5601,""PT"",""EN"")"),"A great bank with safe app.")</f>
        <v>A great bank with safe app.</v>
      </c>
    </row>
    <row r="5602" ht="14.25" customHeight="1">
      <c r="A5602" s="1">
        <v>100.0</v>
      </c>
      <c r="B5602" s="1" t="s">
        <v>2412</v>
      </c>
      <c r="C5602" s="1">
        <v>9.0</v>
      </c>
      <c r="D5602" s="1" t="s">
        <v>6</v>
      </c>
      <c r="E5602" s="1"/>
    </row>
    <row r="5603" ht="14.25" customHeight="1">
      <c r="A5603" s="1">
        <v>100.0</v>
      </c>
      <c r="B5603" s="1" t="s">
        <v>2412</v>
      </c>
      <c r="C5603" s="1">
        <v>10.0</v>
      </c>
      <c r="D5603" s="1" t="s">
        <v>6</v>
      </c>
      <c r="E5603" s="1"/>
    </row>
    <row r="5604" ht="14.25" customHeight="1">
      <c r="A5604" s="1">
        <v>100.0</v>
      </c>
      <c r="B5604" s="1" t="s">
        <v>2412</v>
      </c>
      <c r="C5604" s="1">
        <v>10.0</v>
      </c>
      <c r="D5604" s="1" t="s">
        <v>6</v>
      </c>
      <c r="E5604" s="1"/>
    </row>
    <row r="5605" ht="14.25" customHeight="1">
      <c r="A5605" s="1">
        <v>100.0</v>
      </c>
      <c r="B5605" s="1" t="s">
        <v>2412</v>
      </c>
      <c r="C5605" s="1">
        <v>10.0</v>
      </c>
      <c r="D5605" s="1" t="s">
        <v>2546</v>
      </c>
      <c r="E5605" s="1" t="str">
        <f>IFERROR(__xludf.DUMMYFUNCTION("GOOGLETRANSLATE(D5605,""PT"",""EN"")"),"Very well received")</f>
        <v>Very well received</v>
      </c>
    </row>
    <row r="5606" ht="14.25" customHeight="1">
      <c r="A5606" s="1">
        <v>100.0</v>
      </c>
      <c r="B5606" s="1" t="s">
        <v>2412</v>
      </c>
      <c r="C5606" s="1">
        <v>10.0</v>
      </c>
      <c r="D5606" s="2" t="s">
        <v>2547</v>
      </c>
      <c r="E5606" s="1" t="str">
        <f>IFERROR(__xludf.DUMMYFUNCTION("GOOGLETRANSLATE(D5606,""PT"",""EN"")"),"My manager Carla is your assistant Jessica are spectacular, always attend me with readiness and agility.")</f>
        <v>My manager Carla is your assistant Jessica are spectacular, always attend me with readiness and agility.</v>
      </c>
    </row>
    <row r="5607" ht="14.25" customHeight="1">
      <c r="A5607" s="1">
        <v>100.0</v>
      </c>
      <c r="B5607" s="1" t="s">
        <v>2412</v>
      </c>
      <c r="C5607" s="1">
        <v>10.0</v>
      </c>
      <c r="D5607" s="1" t="s">
        <v>2548</v>
      </c>
      <c r="E5607" s="1" t="str">
        <f>IFERROR(__xludf.DUMMYFUNCTION("GOOGLETRANSLATE(D5607,""PT"",""EN"")"),"The best bank I know. Super Indico")</f>
        <v>The best bank I know. Super Indico</v>
      </c>
    </row>
    <row r="5608" ht="14.25" customHeight="1">
      <c r="A5608" s="1">
        <v>100.0</v>
      </c>
      <c r="B5608" s="1" t="s">
        <v>2412</v>
      </c>
      <c r="C5608" s="1">
        <v>10.0</v>
      </c>
      <c r="D5608" s="1" t="s">
        <v>6</v>
      </c>
      <c r="E5608" s="1"/>
    </row>
    <row r="5609" ht="14.25" customHeight="1">
      <c r="A5609" s="1">
        <v>66.0</v>
      </c>
      <c r="B5609" s="1" t="s">
        <v>2412</v>
      </c>
      <c r="C5609" s="1">
        <v>8.0</v>
      </c>
      <c r="D5609" s="1" t="s">
        <v>6</v>
      </c>
      <c r="E5609" s="1"/>
    </row>
    <row r="5610" ht="14.25" customHeight="1">
      <c r="A5610" s="1">
        <v>100.0</v>
      </c>
      <c r="B5610" s="1" t="s">
        <v>2412</v>
      </c>
      <c r="C5610" s="1">
        <v>10.0</v>
      </c>
      <c r="D5610" s="1" t="s">
        <v>22</v>
      </c>
      <c r="E5610" s="1" t="str">
        <f>IFERROR(__xludf.DUMMYFUNCTION("GOOGLETRANSLATE(D5610,""PT"",""EN"")"),"Excellent service")</f>
        <v>Excellent service</v>
      </c>
    </row>
    <row r="5611" ht="14.25" customHeight="1">
      <c r="A5611" s="1">
        <v>33.0</v>
      </c>
      <c r="B5611" s="1" t="s">
        <v>2412</v>
      </c>
      <c r="C5611" s="1">
        <v>0.0</v>
      </c>
      <c r="D5611" s="2" t="s">
        <v>2549</v>
      </c>
      <c r="E5611" s="1" t="str">
        <f>IFERROR(__xludf.DUMMYFUNCTION("GOOGLETRANSLATE(D5611,""PT"",""EN"")"),"Insurance issued without my authorization, hard -to -reach physical agency, robotic call center is inefficient. Impatient employee is rude serving in the SAC.")</f>
        <v>Insurance issued without my authorization, hard -to -reach physical agency, robotic call center is inefficient. Impatient employee is rude serving in the SAC.</v>
      </c>
    </row>
    <row r="5612" ht="14.25" customHeight="1">
      <c r="A5612" s="1">
        <v>100.0</v>
      </c>
      <c r="B5612" s="1" t="s">
        <v>2412</v>
      </c>
      <c r="C5612" s="1">
        <v>9.0</v>
      </c>
      <c r="D5612" s="1" t="s">
        <v>6</v>
      </c>
      <c r="E5612" s="1"/>
    </row>
    <row r="5613" ht="14.25" customHeight="1">
      <c r="A5613" s="1">
        <v>100.0</v>
      </c>
      <c r="B5613" s="1" t="s">
        <v>2412</v>
      </c>
      <c r="C5613" s="1">
        <v>10.0</v>
      </c>
      <c r="D5613" s="1" t="s">
        <v>6</v>
      </c>
      <c r="E5613" s="1"/>
    </row>
    <row r="5614" ht="14.25" customHeight="1">
      <c r="A5614" s="1">
        <v>33.0</v>
      </c>
      <c r="B5614" s="1" t="s">
        <v>2412</v>
      </c>
      <c r="C5614" s="1">
        <v>0.0</v>
      </c>
      <c r="D5614" s="2" t="s">
        <v>2550</v>
      </c>
      <c r="E5614" s="1" t="str">
        <f>IFERROR(__xludf.DUMMYFUNCTION("GOOGLETRANSLATE(D5614,""PT"",""EN"")"),"Bank that does not negotiate. Pass far.")</f>
        <v>Bank that does not negotiate. Pass far.</v>
      </c>
    </row>
    <row r="5615" ht="14.25" customHeight="1">
      <c r="A5615" s="1">
        <v>100.0</v>
      </c>
      <c r="B5615" s="1" t="s">
        <v>2412</v>
      </c>
      <c r="C5615" s="1">
        <v>10.0</v>
      </c>
      <c r="D5615" s="1" t="s">
        <v>6</v>
      </c>
      <c r="E5615" s="1"/>
    </row>
    <row r="5616" ht="14.25" customHeight="1">
      <c r="A5616" s="1">
        <v>66.0</v>
      </c>
      <c r="B5616" s="1" t="s">
        <v>2412</v>
      </c>
      <c r="C5616" s="1">
        <v>7.0</v>
      </c>
      <c r="D5616" s="1" t="s">
        <v>6</v>
      </c>
      <c r="E5616" s="1"/>
    </row>
    <row r="5617" ht="14.25" customHeight="1">
      <c r="A5617" s="1">
        <v>100.0</v>
      </c>
      <c r="B5617" s="1" t="s">
        <v>2412</v>
      </c>
      <c r="C5617" s="1">
        <v>9.0</v>
      </c>
      <c r="D5617" s="1" t="s">
        <v>6</v>
      </c>
      <c r="E5617" s="1"/>
    </row>
    <row r="5618" ht="14.25" customHeight="1">
      <c r="A5618" s="1">
        <v>33.0</v>
      </c>
      <c r="B5618" s="1" t="s">
        <v>2412</v>
      </c>
      <c r="C5618" s="1">
        <v>0.0</v>
      </c>
      <c r="D5618" s="1" t="s">
        <v>6</v>
      </c>
      <c r="E5618" s="1"/>
    </row>
    <row r="5619" ht="14.25" customHeight="1">
      <c r="A5619" s="1">
        <v>100.0</v>
      </c>
      <c r="B5619" s="1" t="s">
        <v>2412</v>
      </c>
      <c r="C5619" s="1">
        <v>10.0</v>
      </c>
      <c r="D5619" s="1" t="s">
        <v>6</v>
      </c>
      <c r="E5619" s="1"/>
    </row>
    <row r="5620" ht="14.25" customHeight="1">
      <c r="A5620" s="1">
        <v>33.0</v>
      </c>
      <c r="B5620" s="1" t="s">
        <v>2412</v>
      </c>
      <c r="C5620" s="1">
        <v>0.0</v>
      </c>
      <c r="D5620" s="1" t="s">
        <v>6</v>
      </c>
      <c r="E5620" s="1"/>
    </row>
    <row r="5621" ht="14.25" customHeight="1">
      <c r="A5621" s="1">
        <v>33.0</v>
      </c>
      <c r="B5621" s="1" t="s">
        <v>2412</v>
      </c>
      <c r="C5621" s="1">
        <v>3.0</v>
      </c>
      <c r="D5621" s="1" t="s">
        <v>6</v>
      </c>
      <c r="E5621" s="1"/>
    </row>
    <row r="5622" ht="14.25" customHeight="1">
      <c r="A5622" s="1">
        <v>33.0</v>
      </c>
      <c r="B5622" s="1" t="s">
        <v>2412</v>
      </c>
      <c r="C5622" s="1">
        <v>6.0</v>
      </c>
      <c r="D5622" s="1" t="s">
        <v>2551</v>
      </c>
      <c r="E5622" s="1" t="str">
        <f>IFERROR(__xludf.DUMMYFUNCTION("GOOGLETRANSLATE(D5622,""PT"",""EN"")"),"8.5")</f>
        <v>8.5</v>
      </c>
    </row>
    <row r="5623" ht="14.25" customHeight="1">
      <c r="A5623" s="1">
        <v>100.0</v>
      </c>
      <c r="B5623" s="1" t="s">
        <v>2412</v>
      </c>
      <c r="C5623" s="1">
        <v>10.0</v>
      </c>
      <c r="D5623" s="1" t="s">
        <v>192</v>
      </c>
      <c r="E5623" s="1" t="str">
        <f>IFERROR(__xludf.DUMMYFUNCTION("GOOGLETRANSLATE(D5623,""PT"",""EN"")"),"Great")</f>
        <v>Great</v>
      </c>
    </row>
    <row r="5624" ht="14.25" customHeight="1">
      <c r="A5624" s="1">
        <v>100.0</v>
      </c>
      <c r="B5624" s="1" t="s">
        <v>2412</v>
      </c>
      <c r="C5624" s="1">
        <v>10.0</v>
      </c>
      <c r="D5624" s="1" t="s">
        <v>6</v>
      </c>
      <c r="E5624" s="1"/>
    </row>
    <row r="5625" ht="14.25" customHeight="1">
      <c r="A5625" s="1">
        <v>33.0</v>
      </c>
      <c r="B5625" s="1" t="s">
        <v>2412</v>
      </c>
      <c r="C5625" s="1">
        <v>0.0</v>
      </c>
      <c r="D5625" s="2" t="s">
        <v>2552</v>
      </c>
      <c r="E5625" s="1" t="str">
        <f>IFERROR(__xludf.DUMMYFUNCTION("GOOGLETRANSLATE(D5625,""PT"",""EN"")"),"terrible! To charge it is a beauty but for the rest is pesse! Horrible service is super long…")</f>
        <v>terrible! To charge it is a beauty but for the rest is pesse! Horrible service is super long…</v>
      </c>
    </row>
    <row r="5626" ht="14.25" customHeight="1">
      <c r="A5626" s="1">
        <v>100.0</v>
      </c>
      <c r="B5626" s="1" t="s">
        <v>2412</v>
      </c>
      <c r="C5626" s="1">
        <v>10.0</v>
      </c>
      <c r="D5626" s="1" t="s">
        <v>2553</v>
      </c>
      <c r="E5626" s="1" t="str">
        <f>IFERROR(__xludf.DUMMYFUNCTION("GOOGLETRANSLATE(D5626,""PT"",""EN"")"),"great service!")</f>
        <v>great service!</v>
      </c>
    </row>
    <row r="5627" ht="14.25" customHeight="1">
      <c r="A5627" s="1">
        <v>100.0</v>
      </c>
      <c r="B5627" s="1" t="s">
        <v>2412</v>
      </c>
      <c r="C5627" s="1">
        <v>10.0</v>
      </c>
      <c r="D5627" s="1" t="s">
        <v>2554</v>
      </c>
      <c r="E5627" s="1" t="str">
        <f>IFERROR(__xludf.DUMMYFUNCTION("GOOGLETRANSLATE(D5627,""PT"",""EN"")"),"Gratitude for Sicoob")</f>
        <v>Gratitude for Sicoob</v>
      </c>
    </row>
    <row r="5628" ht="14.25" customHeight="1">
      <c r="A5628" s="1">
        <v>100.0</v>
      </c>
      <c r="B5628" s="1" t="s">
        <v>2412</v>
      </c>
      <c r="C5628" s="1">
        <v>10.0</v>
      </c>
      <c r="D5628" s="2" t="s">
        <v>2555</v>
      </c>
      <c r="E5628" s="1" t="str">
        <f>IFERROR(__xludf.DUMMYFUNCTION("GOOGLETRANSLATE(D5628,""PT"",""EN"")"),"Humanized care, spirit in solving the problems of the members.")</f>
        <v>Humanized care, spirit in solving the problems of the members.</v>
      </c>
    </row>
    <row r="5629" ht="14.25" customHeight="1">
      <c r="A5629" s="1">
        <v>100.0</v>
      </c>
      <c r="B5629" s="1" t="s">
        <v>2412</v>
      </c>
      <c r="C5629" s="1">
        <v>10.0</v>
      </c>
      <c r="D5629" s="2" t="s">
        <v>2556</v>
      </c>
      <c r="E5629" s="1" t="str">
        <f>IFERROR(__xludf.DUMMYFUNCTION("GOOGLETRANSLATE(D5629,""PT"",""EN"")"),"Excellent service for both whatsapp and connection, application works very fast to transfer or make payment")</f>
        <v>Excellent service for both whatsapp and connection, application works very fast to transfer or make payment</v>
      </c>
    </row>
    <row r="5630" ht="14.25" customHeight="1">
      <c r="A5630" s="1">
        <v>100.0</v>
      </c>
      <c r="B5630" s="1" t="s">
        <v>2412</v>
      </c>
      <c r="C5630" s="1">
        <v>10.0</v>
      </c>
      <c r="D5630" s="1" t="s">
        <v>2557</v>
      </c>
      <c r="E5630" s="1" t="str">
        <f>IFERROR(__xludf.DUMMYFUNCTION("GOOGLETRANSLATE(D5630,""PT"",""EN"")"),"Find a good service good service")</f>
        <v>Find a good service good service</v>
      </c>
    </row>
    <row r="5631" ht="14.25" customHeight="1">
      <c r="A5631" s="1">
        <v>100.0</v>
      </c>
      <c r="B5631" s="1" t="s">
        <v>2412</v>
      </c>
      <c r="C5631" s="1">
        <v>10.0</v>
      </c>
      <c r="D5631" s="1" t="s">
        <v>6</v>
      </c>
      <c r="E5631" s="1"/>
    </row>
    <row r="5632" ht="14.25" customHeight="1">
      <c r="A5632" s="1">
        <v>66.0</v>
      </c>
      <c r="B5632" s="1" t="s">
        <v>2412</v>
      </c>
      <c r="C5632" s="1">
        <v>8.0</v>
      </c>
      <c r="D5632" s="2" t="s">
        <v>2558</v>
      </c>
      <c r="E5632" s="1" t="str">
        <f>IFERROR(__xludf.DUMMYFUNCTION("GOOGLETRANSLATE(D5632,""PT"",""EN"")"),"A very good bank to work, in my case the credit was missing.")</f>
        <v>A very good bank to work, in my case the credit was missing.</v>
      </c>
    </row>
    <row r="5633" ht="14.25" customHeight="1">
      <c r="A5633" s="1">
        <v>100.0</v>
      </c>
      <c r="B5633" s="1" t="s">
        <v>2412</v>
      </c>
      <c r="C5633" s="1">
        <v>9.0</v>
      </c>
      <c r="D5633" s="1" t="s">
        <v>6</v>
      </c>
      <c r="E5633" s="1"/>
    </row>
    <row r="5634" ht="14.25" customHeight="1">
      <c r="A5634" s="1">
        <v>100.0</v>
      </c>
      <c r="B5634" s="1" t="s">
        <v>2412</v>
      </c>
      <c r="C5634" s="1">
        <v>10.0</v>
      </c>
      <c r="D5634" s="2" t="s">
        <v>2559</v>
      </c>
      <c r="E5634" s="1" t="str">
        <f>IFERROR(__xludf.DUMMYFUNCTION("GOOGLETRANSLATE(D5634,""PT"",""EN"")"),"The best cooperative that exists!")</f>
        <v>The best cooperative that exists!</v>
      </c>
    </row>
    <row r="5635" ht="14.25" customHeight="1">
      <c r="A5635" s="1">
        <v>66.0</v>
      </c>
      <c r="B5635" s="1" t="s">
        <v>2412</v>
      </c>
      <c r="C5635" s="1">
        <v>8.0</v>
      </c>
      <c r="D5635" s="1" t="s">
        <v>6</v>
      </c>
      <c r="E5635" s="1"/>
    </row>
    <row r="5636" ht="14.25" customHeight="1">
      <c r="A5636" s="1">
        <v>100.0</v>
      </c>
      <c r="B5636" s="1" t="s">
        <v>2412</v>
      </c>
      <c r="C5636" s="1">
        <v>10.0</v>
      </c>
      <c r="D5636" s="1" t="s">
        <v>6</v>
      </c>
      <c r="E5636" s="1"/>
    </row>
    <row r="5637" ht="14.25" customHeight="1">
      <c r="A5637" s="1">
        <v>100.0</v>
      </c>
      <c r="B5637" s="1" t="s">
        <v>2412</v>
      </c>
      <c r="C5637" s="1">
        <v>10.0</v>
      </c>
      <c r="D5637" s="2" t="s">
        <v>2560</v>
      </c>
      <c r="E5637" s="1" t="str">
        <f>IFERROR(__xludf.DUMMYFUNCTION("GOOGLETRANSLATE(D5637,""PT"",""EN"")"),"I learned to like this bank because the service is always very fast is all the employee serves agent in greater education and promptness.")</f>
        <v>I learned to like this bank because the service is always very fast is all the employee serves agent in greater education and promptness.</v>
      </c>
    </row>
    <row r="5638" ht="14.25" customHeight="1">
      <c r="A5638" s="1">
        <v>33.0</v>
      </c>
      <c r="B5638" s="1" t="s">
        <v>2412</v>
      </c>
      <c r="C5638" s="1">
        <v>3.0</v>
      </c>
      <c r="D5638" s="1" t="s">
        <v>2561</v>
      </c>
      <c r="E5638" s="1" t="str">
        <f>IFERROR(__xludf.DUMMYFUNCTION("GOOGLETRANSLATE(D5638,""PT"",""EN"")"),"In general, uncomplicated app.")</f>
        <v>In general, uncomplicated app.</v>
      </c>
    </row>
    <row r="5639" ht="14.25" customHeight="1">
      <c r="A5639" s="1">
        <v>33.0</v>
      </c>
      <c r="B5639" s="1" t="s">
        <v>2412</v>
      </c>
      <c r="C5639" s="1">
        <v>6.0</v>
      </c>
      <c r="D5639" s="1" t="s">
        <v>6</v>
      </c>
      <c r="E5639" s="1"/>
    </row>
    <row r="5640" ht="14.25" customHeight="1">
      <c r="A5640" s="1">
        <v>100.0</v>
      </c>
      <c r="B5640" s="1" t="s">
        <v>2412</v>
      </c>
      <c r="C5640" s="1">
        <v>10.0</v>
      </c>
      <c r="D5640" s="1" t="s">
        <v>2562</v>
      </c>
      <c r="E5640" s="1" t="str">
        <f>IFERROR(__xludf.DUMMYFUNCTION("GOOGLETRANSLATE(D5640,""PT"",""EN"")"),"Perfect service.")</f>
        <v>Perfect service.</v>
      </c>
    </row>
    <row r="5641" ht="14.25" customHeight="1">
      <c r="A5641" s="1">
        <v>100.0</v>
      </c>
      <c r="B5641" s="1" t="s">
        <v>2412</v>
      </c>
      <c r="C5641" s="1">
        <v>10.0</v>
      </c>
      <c r="D5641" s="1" t="s">
        <v>6</v>
      </c>
      <c r="E5641" s="1"/>
    </row>
    <row r="5642" ht="14.25" customHeight="1">
      <c r="A5642" s="1">
        <v>33.0</v>
      </c>
      <c r="B5642" s="1" t="s">
        <v>2412</v>
      </c>
      <c r="C5642" s="1">
        <v>0.0</v>
      </c>
      <c r="D5642" s="1" t="s">
        <v>2563</v>
      </c>
      <c r="E5642" s="1" t="str">
        <f>IFERROR(__xludf.DUMMYFUNCTION("GOOGLETRANSLATE(D5642,""PT"",""EN"")"),"dissatisfaction")</f>
        <v>dissatisfaction</v>
      </c>
    </row>
    <row r="5643" ht="14.25" customHeight="1">
      <c r="A5643" s="1">
        <v>33.0</v>
      </c>
      <c r="B5643" s="1" t="s">
        <v>2412</v>
      </c>
      <c r="C5643" s="1">
        <v>3.0</v>
      </c>
      <c r="D5643" s="2" t="s">
        <v>2564</v>
      </c>
      <c r="E5643" s="1" t="str">
        <f>IFERROR(__xludf.DUMMYFUNCTION("GOOGLETRANSLATE(D5643,""PT"",""EN"")"),"Service. It is complicated to provide loan")</f>
        <v>Service. It is complicated to provide loan</v>
      </c>
    </row>
    <row r="5644" ht="14.25" customHeight="1">
      <c r="A5644" s="1">
        <v>100.0</v>
      </c>
      <c r="B5644" s="1" t="s">
        <v>2412</v>
      </c>
      <c r="C5644" s="1">
        <v>10.0</v>
      </c>
      <c r="D5644" s="1" t="s">
        <v>6</v>
      </c>
      <c r="E5644" s="1"/>
    </row>
    <row r="5645" ht="14.25" customHeight="1">
      <c r="A5645" s="1">
        <v>100.0</v>
      </c>
      <c r="B5645" s="1" t="s">
        <v>2412</v>
      </c>
      <c r="C5645" s="1">
        <v>10.0</v>
      </c>
      <c r="D5645" s="1" t="s">
        <v>18</v>
      </c>
      <c r="E5645" s="1" t="str">
        <f>IFERROR(__xludf.DUMMYFUNCTION("GOOGLETRANSLATE(D5645,""PT"",""EN"")"),"Trust")</f>
        <v>Trust</v>
      </c>
    </row>
    <row r="5646" ht="14.25" customHeight="1">
      <c r="A5646" s="1">
        <v>66.0</v>
      </c>
      <c r="B5646" s="1" t="s">
        <v>2412</v>
      </c>
      <c r="C5646" s="1">
        <v>8.0</v>
      </c>
      <c r="D5646" s="1" t="s">
        <v>2565</v>
      </c>
      <c r="E5646" s="1" t="str">
        <f>IFERROR(__xludf.DUMMYFUNCTION("GOOGLETRANSLATE(D5646,""PT"",""EN"")"),"A short time I'm using Sicoob")</f>
        <v>A short time I'm using Sicoob</v>
      </c>
    </row>
    <row r="5647" ht="14.25" customHeight="1">
      <c r="A5647" s="1">
        <v>100.0</v>
      </c>
      <c r="B5647" s="1" t="s">
        <v>2412</v>
      </c>
      <c r="C5647" s="1">
        <v>10.0</v>
      </c>
      <c r="D5647" s="2" t="s">
        <v>2566</v>
      </c>
      <c r="E5647" s="1" t="str">
        <f>IFERROR(__xludf.DUMMYFUNCTION("GOOGLETRANSLATE(D5647,""PT"",""EN"")"),"Respect; Attention and speed!")</f>
        <v>Respect; Attention and speed!</v>
      </c>
    </row>
    <row r="5648" ht="14.25" customHeight="1">
      <c r="A5648" s="1">
        <v>100.0</v>
      </c>
      <c r="B5648" s="1" t="s">
        <v>2412</v>
      </c>
      <c r="C5648" s="1">
        <v>10.0</v>
      </c>
      <c r="D5648" s="1" t="s">
        <v>2567</v>
      </c>
      <c r="E5648" s="1" t="str">
        <f>IFERROR(__xludf.DUMMYFUNCTION("GOOGLETRANSLATE(D5648,""PT"",""EN"")"),"By cooperativism")</f>
        <v>By cooperativism</v>
      </c>
    </row>
    <row r="5649" ht="14.25" customHeight="1">
      <c r="A5649" s="1">
        <v>100.0</v>
      </c>
      <c r="B5649" s="1" t="s">
        <v>2412</v>
      </c>
      <c r="C5649" s="1">
        <v>10.0</v>
      </c>
      <c r="D5649" s="1" t="s">
        <v>2568</v>
      </c>
      <c r="E5649" s="1" t="str">
        <f>IFERROR(__xludf.DUMMYFUNCTION("GOOGLETRANSLATE(D5649,""PT"",""EN"")"),"An excellent bank")</f>
        <v>An excellent bank</v>
      </c>
    </row>
    <row r="5650" ht="14.25" customHeight="1">
      <c r="A5650" s="1">
        <v>66.0</v>
      </c>
      <c r="B5650" s="1" t="s">
        <v>2412</v>
      </c>
      <c r="C5650" s="1">
        <v>8.0</v>
      </c>
      <c r="D5650" s="1" t="s">
        <v>6</v>
      </c>
      <c r="E5650" s="1"/>
    </row>
    <row r="5651" ht="14.25" customHeight="1">
      <c r="A5651" s="1">
        <v>100.0</v>
      </c>
      <c r="B5651" s="1" t="s">
        <v>2412</v>
      </c>
      <c r="C5651" s="1">
        <v>10.0</v>
      </c>
      <c r="D5651" s="1" t="s">
        <v>6</v>
      </c>
      <c r="E5651" s="1"/>
    </row>
    <row r="5652" ht="14.25" customHeight="1">
      <c r="A5652" s="1">
        <v>100.0</v>
      </c>
      <c r="B5652" s="1" t="s">
        <v>2412</v>
      </c>
      <c r="C5652" s="1">
        <v>9.0</v>
      </c>
      <c r="D5652" s="1" t="s">
        <v>6</v>
      </c>
      <c r="E5652" s="1"/>
    </row>
    <row r="5653" ht="14.25" customHeight="1">
      <c r="A5653" s="1">
        <v>33.0</v>
      </c>
      <c r="B5653" s="1" t="s">
        <v>2412</v>
      </c>
      <c r="C5653" s="1">
        <v>0.0</v>
      </c>
      <c r="D5653" s="1" t="s">
        <v>6</v>
      </c>
      <c r="E5653" s="1"/>
    </row>
    <row r="5654" ht="14.25" customHeight="1">
      <c r="A5654" s="1">
        <v>33.0</v>
      </c>
      <c r="B5654" s="1" t="s">
        <v>2412</v>
      </c>
      <c r="C5654" s="1">
        <v>5.0</v>
      </c>
      <c r="D5654" s="1" t="s">
        <v>2569</v>
      </c>
      <c r="E5654" s="1" t="str">
        <f>IFERROR(__xludf.DUMMYFUNCTION("GOOGLETRANSLATE(D5654,""PT"",""EN"")"),"More attention to questions")</f>
        <v>More attention to questions</v>
      </c>
    </row>
    <row r="5655" ht="14.25" customHeight="1">
      <c r="A5655" s="1">
        <v>100.0</v>
      </c>
      <c r="B5655" s="1" t="s">
        <v>2412</v>
      </c>
      <c r="C5655" s="1">
        <v>10.0</v>
      </c>
      <c r="D5655" s="1" t="s">
        <v>37</v>
      </c>
      <c r="E5655" s="1" t="str">
        <f>IFERROR(__xludf.DUMMYFUNCTION("GOOGLETRANSLATE(D5655,""PT"",""EN"")"),"Great service")</f>
        <v>Great service</v>
      </c>
    </row>
    <row r="5656" ht="14.25" customHeight="1">
      <c r="A5656" s="1">
        <v>66.0</v>
      </c>
      <c r="B5656" s="1" t="s">
        <v>2412</v>
      </c>
      <c r="C5656" s="1">
        <v>7.0</v>
      </c>
      <c r="D5656" s="1" t="s">
        <v>6</v>
      </c>
      <c r="E5656" s="1"/>
    </row>
    <row r="5657" ht="14.25" customHeight="1">
      <c r="A5657" s="1">
        <v>66.0</v>
      </c>
      <c r="B5657" s="1" t="s">
        <v>2412</v>
      </c>
      <c r="C5657" s="1">
        <v>8.0</v>
      </c>
      <c r="D5657" s="2" t="s">
        <v>2570</v>
      </c>
      <c r="E5657" s="1" t="str">
        <f>IFERROR(__xludf.DUMMYFUNCTION("GOOGLETRANSLATE(D5657,""PT"",""EN"")"),"The cooperative must be more humane with its members who are experiencing financial difficulties, otherwise it will become the same as other banks. I suggest that the cooperative in this situation has access to credit lines normally (overdraft, credit car"&amp;"d, loans, etc.), if your default is not with the cooperative.")</f>
        <v>The cooperative must be more humane with its members who are experiencing financial difficulties, otherwise it will become the same as other banks. I suggest that the cooperative in this situation has access to credit lines normally (overdraft, credit card, loans, etc.), if your default is not with the cooperative.</v>
      </c>
    </row>
    <row r="5658" ht="14.25" customHeight="1">
      <c r="A5658" s="1">
        <v>100.0</v>
      </c>
      <c r="B5658" s="1" t="s">
        <v>2412</v>
      </c>
      <c r="C5658" s="1">
        <v>10.0</v>
      </c>
      <c r="D5658" s="1" t="s">
        <v>6</v>
      </c>
      <c r="E5658" s="1"/>
    </row>
    <row r="5659" ht="14.25" customHeight="1">
      <c r="A5659" s="1">
        <v>66.0</v>
      </c>
      <c r="B5659" s="1" t="s">
        <v>2412</v>
      </c>
      <c r="C5659" s="1">
        <v>8.0</v>
      </c>
      <c r="D5659" s="1" t="s">
        <v>6</v>
      </c>
      <c r="E5659" s="1"/>
    </row>
    <row r="5660" ht="14.25" customHeight="1">
      <c r="A5660" s="1">
        <v>100.0</v>
      </c>
      <c r="B5660" s="1" t="s">
        <v>2412</v>
      </c>
      <c r="C5660" s="1">
        <v>10.0</v>
      </c>
      <c r="D5660" s="2" t="s">
        <v>2571</v>
      </c>
      <c r="E5660" s="1" t="str">
        <f>IFERROR(__xludf.DUMMYFUNCTION("GOOGLETRANSLATE(D5660,""PT"",""EN"")"),"I am a customer is a lot of taste")</f>
        <v>I am a customer is a lot of taste</v>
      </c>
    </row>
    <row r="5661" ht="14.25" customHeight="1">
      <c r="A5661" s="1">
        <v>100.0</v>
      </c>
      <c r="B5661" s="1" t="s">
        <v>2412</v>
      </c>
      <c r="C5661" s="1">
        <v>10.0</v>
      </c>
      <c r="D5661" s="1" t="s">
        <v>2572</v>
      </c>
      <c r="E5661" s="1" t="str">
        <f>IFERROR(__xludf.DUMMYFUNCTION("GOOGLETRANSLATE(D5661,""PT"",""EN"")"),"I see very clearly, the partnership that Sicoob offers, to the detriment of private banks.")</f>
        <v>I see very clearly, the partnership that Sicoob offers, to the detriment of private banks.</v>
      </c>
    </row>
    <row r="5662" ht="14.25" customHeight="1">
      <c r="A5662" s="1">
        <v>100.0</v>
      </c>
      <c r="B5662" s="1" t="s">
        <v>2412</v>
      </c>
      <c r="C5662" s="1">
        <v>10.0</v>
      </c>
      <c r="D5662" s="1" t="s">
        <v>2573</v>
      </c>
      <c r="E5662" s="1" t="str">
        <f>IFERROR(__xludf.DUMMYFUNCTION("GOOGLETRANSLATE(D5662,""PT"",""EN"")"),"Very efficient")</f>
        <v>Very efficient</v>
      </c>
    </row>
    <row r="5663" ht="14.25" customHeight="1">
      <c r="A5663" s="1">
        <v>100.0</v>
      </c>
      <c r="B5663" s="1" t="s">
        <v>2412</v>
      </c>
      <c r="C5663" s="1">
        <v>10.0</v>
      </c>
      <c r="D5663" s="1" t="s">
        <v>6</v>
      </c>
      <c r="E5663" s="1"/>
    </row>
    <row r="5664" ht="14.25" customHeight="1">
      <c r="A5664" s="1">
        <v>100.0</v>
      </c>
      <c r="B5664" s="1" t="s">
        <v>2412</v>
      </c>
      <c r="C5664" s="1">
        <v>10.0</v>
      </c>
      <c r="D5664" s="1" t="s">
        <v>2568</v>
      </c>
      <c r="E5664" s="1" t="str">
        <f>IFERROR(__xludf.DUMMYFUNCTION("GOOGLETRANSLATE(D5664,""PT"",""EN"")"),"An excellent bank")</f>
        <v>An excellent bank</v>
      </c>
    </row>
    <row r="5665" ht="14.25" customHeight="1">
      <c r="A5665" s="1">
        <v>100.0</v>
      </c>
      <c r="B5665" s="1" t="s">
        <v>2412</v>
      </c>
      <c r="C5665" s="1">
        <v>10.0</v>
      </c>
      <c r="D5665" s="1" t="s">
        <v>6</v>
      </c>
      <c r="E5665" s="1"/>
    </row>
    <row r="5666" ht="14.25" customHeight="1">
      <c r="A5666" s="1">
        <v>66.0</v>
      </c>
      <c r="B5666" s="1" t="s">
        <v>2412</v>
      </c>
      <c r="C5666" s="1">
        <v>8.0</v>
      </c>
      <c r="D5666" s="1" t="s">
        <v>6</v>
      </c>
      <c r="E5666" s="1"/>
    </row>
    <row r="5667" ht="14.25" customHeight="1">
      <c r="A5667" s="1">
        <v>66.0</v>
      </c>
      <c r="B5667" s="1" t="s">
        <v>2412</v>
      </c>
      <c r="C5667" s="1">
        <v>8.0</v>
      </c>
      <c r="D5667" s="1" t="s">
        <v>6</v>
      </c>
      <c r="E5667" s="1"/>
    </row>
    <row r="5668" ht="14.25" customHeight="1">
      <c r="A5668" s="1">
        <v>100.0</v>
      </c>
      <c r="B5668" s="1" t="s">
        <v>2412</v>
      </c>
      <c r="C5668" s="1">
        <v>9.0</v>
      </c>
      <c r="D5668" s="1" t="s">
        <v>6</v>
      </c>
      <c r="E5668" s="1"/>
    </row>
    <row r="5669" ht="14.25" customHeight="1">
      <c r="A5669" s="1">
        <v>100.0</v>
      </c>
      <c r="B5669" s="1" t="s">
        <v>2412</v>
      </c>
      <c r="C5669" s="1">
        <v>10.0</v>
      </c>
      <c r="D5669" s="1" t="s">
        <v>6</v>
      </c>
      <c r="E5669" s="1"/>
    </row>
    <row r="5670" ht="14.25" customHeight="1">
      <c r="A5670" s="1">
        <v>33.0</v>
      </c>
      <c r="B5670" s="1" t="s">
        <v>2412</v>
      </c>
      <c r="C5670" s="1">
        <v>0.0</v>
      </c>
      <c r="D5670" s="1" t="s">
        <v>2574</v>
      </c>
      <c r="E5670" s="1" t="str">
        <f>IFERROR(__xludf.DUMMYFUNCTION("GOOGLETRANSLATE(D5670,""PT"",""EN"")"),"I never got the answers I needed")</f>
        <v>I never got the answers I needed</v>
      </c>
    </row>
    <row r="5671" ht="14.25" customHeight="1">
      <c r="A5671" s="1">
        <v>100.0</v>
      </c>
      <c r="B5671" s="1" t="s">
        <v>2412</v>
      </c>
      <c r="C5671" s="1">
        <v>10.0</v>
      </c>
      <c r="D5671" s="1" t="s">
        <v>6</v>
      </c>
      <c r="E5671" s="1"/>
    </row>
    <row r="5672" ht="14.25" customHeight="1">
      <c r="A5672" s="1">
        <v>100.0</v>
      </c>
      <c r="B5672" s="1" t="s">
        <v>2412</v>
      </c>
      <c r="C5672" s="1">
        <v>10.0</v>
      </c>
      <c r="D5672" s="1" t="s">
        <v>2575</v>
      </c>
      <c r="E5672" s="1" t="str">
        <f>IFERROR(__xludf.DUMMYFUNCTION("GOOGLETRANSLATE(D5672,""PT"",""EN"")"),"Very good, great people !!")</f>
        <v>Very good, great people !!</v>
      </c>
    </row>
    <row r="5673" ht="14.25" customHeight="1">
      <c r="A5673" s="1">
        <v>66.0</v>
      </c>
      <c r="B5673" s="1" t="s">
        <v>2412</v>
      </c>
      <c r="C5673" s="1">
        <v>8.0</v>
      </c>
      <c r="D5673" s="1" t="s">
        <v>2576</v>
      </c>
      <c r="E5673" s="1" t="str">
        <f>IFERROR(__xludf.DUMMYFUNCTION("GOOGLETRANSLATE(D5673,""PT"",""EN"")"),"Good service,")</f>
        <v>Good service,</v>
      </c>
    </row>
    <row r="5674" ht="14.25" customHeight="1">
      <c r="A5674" s="1">
        <v>33.0</v>
      </c>
      <c r="B5674" s="1" t="s">
        <v>2412</v>
      </c>
      <c r="C5674" s="1">
        <v>0.0</v>
      </c>
      <c r="D5674" s="2" t="s">
        <v>2577</v>
      </c>
      <c r="E5674" s="1" t="str">
        <f>IFERROR(__xludf.DUMMYFUNCTION("GOOGLETRANSLATE(D5674,""PT"",""EN"")"),"I thought I would have some line of credit for receiving my salary in Sicoob but unfortunately I did not have")</f>
        <v>I thought I would have some line of credit for receiving my salary in Sicoob but unfortunately I did not have</v>
      </c>
    </row>
    <row r="5675" ht="14.25" customHeight="1">
      <c r="A5675" s="1">
        <v>100.0</v>
      </c>
      <c r="B5675" s="1" t="s">
        <v>2412</v>
      </c>
      <c r="C5675" s="1">
        <v>10.0</v>
      </c>
      <c r="D5675" s="1" t="s">
        <v>6</v>
      </c>
      <c r="E5675" s="1"/>
    </row>
    <row r="5676" ht="14.25" customHeight="1">
      <c r="A5676" s="1">
        <v>33.0</v>
      </c>
      <c r="B5676" s="1" t="s">
        <v>2412</v>
      </c>
      <c r="C5676" s="1">
        <v>0.0</v>
      </c>
      <c r="D5676" s="1" t="s">
        <v>6</v>
      </c>
      <c r="E5676" s="1"/>
    </row>
    <row r="5677" ht="14.25" customHeight="1">
      <c r="A5677" s="1">
        <v>33.0</v>
      </c>
      <c r="B5677" s="1" t="s">
        <v>2412</v>
      </c>
      <c r="C5677" s="1">
        <v>3.0</v>
      </c>
      <c r="D5677" s="2" t="s">
        <v>2578</v>
      </c>
      <c r="E5677" s="1" t="str">
        <f>IFERROR(__xludf.DUMMYFUNCTION("GOOGLETRANSLATE(D5677,""PT"",""EN"")"),"Too long to resolve certain issues")</f>
        <v>Too long to resolve certain issues</v>
      </c>
    </row>
    <row r="5678" ht="14.25" customHeight="1">
      <c r="A5678" s="1">
        <v>66.0</v>
      </c>
      <c r="B5678" s="1" t="s">
        <v>2412</v>
      </c>
      <c r="C5678" s="1">
        <v>7.0</v>
      </c>
      <c r="D5678" s="1" t="s">
        <v>2579</v>
      </c>
      <c r="E5678" s="1" t="str">
        <f>IFERROR(__xludf.DUMMYFUNCTION("GOOGLETRANSLATE(D5678,""PT"",""EN"")"),"nothing special")</f>
        <v>nothing special</v>
      </c>
    </row>
    <row r="5679" ht="14.25" customHeight="1">
      <c r="A5679" s="1">
        <v>33.0</v>
      </c>
      <c r="B5679" s="1" t="s">
        <v>2412</v>
      </c>
      <c r="C5679" s="1">
        <v>5.0</v>
      </c>
      <c r="D5679" s="2" t="s">
        <v>2580</v>
      </c>
      <c r="E5679" s="1" t="str">
        <f>IFERROR(__xludf.DUMMYFUNCTION("GOOGLETRANSLATE(D5679,""PT"",""EN"")"),"They said I would receive a credit card")</f>
        <v>They said I would receive a credit card</v>
      </c>
    </row>
    <row r="5680" ht="14.25" customHeight="1">
      <c r="A5680" s="1">
        <v>100.0</v>
      </c>
      <c r="B5680" s="1" t="s">
        <v>2412</v>
      </c>
      <c r="C5680" s="1">
        <v>10.0</v>
      </c>
      <c r="D5680" s="2" t="s">
        <v>2581</v>
      </c>
      <c r="E5680" s="1" t="str">
        <f>IFERROR(__xludf.DUMMYFUNCTION("GOOGLETRANSLATE(D5680,""PT"",""EN"")"),"I already needed Sicoob was very well attended.")</f>
        <v>I already needed Sicoob was very well attended.</v>
      </c>
    </row>
    <row r="5681" ht="14.25" customHeight="1">
      <c r="A5681" s="1">
        <v>33.0</v>
      </c>
      <c r="B5681" s="1" t="s">
        <v>2412</v>
      </c>
      <c r="C5681" s="1">
        <v>4.0</v>
      </c>
      <c r="D5681" s="1" t="s">
        <v>6</v>
      </c>
      <c r="E5681" s="1"/>
    </row>
    <row r="5682" ht="14.25" customHeight="1">
      <c r="A5682" s="1">
        <v>100.0</v>
      </c>
      <c r="B5682" s="1" t="s">
        <v>2412</v>
      </c>
      <c r="C5682" s="1">
        <v>10.0</v>
      </c>
      <c r="D5682" s="1" t="s">
        <v>6</v>
      </c>
      <c r="E5682" s="1"/>
    </row>
    <row r="5683" ht="14.25" customHeight="1">
      <c r="A5683" s="1">
        <v>100.0</v>
      </c>
      <c r="B5683" s="1" t="s">
        <v>2412</v>
      </c>
      <c r="C5683" s="1">
        <v>9.0</v>
      </c>
      <c r="D5683" s="2" t="s">
        <v>2582</v>
      </c>
      <c r="E5683" s="1" t="str">
        <f>IFERROR(__xludf.DUMMYFUNCTION("GOOGLETRANSLATE(D5683,""PT"",""EN"")"),"The way of working with Sicoob is very satisfactory. It is the service to the cooperative is also very good.")</f>
        <v>The way of working with Sicoob is very satisfactory. It is the service to the cooperative is also very good.</v>
      </c>
    </row>
    <row r="5684" ht="14.25" customHeight="1">
      <c r="A5684" s="1">
        <v>33.0</v>
      </c>
      <c r="B5684" s="1" t="s">
        <v>2412</v>
      </c>
      <c r="C5684" s="1">
        <v>0.0</v>
      </c>
      <c r="D5684" s="2" t="s">
        <v>2583</v>
      </c>
      <c r="E5684" s="1" t="str">
        <f>IFERROR(__xludf.DUMMYFUNCTION("GOOGLETRANSLATE(D5684,""PT"",""EN"")"),"Does not offer credit")</f>
        <v>Does not offer credit</v>
      </c>
    </row>
    <row r="5685" ht="14.25" customHeight="1">
      <c r="A5685" s="1">
        <v>100.0</v>
      </c>
      <c r="B5685" s="1" t="s">
        <v>2412</v>
      </c>
      <c r="C5685" s="1">
        <v>10.0</v>
      </c>
      <c r="D5685" s="1" t="s">
        <v>6</v>
      </c>
      <c r="E5685" s="1"/>
    </row>
    <row r="5686" ht="14.25" customHeight="1">
      <c r="A5686" s="1">
        <v>33.0</v>
      </c>
      <c r="B5686" s="1" t="s">
        <v>2412</v>
      </c>
      <c r="C5686" s="1">
        <v>0.0</v>
      </c>
      <c r="D5686" s="1" t="s">
        <v>6</v>
      </c>
      <c r="E5686" s="1"/>
    </row>
    <row r="5687" ht="14.25" customHeight="1">
      <c r="A5687" s="1">
        <v>100.0</v>
      </c>
      <c r="B5687" s="1" t="s">
        <v>2412</v>
      </c>
      <c r="C5687" s="1">
        <v>10.0</v>
      </c>
      <c r="D5687" s="1" t="s">
        <v>6</v>
      </c>
      <c r="E5687" s="1"/>
    </row>
    <row r="5688" ht="14.25" customHeight="1">
      <c r="A5688" s="1">
        <v>33.0</v>
      </c>
      <c r="B5688" s="1" t="s">
        <v>2412</v>
      </c>
      <c r="C5688" s="1">
        <v>0.0</v>
      </c>
      <c r="D5688" s="2" t="s">
        <v>2584</v>
      </c>
      <c r="E5688" s="1" t="str">
        <f>IFERROR(__xludf.DUMMYFUNCTION("GOOGLETRANSLATE(D5688,""PT"",""EN"")"),"Total helplessness of my manager. To this day I have not received my card. Twice I needed assistance, I spoke to two different managers. I deposited 80 thousand, is no one worried about calling me so I could apply this value (which happens in my bank). I "&amp;"have no interest in continuing to be a customer/ partner")</f>
        <v>Total helplessness of my manager. To this day I have not received my card. Twice I needed assistance, I spoke to two different managers. I deposited 80 thousand, is no one worried about calling me so I could apply this value (which happens in my bank). I have no interest in continuing to be a customer/ partner</v>
      </c>
    </row>
    <row r="5689" ht="14.25" customHeight="1">
      <c r="A5689" s="1">
        <v>33.0</v>
      </c>
      <c r="B5689" s="1" t="s">
        <v>2412</v>
      </c>
      <c r="C5689" s="1">
        <v>0.0</v>
      </c>
      <c r="D5689" s="2" t="s">
        <v>2585</v>
      </c>
      <c r="E5689" s="1" t="str">
        <f>IFERROR(__xludf.DUMMYFUNCTION("GOOGLETRANSLATE(D5689,""PT"",""EN"")"),"Very informal manager is without knowledge and unwilling to work .Ibri tells in Planaltina DF 8 months ago never called me 80.00 that was about to open account never sent me card cunned me.")</f>
        <v>Very informal manager is without knowledge and unwilling to work .Ibri tells in Planaltina DF 8 months ago never called me 80.00 that was about to open account never sent me card cunned me.</v>
      </c>
    </row>
    <row r="5690" ht="14.25" customHeight="1">
      <c r="A5690" s="1">
        <v>100.0</v>
      </c>
      <c r="B5690" s="1" t="s">
        <v>2412</v>
      </c>
      <c r="C5690" s="1">
        <v>10.0</v>
      </c>
      <c r="D5690" s="2" t="s">
        <v>2586</v>
      </c>
      <c r="E5690" s="1" t="str">
        <f>IFERROR(__xludf.DUMMYFUNCTION("GOOGLETRANSLATE(D5690,""PT"",""EN"")"),"Very helpful attendant")</f>
        <v>Very helpful attendant</v>
      </c>
    </row>
    <row r="5691" ht="14.25" customHeight="1">
      <c r="A5691" s="1">
        <v>100.0</v>
      </c>
      <c r="B5691" s="1" t="s">
        <v>2412</v>
      </c>
      <c r="C5691" s="1">
        <v>10.0</v>
      </c>
      <c r="D5691" s="1" t="s">
        <v>6</v>
      </c>
      <c r="E5691" s="1"/>
    </row>
    <row r="5692" ht="14.25" customHeight="1">
      <c r="A5692" s="1">
        <v>100.0</v>
      </c>
      <c r="B5692" s="1" t="s">
        <v>2412</v>
      </c>
      <c r="C5692" s="1">
        <v>10.0</v>
      </c>
      <c r="D5692" s="2" t="s">
        <v>2587</v>
      </c>
      <c r="E5692" s="1" t="str">
        <f>IFERROR(__xludf.DUMMYFUNCTION("GOOGLETRANSLATE(D5692,""PT"",""EN"")"),"Excellent service and promptness in everything that is requested. My agency is in the city of São João d'Aldança - Goiás.")</f>
        <v>Excellent service and promptness in everything that is requested. My agency is in the city of São João d'Aldança - Goiás.</v>
      </c>
    </row>
    <row r="5693" ht="14.25" customHeight="1">
      <c r="A5693" s="1">
        <v>66.0</v>
      </c>
      <c r="B5693" s="1" t="s">
        <v>2412</v>
      </c>
      <c r="C5693" s="1">
        <v>7.0</v>
      </c>
      <c r="D5693" s="1" t="s">
        <v>6</v>
      </c>
      <c r="E5693" s="1"/>
    </row>
    <row r="5694" ht="14.25" customHeight="1">
      <c r="A5694" s="1">
        <v>100.0</v>
      </c>
      <c r="B5694" s="1" t="s">
        <v>2412</v>
      </c>
      <c r="C5694" s="1">
        <v>10.0</v>
      </c>
      <c r="D5694" s="1" t="s">
        <v>37</v>
      </c>
      <c r="E5694" s="1" t="str">
        <f>IFERROR(__xludf.DUMMYFUNCTION("GOOGLETRANSLATE(D5694,""PT"",""EN"")"),"Great service")</f>
        <v>Great service</v>
      </c>
    </row>
    <row r="5695" ht="14.25" customHeight="1">
      <c r="A5695" s="1">
        <v>100.0</v>
      </c>
      <c r="B5695" s="1" t="s">
        <v>2412</v>
      </c>
      <c r="C5695" s="1">
        <v>10.0</v>
      </c>
      <c r="D5695" s="1" t="s">
        <v>6</v>
      </c>
      <c r="E5695" s="1"/>
    </row>
    <row r="5696" ht="14.25" customHeight="1">
      <c r="A5696" s="1">
        <v>33.0</v>
      </c>
      <c r="B5696" s="1" t="s">
        <v>2412</v>
      </c>
      <c r="C5696" s="1">
        <v>0.0</v>
      </c>
      <c r="D5696" s="1" t="s">
        <v>6</v>
      </c>
      <c r="E5696" s="1"/>
    </row>
    <row r="5697" ht="14.25" customHeight="1">
      <c r="A5697" s="1">
        <v>33.0</v>
      </c>
      <c r="B5697" s="1" t="s">
        <v>2412</v>
      </c>
      <c r="C5697" s="1">
        <v>0.0</v>
      </c>
      <c r="D5697" s="2" t="s">
        <v>2588</v>
      </c>
      <c r="E5697" s="1" t="str">
        <f>IFERROR(__xludf.DUMMYFUNCTION("GOOGLETRANSLATE(D5697,""PT"",""EN"")"),"I was a client but I saw no advantage")</f>
        <v>I was a client but I saw no advantage</v>
      </c>
    </row>
    <row r="5698" ht="14.25" customHeight="1">
      <c r="A5698" s="1">
        <v>100.0</v>
      </c>
      <c r="B5698" s="1" t="s">
        <v>2412</v>
      </c>
      <c r="C5698" s="1">
        <v>10.0</v>
      </c>
      <c r="D5698" s="1" t="s">
        <v>6</v>
      </c>
      <c r="E5698" s="1"/>
    </row>
    <row r="5699" ht="14.25" customHeight="1">
      <c r="A5699" s="1">
        <v>100.0</v>
      </c>
      <c r="B5699" s="1" t="s">
        <v>2412</v>
      </c>
      <c r="C5699" s="1">
        <v>10.0</v>
      </c>
      <c r="D5699" s="1" t="s">
        <v>6</v>
      </c>
      <c r="E5699" s="1"/>
    </row>
    <row r="5700" ht="14.25" customHeight="1">
      <c r="A5700" s="1">
        <v>100.0</v>
      </c>
      <c r="B5700" s="1" t="s">
        <v>2412</v>
      </c>
      <c r="C5700" s="1">
        <v>10.0</v>
      </c>
      <c r="D5700" s="2" t="s">
        <v>2589</v>
      </c>
      <c r="E5700" s="1" t="str">
        <f>IFERROR(__xludf.DUMMYFUNCTION("GOOGLETRANSLATE(D5700,""PT"",""EN"")"),"Direct contact with manager is immediate return")</f>
        <v>Direct contact with manager is immediate return</v>
      </c>
    </row>
    <row r="5701" ht="14.25" customHeight="1">
      <c r="A5701" s="1">
        <v>100.0</v>
      </c>
      <c r="B5701" s="1" t="s">
        <v>2412</v>
      </c>
      <c r="C5701" s="1">
        <v>9.0</v>
      </c>
      <c r="D5701" s="1" t="s">
        <v>6</v>
      </c>
      <c r="E5701" s="1"/>
    </row>
    <row r="5702" ht="14.25" customHeight="1">
      <c r="A5702" s="1">
        <v>100.0</v>
      </c>
      <c r="B5702" s="1" t="s">
        <v>2412</v>
      </c>
      <c r="C5702" s="1">
        <v>10.0</v>
      </c>
      <c r="D5702" s="1" t="s">
        <v>97</v>
      </c>
      <c r="E5702" s="1" t="str">
        <f>IFERROR(__xludf.DUMMYFUNCTION("GOOGLETRANSLATE(D5702,""PT"",""EN"")"),"Excellent")</f>
        <v>Excellent</v>
      </c>
    </row>
    <row r="5703" ht="14.25" customHeight="1">
      <c r="A5703" s="1">
        <v>100.0</v>
      </c>
      <c r="B5703" s="1" t="s">
        <v>2412</v>
      </c>
      <c r="C5703" s="1">
        <v>10.0</v>
      </c>
      <c r="D5703" s="1" t="s">
        <v>6</v>
      </c>
      <c r="E5703" s="1"/>
    </row>
    <row r="5704" ht="14.25" customHeight="1">
      <c r="A5704" s="1">
        <v>100.0</v>
      </c>
      <c r="B5704" s="1" t="s">
        <v>2412</v>
      </c>
      <c r="C5704" s="1">
        <v>10.0</v>
      </c>
      <c r="D5704" s="1" t="s">
        <v>6</v>
      </c>
      <c r="E5704" s="1"/>
    </row>
    <row r="5705" ht="14.25" customHeight="1">
      <c r="A5705" s="1">
        <v>33.0</v>
      </c>
      <c r="B5705" s="1" t="s">
        <v>2412</v>
      </c>
      <c r="C5705" s="1">
        <v>0.0</v>
      </c>
      <c r="D5705" s="2" t="s">
        <v>2590</v>
      </c>
      <c r="E5705" s="1" t="str">
        <f>IFERROR(__xludf.DUMMYFUNCTION("GOOGLETRANSLATE(D5705,""PT"",""EN"")"),"I'm in another state is I can't unlock my card")</f>
        <v>I'm in another state is I can't unlock my card</v>
      </c>
    </row>
    <row r="5706" ht="14.25" customHeight="1">
      <c r="A5706" s="1">
        <v>66.0</v>
      </c>
      <c r="B5706" s="1" t="s">
        <v>2412</v>
      </c>
      <c r="C5706" s="1">
        <v>8.0</v>
      </c>
      <c r="D5706" s="1" t="s">
        <v>6</v>
      </c>
      <c r="E5706" s="1"/>
    </row>
    <row r="5707" ht="14.25" customHeight="1">
      <c r="A5707" s="1">
        <v>33.0</v>
      </c>
      <c r="B5707" s="1" t="s">
        <v>2412</v>
      </c>
      <c r="C5707" s="1">
        <v>1.0</v>
      </c>
      <c r="D5707" s="2" t="s">
        <v>2591</v>
      </c>
      <c r="E5707" s="1" t="str">
        <f>IFERROR(__xludf.DUMMYFUNCTION("GOOGLETRANSLATE(D5707,""PT"",""EN"")"),"A lot of bureaucracy is little result.")</f>
        <v>A lot of bureaucracy is little result.</v>
      </c>
    </row>
    <row r="5708" ht="14.25" customHeight="1">
      <c r="A5708" s="1">
        <v>33.0</v>
      </c>
      <c r="B5708" s="1" t="s">
        <v>2412</v>
      </c>
      <c r="C5708" s="1">
        <v>1.0</v>
      </c>
      <c r="D5708" s="1" t="s">
        <v>6</v>
      </c>
      <c r="E5708" s="1"/>
    </row>
    <row r="5709" ht="14.25" customHeight="1">
      <c r="A5709" s="1">
        <v>33.0</v>
      </c>
      <c r="B5709" s="1" t="s">
        <v>2412</v>
      </c>
      <c r="C5709" s="1">
        <v>0.0</v>
      </c>
      <c r="D5709" s="1" t="s">
        <v>6</v>
      </c>
      <c r="E5709" s="1"/>
    </row>
    <row r="5710" ht="14.25" customHeight="1">
      <c r="A5710" s="1">
        <v>100.0</v>
      </c>
      <c r="B5710" s="1" t="s">
        <v>2412</v>
      </c>
      <c r="C5710" s="1">
        <v>10.0</v>
      </c>
      <c r="D5710" s="1" t="s">
        <v>6</v>
      </c>
      <c r="E5710" s="1"/>
    </row>
    <row r="5711" ht="14.25" customHeight="1">
      <c r="A5711" s="1">
        <v>100.0</v>
      </c>
      <c r="B5711" s="1" t="s">
        <v>2412</v>
      </c>
      <c r="C5711" s="1">
        <v>10.0</v>
      </c>
      <c r="D5711" s="1" t="s">
        <v>2592</v>
      </c>
      <c r="E5711" s="1" t="str">
        <f>IFERROR(__xludf.DUMMYFUNCTION("GOOGLETRANSLATE(D5711,""PT"",""EN"")"),"Wonderful")</f>
        <v>Wonderful</v>
      </c>
    </row>
    <row r="5712" ht="14.25" customHeight="1">
      <c r="A5712" s="1">
        <v>100.0</v>
      </c>
      <c r="B5712" s="1" t="s">
        <v>2412</v>
      </c>
      <c r="C5712" s="1">
        <v>10.0</v>
      </c>
      <c r="D5712" s="2" t="s">
        <v>2593</v>
      </c>
      <c r="E5712" s="1" t="str">
        <f>IFERROR(__xludf.DUMMYFUNCTION("GOOGLETRANSLATE(D5712,""PT"",""EN"")"),"For the quality of service is the conditions of the services.")</f>
        <v>For the quality of service is the conditions of the services.</v>
      </c>
    </row>
    <row r="5713" ht="14.25" customHeight="1">
      <c r="A5713" s="1">
        <v>33.0</v>
      </c>
      <c r="B5713" s="1" t="s">
        <v>2412</v>
      </c>
      <c r="C5713" s="1">
        <v>4.0</v>
      </c>
      <c r="D5713" s="1" t="s">
        <v>714</v>
      </c>
      <c r="E5713" s="1" t="str">
        <f>IFERROR(__xludf.DUMMYFUNCTION("GOOGLETRANSLATE(D5713,""PT"",""EN"")"),"Bad service")</f>
        <v>Bad service</v>
      </c>
    </row>
    <row r="5714" ht="14.25" customHeight="1">
      <c r="A5714" s="1">
        <v>100.0</v>
      </c>
      <c r="B5714" s="1" t="s">
        <v>2412</v>
      </c>
      <c r="C5714" s="1">
        <v>9.0</v>
      </c>
      <c r="D5714" s="1" t="s">
        <v>2594</v>
      </c>
      <c r="E5714" s="1" t="str">
        <f>IFERROR(__xludf.DUMMYFUNCTION("GOOGLETRANSLATE(D5714,""PT"",""EN"")"),"I like to work with the Sicoob system")</f>
        <v>I like to work with the Sicoob system</v>
      </c>
    </row>
    <row r="5715" ht="14.25" customHeight="1">
      <c r="A5715" s="1">
        <v>100.0</v>
      </c>
      <c r="B5715" s="1" t="s">
        <v>2412</v>
      </c>
      <c r="C5715" s="1">
        <v>10.0</v>
      </c>
      <c r="D5715" s="1" t="s">
        <v>6</v>
      </c>
      <c r="E5715" s="1"/>
    </row>
    <row r="5716" ht="14.25" customHeight="1">
      <c r="A5716" s="1">
        <v>33.0</v>
      </c>
      <c r="B5716" s="1" t="s">
        <v>2412</v>
      </c>
      <c r="C5716" s="1">
        <v>0.0</v>
      </c>
      <c r="D5716" s="1" t="s">
        <v>2595</v>
      </c>
      <c r="E5716" s="1" t="str">
        <f>IFERROR(__xludf.DUMMYFUNCTION("GOOGLETRANSLATE(D5716,""PT"",""EN"")"),"OK")</f>
        <v>OK</v>
      </c>
    </row>
    <row r="5717" ht="14.25" customHeight="1">
      <c r="A5717" s="1">
        <v>100.0</v>
      </c>
      <c r="B5717" s="1" t="s">
        <v>2412</v>
      </c>
      <c r="C5717" s="1">
        <v>10.0</v>
      </c>
      <c r="D5717" s="1" t="s">
        <v>2596</v>
      </c>
      <c r="E5717" s="1"/>
    </row>
    <row r="5718" ht="14.25" customHeight="1">
      <c r="A5718" s="1">
        <v>33.0</v>
      </c>
      <c r="B5718" s="1" t="s">
        <v>2412</v>
      </c>
      <c r="C5718" s="1">
        <v>0.0</v>
      </c>
      <c r="D5718" s="2" t="s">
        <v>2597</v>
      </c>
      <c r="E5718" s="1" t="str">
        <f>IFERROR(__xludf.DUMMYFUNCTION("GOOGLETRANSLATE(D5718,""PT"",""EN"")"),"Long service, few credit options, selective manager")</f>
        <v>Long service, few credit options, selective manager</v>
      </c>
    </row>
    <row r="5719" ht="14.25" customHeight="1">
      <c r="A5719" s="1">
        <v>66.0</v>
      </c>
      <c r="B5719" s="1" t="s">
        <v>2412</v>
      </c>
      <c r="C5719" s="1">
        <v>8.0</v>
      </c>
      <c r="D5719" s="1" t="s">
        <v>6</v>
      </c>
      <c r="E5719" s="1"/>
    </row>
    <row r="5720" ht="14.25" customHeight="1">
      <c r="A5720" s="1">
        <v>33.0</v>
      </c>
      <c r="B5720" s="1" t="s">
        <v>2412</v>
      </c>
      <c r="C5720" s="1">
        <v>3.0</v>
      </c>
      <c r="D5720" s="2" t="s">
        <v>2598</v>
      </c>
      <c r="E5720" s="1" t="str">
        <f>IFERROR(__xludf.DUMMYFUNCTION("GOOGLETRANSLATE(D5720,""PT"",""EN"")"),"Lack of support and monitoring")</f>
        <v>Lack of support and monitoring</v>
      </c>
    </row>
    <row r="5721" ht="14.25" customHeight="1">
      <c r="A5721" s="1">
        <v>100.0</v>
      </c>
      <c r="B5721" s="1" t="s">
        <v>2412</v>
      </c>
      <c r="C5721" s="1">
        <v>10.0</v>
      </c>
      <c r="D5721" s="2" t="s">
        <v>2599</v>
      </c>
      <c r="E5721" s="1" t="str">
        <f>IFERROR(__xludf.DUMMYFUNCTION("GOOGLETRANSLATE(D5721,""PT"",""EN"")"),"Cordiality, readiness is problem solving.")</f>
        <v>Cordiality, readiness is problem solving.</v>
      </c>
    </row>
    <row r="5722" ht="14.25" customHeight="1">
      <c r="A5722" s="1">
        <v>100.0</v>
      </c>
      <c r="B5722" s="1" t="s">
        <v>2412</v>
      </c>
      <c r="C5722" s="1">
        <v>10.0</v>
      </c>
      <c r="D5722" s="1" t="s">
        <v>6</v>
      </c>
      <c r="E5722" s="1"/>
    </row>
    <row r="5723" ht="14.25" customHeight="1">
      <c r="A5723" s="1">
        <v>100.0</v>
      </c>
      <c r="B5723" s="1" t="s">
        <v>2412</v>
      </c>
      <c r="C5723" s="1">
        <v>10.0</v>
      </c>
      <c r="D5723" s="1" t="s">
        <v>215</v>
      </c>
      <c r="E5723" s="1" t="str">
        <f>IFERROR(__xludf.DUMMYFUNCTION("GOOGLETRANSLATE(D5723,""PT"",""EN"")"),"Excellence")</f>
        <v>Excellence</v>
      </c>
    </row>
    <row r="5724" ht="14.25" customHeight="1">
      <c r="A5724" s="1">
        <v>100.0</v>
      </c>
      <c r="B5724" s="1" t="s">
        <v>2412</v>
      </c>
      <c r="C5724" s="1">
        <v>9.0</v>
      </c>
      <c r="D5724" s="1" t="s">
        <v>2600</v>
      </c>
      <c r="E5724" s="1" t="str">
        <f>IFERROR(__xludf.DUMMYFUNCTION("GOOGLETRANSLATE(D5724,""PT"",""EN"")"),"Positive experiences")</f>
        <v>Positive experiences</v>
      </c>
    </row>
    <row r="5725" ht="14.25" customHeight="1">
      <c r="A5725" s="1">
        <v>33.0</v>
      </c>
      <c r="B5725" s="1" t="s">
        <v>2412</v>
      </c>
      <c r="C5725" s="1">
        <v>5.0</v>
      </c>
      <c r="D5725" s="2" t="s">
        <v>2601</v>
      </c>
      <c r="E5725" s="1" t="str">
        <f>IFERROR(__xludf.DUMMYFUNCTION("GOOGLETRANSLATE(D5725,""PT"",""EN"")"),"Has not given growth opportunity to the entrepreneur is consequently a company")</f>
        <v>Has not given growth opportunity to the entrepreneur is consequently a company</v>
      </c>
    </row>
    <row r="5726" ht="14.25" customHeight="1">
      <c r="A5726" s="1">
        <v>100.0</v>
      </c>
      <c r="B5726" s="1" t="s">
        <v>2412</v>
      </c>
      <c r="C5726" s="1">
        <v>10.0</v>
      </c>
      <c r="D5726" s="1" t="s">
        <v>2602</v>
      </c>
      <c r="E5726" s="1" t="str">
        <f>IFERROR(__xludf.DUMMYFUNCTION("GOOGLETRANSLATE(D5726,""PT"",""EN"")"),"Bank taste")</f>
        <v>Bank taste</v>
      </c>
    </row>
    <row r="5727" ht="14.25" customHeight="1">
      <c r="A5727" s="1">
        <v>100.0</v>
      </c>
      <c r="B5727" s="1" t="s">
        <v>2412</v>
      </c>
      <c r="C5727" s="1">
        <v>9.0</v>
      </c>
      <c r="D5727" s="1" t="s">
        <v>2603</v>
      </c>
      <c r="E5727" s="1"/>
    </row>
    <row r="5728" ht="14.25" customHeight="1">
      <c r="A5728" s="1">
        <v>100.0</v>
      </c>
      <c r="B5728" s="1" t="s">
        <v>2412</v>
      </c>
      <c r="C5728" s="1">
        <v>10.0</v>
      </c>
      <c r="D5728" s="1" t="s">
        <v>6</v>
      </c>
      <c r="E5728" s="1"/>
    </row>
    <row r="5729" ht="14.25" customHeight="1">
      <c r="A5729" s="1">
        <v>100.0</v>
      </c>
      <c r="B5729" s="1" t="s">
        <v>2412</v>
      </c>
      <c r="C5729" s="1">
        <v>10.0</v>
      </c>
      <c r="D5729" s="1" t="s">
        <v>456</v>
      </c>
      <c r="E5729" s="1" t="str">
        <f>IFERROR(__xludf.DUMMYFUNCTION("GOOGLETRANSLATE(D5729,""PT"",""EN"")"),"service")</f>
        <v>service</v>
      </c>
    </row>
    <row r="5730" ht="14.25" customHeight="1">
      <c r="A5730" s="1">
        <v>100.0</v>
      </c>
      <c r="B5730" s="1" t="s">
        <v>2412</v>
      </c>
      <c r="C5730" s="1">
        <v>9.0</v>
      </c>
      <c r="D5730" s="1" t="s">
        <v>6</v>
      </c>
      <c r="E5730" s="1"/>
    </row>
    <row r="5731" ht="14.25" customHeight="1">
      <c r="A5731" s="1">
        <v>33.0</v>
      </c>
      <c r="B5731" s="1" t="s">
        <v>2412</v>
      </c>
      <c r="C5731" s="1">
        <v>2.0</v>
      </c>
      <c r="D5731" s="2" t="s">
        <v>2604</v>
      </c>
      <c r="E5731" s="1" t="str">
        <f>IFERROR(__xludf.DUMMYFUNCTION("GOOGLETRANSLATE(D5731,""PT"",""EN"")"),"Does not give the customer credit")</f>
        <v>Does not give the customer credit</v>
      </c>
    </row>
    <row r="5732" ht="14.25" customHeight="1">
      <c r="A5732" s="1">
        <v>100.0</v>
      </c>
      <c r="B5732" s="1" t="s">
        <v>2412</v>
      </c>
      <c r="C5732" s="1">
        <v>9.0</v>
      </c>
      <c r="D5732" s="1" t="s">
        <v>6</v>
      </c>
      <c r="E5732" s="1"/>
    </row>
    <row r="5733" ht="14.25" customHeight="1">
      <c r="A5733" s="1">
        <v>33.0</v>
      </c>
      <c r="B5733" s="1" t="s">
        <v>2412</v>
      </c>
      <c r="C5733" s="1">
        <v>6.0</v>
      </c>
      <c r="D5733" s="2" t="s">
        <v>2605</v>
      </c>
      <c r="E5733" s="1" t="str">
        <f>IFERROR(__xludf.DUMMYFUNCTION("GOOGLETRANSLATE(D5733,""PT"",""EN"")"),"I did not receive the response from a request")</f>
        <v>I did not receive the response from a request</v>
      </c>
    </row>
    <row r="5734" ht="14.25" customHeight="1">
      <c r="A5734" s="1">
        <v>33.0</v>
      </c>
      <c r="B5734" s="1" t="s">
        <v>2412</v>
      </c>
      <c r="C5734" s="1">
        <v>0.0</v>
      </c>
      <c r="D5734" s="1" t="s">
        <v>6</v>
      </c>
      <c r="E5734" s="1"/>
    </row>
    <row r="5735" ht="14.25" customHeight="1">
      <c r="A5735" s="1">
        <v>100.0</v>
      </c>
      <c r="B5735" s="1" t="s">
        <v>2412</v>
      </c>
      <c r="C5735" s="1">
        <v>10.0</v>
      </c>
      <c r="D5735" s="1" t="s">
        <v>2606</v>
      </c>
      <c r="E5735" s="1" t="str">
        <f>IFERROR(__xludf.DUMMYFUNCTION("GOOGLETRANSLATE(D5735,""PT"",""EN"")"),"The bank is excellent 😀")</f>
        <v>The bank is excellent 😀</v>
      </c>
    </row>
    <row r="5736" ht="14.25" customHeight="1">
      <c r="A5736" s="1">
        <v>33.0</v>
      </c>
      <c r="B5736" s="1" t="s">
        <v>2412</v>
      </c>
      <c r="C5736" s="1">
        <v>0.0</v>
      </c>
      <c r="D5736" s="1" t="s">
        <v>6</v>
      </c>
      <c r="E5736" s="1"/>
    </row>
    <row r="5737" ht="14.25" customHeight="1">
      <c r="A5737" s="1">
        <v>100.0</v>
      </c>
      <c r="B5737" s="1" t="s">
        <v>2412</v>
      </c>
      <c r="C5737" s="1">
        <v>10.0</v>
      </c>
      <c r="D5737" s="1" t="s">
        <v>9</v>
      </c>
      <c r="E5737" s="1" t="str">
        <f>IFERROR(__xludf.DUMMYFUNCTION("GOOGLETRANSLATE(D5737,""PT"",""EN"")"),"10")</f>
        <v>10</v>
      </c>
    </row>
    <row r="5738" ht="14.25" customHeight="1">
      <c r="A5738" s="1">
        <v>33.0</v>
      </c>
      <c r="B5738" s="1" t="s">
        <v>2412</v>
      </c>
      <c r="C5738" s="1">
        <v>0.0</v>
      </c>
      <c r="D5738" s="2" t="s">
        <v>2607</v>
      </c>
      <c r="E5738" s="1" t="str">
        <f>IFERROR(__xludf.DUMMYFUNCTION("GOOGLETRANSLATE(D5738,""PT"",""EN"")"),"very difficult access to things")</f>
        <v>very difficult access to things</v>
      </c>
    </row>
    <row r="5739" ht="14.25" customHeight="1">
      <c r="A5739" s="1">
        <v>100.0</v>
      </c>
      <c r="B5739" s="1" t="s">
        <v>2412</v>
      </c>
      <c r="C5739" s="1">
        <v>10.0</v>
      </c>
      <c r="D5739" s="1" t="s">
        <v>6</v>
      </c>
      <c r="E5739" s="1"/>
    </row>
    <row r="5740" ht="14.25" customHeight="1">
      <c r="A5740" s="1">
        <v>33.0</v>
      </c>
      <c r="B5740" s="1" t="s">
        <v>2412</v>
      </c>
      <c r="C5740" s="1">
        <v>1.0</v>
      </c>
      <c r="D5740" s="2" t="s">
        <v>2608</v>
      </c>
      <c r="E5740" s="1" t="str">
        <f>IFERROR(__xludf.DUMMYFUNCTION("GOOGLETRANSLATE(D5740,""PT"",""EN"")"),"Worst bank I have been with is unhappy")</f>
        <v>Worst bank I have been with is unhappy</v>
      </c>
    </row>
    <row r="5741" ht="14.25" customHeight="1">
      <c r="A5741" s="1">
        <v>100.0</v>
      </c>
      <c r="B5741" s="1" t="s">
        <v>2412</v>
      </c>
      <c r="C5741" s="1">
        <v>10.0</v>
      </c>
      <c r="D5741" s="1" t="s">
        <v>6</v>
      </c>
      <c r="E5741" s="1"/>
    </row>
    <row r="5742" ht="14.25" customHeight="1">
      <c r="A5742" s="1">
        <v>100.0</v>
      </c>
      <c r="B5742" s="1" t="s">
        <v>2412</v>
      </c>
      <c r="C5742" s="1">
        <v>10.0</v>
      </c>
      <c r="D5742" s="1" t="s">
        <v>2609</v>
      </c>
      <c r="E5742" s="1" t="str">
        <f>IFERROR(__xludf.DUMMYFUNCTION("GOOGLETRANSLATE(D5742,""PT"",""EN"")"),"Excellent customer service, full satisfaction.")</f>
        <v>Excellent customer service, full satisfaction.</v>
      </c>
    </row>
    <row r="5743" ht="14.25" customHeight="1">
      <c r="A5743" s="1">
        <v>100.0</v>
      </c>
      <c r="B5743" s="1" t="s">
        <v>2412</v>
      </c>
      <c r="C5743" s="1">
        <v>10.0</v>
      </c>
      <c r="D5743" s="1" t="s">
        <v>2610</v>
      </c>
      <c r="E5743" s="1" t="str">
        <f>IFERROR(__xludf.DUMMYFUNCTION("GOOGLETRANSLATE(D5743,""PT"",""EN"")"),"Super service.")</f>
        <v>Super service.</v>
      </c>
    </row>
    <row r="5744" ht="14.25" customHeight="1">
      <c r="A5744" s="1">
        <v>100.0</v>
      </c>
      <c r="B5744" s="1" t="s">
        <v>2412</v>
      </c>
      <c r="C5744" s="1">
        <v>9.0</v>
      </c>
      <c r="D5744" s="1" t="s">
        <v>6</v>
      </c>
      <c r="E5744" s="1"/>
    </row>
    <row r="5745" ht="14.25" customHeight="1">
      <c r="A5745" s="1">
        <v>100.0</v>
      </c>
      <c r="B5745" s="1" t="s">
        <v>2412</v>
      </c>
      <c r="C5745" s="1">
        <v>9.0</v>
      </c>
      <c r="D5745" s="2" t="s">
        <v>2611</v>
      </c>
      <c r="E5745" s="1" t="str">
        <f>IFERROR(__xludf.DUMMYFUNCTION("GOOGLETRANSLATE(D5745,""PT"",""EN"")"),"I already use sicoob is recommend yes")</f>
        <v>I already use sicoob is recommend yes</v>
      </c>
    </row>
    <row r="5746" ht="14.25" customHeight="1">
      <c r="A5746" s="1">
        <v>33.0</v>
      </c>
      <c r="B5746" s="1" t="s">
        <v>2412</v>
      </c>
      <c r="C5746" s="1">
        <v>1.0</v>
      </c>
      <c r="D5746" s="1" t="s">
        <v>2612</v>
      </c>
      <c r="E5746" s="1" t="str">
        <f>IFERROR(__xludf.DUMMYFUNCTION("GOOGLETRANSLATE(D5746,""PT"",""EN"")"),"Lack of transparency regarding TR in real estate financing.")</f>
        <v>Lack of transparency regarding TR in real estate financing.</v>
      </c>
    </row>
    <row r="5747" ht="14.25" customHeight="1">
      <c r="A5747" s="1">
        <v>100.0</v>
      </c>
      <c r="B5747" s="1" t="s">
        <v>2412</v>
      </c>
      <c r="C5747" s="1">
        <v>10.0</v>
      </c>
      <c r="D5747" s="2" t="s">
        <v>2613</v>
      </c>
      <c r="E5747" s="1" t="str">
        <f>IFERROR(__xludf.DUMMYFUNCTION("GOOGLETRANSLATE(D5747,""PT"",""EN"")"),"It is a quiet place with engaged people, provides us with security and satisfaction.")</f>
        <v>It is a quiet place with engaged people, provides us with security and satisfaction.</v>
      </c>
    </row>
    <row r="5748" ht="14.25" customHeight="1">
      <c r="A5748" s="1">
        <v>100.0</v>
      </c>
      <c r="B5748" s="1" t="s">
        <v>2412</v>
      </c>
      <c r="C5748" s="1">
        <v>10.0</v>
      </c>
      <c r="D5748" s="1" t="s">
        <v>2614</v>
      </c>
      <c r="E5748" s="1" t="str">
        <f>IFERROR(__xludf.DUMMYFUNCTION("GOOGLETRANSLATE(D5748,""PT"",""EN"")"),"Service, personality, open accounts participation")</f>
        <v>Service, personality, open accounts participation</v>
      </c>
    </row>
    <row r="5749" ht="14.25" customHeight="1">
      <c r="A5749" s="1">
        <v>66.0</v>
      </c>
      <c r="B5749" s="1" t="s">
        <v>2412</v>
      </c>
      <c r="C5749" s="1">
        <v>7.0</v>
      </c>
      <c r="D5749" s="1" t="s">
        <v>6</v>
      </c>
      <c r="E5749" s="1"/>
    </row>
    <row r="5750" ht="14.25" customHeight="1">
      <c r="A5750" s="1">
        <v>100.0</v>
      </c>
      <c r="B5750" s="1" t="s">
        <v>2412</v>
      </c>
      <c r="C5750" s="1">
        <v>10.0</v>
      </c>
      <c r="D5750" s="1" t="s">
        <v>6</v>
      </c>
      <c r="E5750" s="1"/>
    </row>
    <row r="5751" ht="14.25" customHeight="1">
      <c r="A5751" s="1">
        <v>100.0</v>
      </c>
      <c r="B5751" s="1" t="s">
        <v>2412</v>
      </c>
      <c r="C5751" s="1">
        <v>10.0</v>
      </c>
      <c r="D5751" s="1" t="s">
        <v>2615</v>
      </c>
      <c r="E5751" s="1" t="str">
        <f>IFERROR(__xludf.DUMMYFUNCTION("GOOGLETRANSLATE(D5751,""PT"",""EN"")"),"Seriousness")</f>
        <v>Seriousness</v>
      </c>
    </row>
    <row r="5752" ht="14.25" customHeight="1">
      <c r="A5752" s="1">
        <v>100.0</v>
      </c>
      <c r="B5752" s="1" t="s">
        <v>2412</v>
      </c>
      <c r="C5752" s="1">
        <v>10.0</v>
      </c>
      <c r="D5752" s="1" t="s">
        <v>6</v>
      </c>
      <c r="E5752" s="1"/>
    </row>
    <row r="5753" ht="14.25" customHeight="1">
      <c r="A5753" s="1">
        <v>66.0</v>
      </c>
      <c r="B5753" s="1" t="s">
        <v>2412</v>
      </c>
      <c r="C5753" s="1">
        <v>8.0</v>
      </c>
      <c r="D5753" s="2" t="s">
        <v>2616</v>
      </c>
      <c r="E5753" s="1" t="str">
        <f>IFERROR(__xludf.DUMMYFUNCTION("GOOGLETRANSLATE(D5753,""PT"",""EN"")"),"Pleasant people. Some improvements in credit concession is available. Check.")</f>
        <v>Pleasant people. Some improvements in credit concession is available. Check.</v>
      </c>
    </row>
    <row r="5754" ht="14.25" customHeight="1">
      <c r="A5754" s="1">
        <v>100.0</v>
      </c>
      <c r="B5754" s="1" t="s">
        <v>2412</v>
      </c>
      <c r="C5754" s="1">
        <v>9.0</v>
      </c>
      <c r="D5754" s="1" t="s">
        <v>2617</v>
      </c>
      <c r="E5754" s="1" t="str">
        <f>IFERROR(__xludf.DUMMYFUNCTION("GOOGLETRANSLATE(D5754,""PT"",""EN"")"),"Ease in the relationship")</f>
        <v>Ease in the relationship</v>
      </c>
    </row>
    <row r="5755" ht="14.25" customHeight="1">
      <c r="A5755" s="1">
        <v>33.0</v>
      </c>
      <c r="B5755" s="1" t="s">
        <v>2412</v>
      </c>
      <c r="C5755" s="1">
        <v>2.0</v>
      </c>
      <c r="D5755" s="2" t="s">
        <v>2618</v>
      </c>
      <c r="E5755" s="1" t="str">
        <f>IFERROR(__xludf.DUMMYFUNCTION("GOOGLETRANSLATE(D5755,""PT"",""EN"")"),"Collection of service packages without delivering them.")</f>
        <v>Collection of service packages without delivering them.</v>
      </c>
    </row>
    <row r="5756" ht="14.25" customHeight="1">
      <c r="A5756" s="1">
        <v>33.0</v>
      </c>
      <c r="B5756" s="1" t="s">
        <v>2412</v>
      </c>
      <c r="C5756" s="1">
        <v>5.0</v>
      </c>
      <c r="D5756" s="1" t="s">
        <v>2619</v>
      </c>
      <c r="E5756" s="1" t="str">
        <f>IFERROR(__xludf.DUMMYFUNCTION("GOOGLETRANSLATE(D5756,""PT"",""EN"")"),"Bureaucracy")</f>
        <v>Bureaucracy</v>
      </c>
    </row>
    <row r="5757" ht="14.25" customHeight="1">
      <c r="A5757" s="1">
        <v>100.0</v>
      </c>
      <c r="B5757" s="1" t="s">
        <v>2412</v>
      </c>
      <c r="C5757" s="1">
        <v>10.0</v>
      </c>
      <c r="D5757" s="1" t="s">
        <v>6</v>
      </c>
      <c r="E5757" s="1"/>
    </row>
    <row r="5758" ht="14.25" customHeight="1">
      <c r="A5758" s="1">
        <v>100.0</v>
      </c>
      <c r="B5758" s="1" t="s">
        <v>2412</v>
      </c>
      <c r="C5758" s="1">
        <v>10.0</v>
      </c>
      <c r="D5758" s="1" t="s">
        <v>6</v>
      </c>
      <c r="E5758" s="1"/>
    </row>
    <row r="5759" ht="14.25" customHeight="1">
      <c r="A5759" s="1">
        <v>66.0</v>
      </c>
      <c r="B5759" s="1" t="s">
        <v>2412</v>
      </c>
      <c r="C5759" s="1">
        <v>7.0</v>
      </c>
      <c r="D5759" s="1" t="s">
        <v>2620</v>
      </c>
      <c r="E5759" s="1" t="str">
        <f>IFERROR(__xludf.DUMMYFUNCTION("GOOGLETRANSLATE(D5759,""PT"",""EN"")"),"7")</f>
        <v>7</v>
      </c>
    </row>
    <row r="5760" ht="14.25" customHeight="1">
      <c r="A5760" s="1">
        <v>100.0</v>
      </c>
      <c r="B5760" s="1" t="s">
        <v>2412</v>
      </c>
      <c r="C5760" s="1">
        <v>10.0</v>
      </c>
      <c r="D5760" s="1" t="s">
        <v>1880</v>
      </c>
      <c r="E5760" s="1" t="str">
        <f>IFERROR(__xludf.DUMMYFUNCTION("GOOGLETRANSLATE(D5760,""PT"",""EN"")"),"Quality of service")</f>
        <v>Quality of service</v>
      </c>
    </row>
    <row r="5761" ht="14.25" customHeight="1">
      <c r="A5761" s="1">
        <v>66.0</v>
      </c>
      <c r="B5761" s="1" t="s">
        <v>2412</v>
      </c>
      <c r="C5761" s="1">
        <v>8.0</v>
      </c>
      <c r="D5761" s="1" t="s">
        <v>2621</v>
      </c>
      <c r="E5761" s="1" t="str">
        <f>IFERROR(__xludf.DUMMYFUNCTION("GOOGLETRANSLATE(D5761,""PT"",""EN"")"),"I am liking it")</f>
        <v>I am liking it</v>
      </c>
    </row>
    <row r="5762" ht="14.25" customHeight="1">
      <c r="A5762" s="1">
        <v>66.0</v>
      </c>
      <c r="B5762" s="1" t="s">
        <v>2412</v>
      </c>
      <c r="C5762" s="1">
        <v>8.0</v>
      </c>
      <c r="D5762" s="1" t="s">
        <v>6</v>
      </c>
      <c r="E5762" s="1"/>
    </row>
    <row r="5763" ht="14.25" customHeight="1">
      <c r="A5763" s="1">
        <v>100.0</v>
      </c>
      <c r="B5763" s="1" t="s">
        <v>2412</v>
      </c>
      <c r="C5763" s="1">
        <v>10.0</v>
      </c>
      <c r="D5763" s="1" t="s">
        <v>6</v>
      </c>
      <c r="E5763" s="1"/>
    </row>
    <row r="5764" ht="14.25" customHeight="1">
      <c r="A5764" s="1">
        <v>100.0</v>
      </c>
      <c r="B5764" s="1" t="s">
        <v>2412</v>
      </c>
      <c r="C5764" s="1">
        <v>10.0</v>
      </c>
      <c r="D5764" s="1" t="s">
        <v>6</v>
      </c>
      <c r="E5764" s="1"/>
    </row>
    <row r="5765" ht="14.25" customHeight="1">
      <c r="A5765" s="1">
        <v>100.0</v>
      </c>
      <c r="B5765" s="1" t="s">
        <v>2412</v>
      </c>
      <c r="C5765" s="1">
        <v>10.0</v>
      </c>
      <c r="D5765" s="1" t="s">
        <v>2622</v>
      </c>
      <c r="E5765" s="1" t="str">
        <f>IFERROR(__xludf.DUMMYFUNCTION("GOOGLETRANSLATE(D5765,""PT"",""EN"")"),"The bank in general is very good!")</f>
        <v>The bank in general is very good!</v>
      </c>
    </row>
    <row r="5766" ht="14.25" customHeight="1">
      <c r="A5766" s="1">
        <v>66.0</v>
      </c>
      <c r="B5766" s="1" t="s">
        <v>2412</v>
      </c>
      <c r="C5766" s="1">
        <v>7.0</v>
      </c>
      <c r="D5766" s="2" t="s">
        <v>2623</v>
      </c>
      <c r="E5766" s="1" t="str">
        <f>IFERROR(__xludf.DUMMYFUNCTION("GOOGLETRANSLATE(D5766,""PT"",""EN"")"),"Few credit limit in another much higher cooperative")</f>
        <v>Few credit limit in another much higher cooperative</v>
      </c>
    </row>
    <row r="5767" ht="14.25" customHeight="1">
      <c r="A5767" s="1">
        <v>100.0</v>
      </c>
      <c r="B5767" s="1" t="s">
        <v>2412</v>
      </c>
      <c r="C5767" s="1">
        <v>10.0</v>
      </c>
      <c r="D5767" s="2" t="s">
        <v>2624</v>
      </c>
      <c r="E5767" s="1" t="str">
        <f>IFERROR(__xludf.DUMMYFUNCTION("GOOGLETRANSLATE(D5767,""PT"",""EN"")"),"A lot of agility in the application is as well as a lot of receptivity to its employees")</f>
        <v>A lot of agility in the application is as well as a lot of receptivity to its employees</v>
      </c>
    </row>
    <row r="5768" ht="14.25" customHeight="1">
      <c r="A5768" s="1">
        <v>33.0</v>
      </c>
      <c r="B5768" s="1" t="s">
        <v>2412</v>
      </c>
      <c r="C5768" s="1">
        <v>2.0</v>
      </c>
      <c r="D5768" s="1" t="s">
        <v>6</v>
      </c>
      <c r="E5768" s="1"/>
    </row>
    <row r="5769" ht="14.25" customHeight="1">
      <c r="A5769" s="1">
        <v>100.0</v>
      </c>
      <c r="B5769" s="1" t="s">
        <v>2412</v>
      </c>
      <c r="C5769" s="1">
        <v>10.0</v>
      </c>
      <c r="D5769" s="1" t="s">
        <v>412</v>
      </c>
      <c r="E5769" s="1" t="str">
        <f>IFERROR(__xludf.DUMMYFUNCTION("GOOGLETRANSLATE(D5769,""PT"",""EN"")"),"Efficiency")</f>
        <v>Efficiency</v>
      </c>
    </row>
    <row r="5770" ht="14.25" customHeight="1">
      <c r="A5770" s="1">
        <v>100.0</v>
      </c>
      <c r="B5770" s="1" t="s">
        <v>2412</v>
      </c>
      <c r="C5770" s="1">
        <v>10.0</v>
      </c>
      <c r="D5770" s="2" t="s">
        <v>2625</v>
      </c>
      <c r="E5770" s="1" t="str">
        <f>IFERROR(__xludf.DUMMYFUNCTION("GOOGLETRANSLATE(D5770,""PT"",""EN"")"),"Speed ​​and cordiality")</f>
        <v>Speed ​​and cordiality</v>
      </c>
    </row>
    <row r="5771" ht="14.25" customHeight="1">
      <c r="A5771" s="1">
        <v>100.0</v>
      </c>
      <c r="B5771" s="1" t="s">
        <v>2412</v>
      </c>
      <c r="C5771" s="1">
        <v>9.0</v>
      </c>
      <c r="D5771" s="1" t="s">
        <v>6</v>
      </c>
      <c r="E5771" s="1"/>
    </row>
    <row r="5772" ht="14.25" customHeight="1">
      <c r="A5772" s="1">
        <v>33.0</v>
      </c>
      <c r="B5772" s="1" t="s">
        <v>2412</v>
      </c>
      <c r="C5772" s="1">
        <v>3.0</v>
      </c>
      <c r="D5772" s="1" t="s">
        <v>2626</v>
      </c>
      <c r="E5772" s="1" t="str">
        <f>IFERROR(__xludf.DUMMYFUNCTION("GOOGLETRANSLATE(D5772,""PT"",""EN"")"),"Little customer support")</f>
        <v>Little customer support</v>
      </c>
    </row>
    <row r="5773" ht="14.25" customHeight="1">
      <c r="A5773" s="1">
        <v>100.0</v>
      </c>
      <c r="B5773" s="1" t="s">
        <v>2412</v>
      </c>
      <c r="C5773" s="1">
        <v>10.0</v>
      </c>
      <c r="D5773" s="1" t="s">
        <v>6</v>
      </c>
      <c r="E5773" s="1"/>
    </row>
    <row r="5774" ht="14.25" customHeight="1">
      <c r="A5774" s="1">
        <v>100.0</v>
      </c>
      <c r="B5774" s="1" t="s">
        <v>2412</v>
      </c>
      <c r="C5774" s="1">
        <v>10.0</v>
      </c>
      <c r="D5774" s="2" t="s">
        <v>2627</v>
      </c>
      <c r="E5774" s="1" t="str">
        <f>IFERROR(__xludf.DUMMYFUNCTION("GOOGLETRANSLATE(D5774,""PT"",""EN"")"),"The presentation and efficiency in service")</f>
        <v>The presentation and efficiency in service</v>
      </c>
    </row>
    <row r="5775" ht="14.25" customHeight="1">
      <c r="A5775" s="1">
        <v>100.0</v>
      </c>
      <c r="B5775" s="1" t="s">
        <v>2412</v>
      </c>
      <c r="C5775" s="1">
        <v>9.0</v>
      </c>
      <c r="D5775" s="1" t="s">
        <v>2628</v>
      </c>
      <c r="E5775" s="1" t="str">
        <f>IFERROR(__xludf.DUMMYFUNCTION("GOOGLETRANSLATE(D5775,""PT"",""EN"")"),"Would indicate yes")</f>
        <v>Would indicate yes</v>
      </c>
    </row>
    <row r="5776" ht="14.25" customHeight="1">
      <c r="A5776" s="1">
        <v>100.0</v>
      </c>
      <c r="B5776" s="1" t="s">
        <v>2412</v>
      </c>
      <c r="C5776" s="1">
        <v>10.0</v>
      </c>
      <c r="D5776" s="1" t="s">
        <v>6</v>
      </c>
      <c r="E5776" s="1"/>
    </row>
    <row r="5777" ht="14.25" customHeight="1">
      <c r="A5777" s="1">
        <v>66.0</v>
      </c>
      <c r="B5777" s="1" t="s">
        <v>2412</v>
      </c>
      <c r="C5777" s="1">
        <v>7.0</v>
      </c>
      <c r="D5777" s="1" t="s">
        <v>6</v>
      </c>
      <c r="E5777" s="1"/>
    </row>
    <row r="5778" ht="14.25" customHeight="1">
      <c r="A5778" s="1">
        <v>33.0</v>
      </c>
      <c r="B5778" s="1" t="s">
        <v>2412</v>
      </c>
      <c r="C5778" s="1">
        <v>3.0</v>
      </c>
      <c r="D5778" s="1" t="s">
        <v>6</v>
      </c>
      <c r="E5778" s="1"/>
    </row>
    <row r="5779" ht="14.25" customHeight="1">
      <c r="A5779" s="1">
        <v>100.0</v>
      </c>
      <c r="B5779" s="1" t="s">
        <v>2412</v>
      </c>
      <c r="C5779" s="1">
        <v>10.0</v>
      </c>
      <c r="D5779" s="1" t="s">
        <v>2629</v>
      </c>
      <c r="E5779" s="1" t="str">
        <f>IFERROR(__xludf.DUMMYFUNCTION("GOOGLETRANSLATE(D5779,""PT"",""EN"")"),"respect...")</f>
        <v>respect...</v>
      </c>
    </row>
    <row r="5780" ht="14.25" customHeight="1">
      <c r="A5780" s="1">
        <v>100.0</v>
      </c>
      <c r="B5780" s="1" t="s">
        <v>2412</v>
      </c>
      <c r="C5780" s="1">
        <v>10.0</v>
      </c>
      <c r="D5780" s="1" t="s">
        <v>6</v>
      </c>
      <c r="E5780" s="1"/>
    </row>
    <row r="5781" ht="14.25" customHeight="1">
      <c r="A5781" s="1">
        <v>100.0</v>
      </c>
      <c r="B5781" s="1" t="s">
        <v>2412</v>
      </c>
      <c r="C5781" s="1">
        <v>10.0</v>
      </c>
      <c r="D5781" s="1" t="s">
        <v>6</v>
      </c>
      <c r="E5781" s="1"/>
    </row>
    <row r="5782" ht="14.25" customHeight="1">
      <c r="A5782" s="1">
        <v>100.0</v>
      </c>
      <c r="B5782" s="1" t="s">
        <v>2412</v>
      </c>
      <c r="C5782" s="1">
        <v>10.0</v>
      </c>
      <c r="D5782" s="1" t="s">
        <v>2630</v>
      </c>
      <c r="E5782" s="1" t="str">
        <f>IFERROR(__xludf.DUMMYFUNCTION("GOOGLETRANSLATE(D5782,""PT"",""EN"")"),"It is a bank for all")</f>
        <v>It is a bank for all</v>
      </c>
    </row>
    <row r="5783" ht="14.25" customHeight="1">
      <c r="A5783" s="1">
        <v>33.0</v>
      </c>
      <c r="B5783" s="1" t="s">
        <v>2412</v>
      </c>
      <c r="C5783" s="1">
        <v>2.0</v>
      </c>
      <c r="D5783" s="1" t="s">
        <v>2631</v>
      </c>
      <c r="E5783" s="1" t="str">
        <f>IFERROR(__xludf.DUMMYFUNCTION("GOOGLETRANSLATE(D5783,""PT"",""EN"")"),"Locks all the time the app all the time")</f>
        <v>Locks all the time the app all the time</v>
      </c>
    </row>
    <row r="5784" ht="14.25" customHeight="1">
      <c r="A5784" s="1">
        <v>33.0</v>
      </c>
      <c r="B5784" s="1" t="s">
        <v>2412</v>
      </c>
      <c r="C5784" s="1">
        <v>2.0</v>
      </c>
      <c r="D5784" s="2" t="s">
        <v>2632</v>
      </c>
      <c r="E5784" s="1" t="str">
        <f>IFERROR(__xludf.DUMMYFUNCTION("GOOGLETRANSLATE(D5784,""PT"",""EN"")"),"I didn't like the Clear Water Agency model. I'm migrating to Itaú.")</f>
        <v>I didn't like the Clear Water Agency model. I'm migrating to Itaú.</v>
      </c>
    </row>
    <row r="5785" ht="14.25" customHeight="1">
      <c r="A5785" s="1">
        <v>66.0</v>
      </c>
      <c r="B5785" s="1" t="s">
        <v>2412</v>
      </c>
      <c r="C5785" s="1">
        <v>7.0</v>
      </c>
      <c r="D5785" s="2" t="s">
        <v>2633</v>
      </c>
      <c r="E5785" s="1" t="str">
        <f>IFERROR(__xludf.DUMMYFUNCTION("GOOGLETRANSLATE(D5785,""PT"",""EN"")"),"You have to improve a lot but already coming with automatic credits")</f>
        <v>You have to improve a lot but already coming with automatic credits</v>
      </c>
    </row>
    <row r="5786" ht="14.25" customHeight="1">
      <c r="A5786" s="1">
        <v>66.0</v>
      </c>
      <c r="B5786" s="1" t="s">
        <v>2412</v>
      </c>
      <c r="C5786" s="1">
        <v>7.0</v>
      </c>
      <c r="D5786" s="2" t="s">
        <v>2634</v>
      </c>
      <c r="E5786" s="1" t="str">
        <f>IFERROR(__xludf.DUMMYFUNCTION("GOOGLETRANSLATE(D5786,""PT"",""EN"")"),"Due to good service is the lowest interest rates")</f>
        <v>Due to good service is the lowest interest rates</v>
      </c>
    </row>
    <row r="5787" ht="14.25" customHeight="1">
      <c r="A5787" s="1">
        <v>100.0</v>
      </c>
      <c r="B5787" s="1" t="s">
        <v>2412</v>
      </c>
      <c r="C5787" s="1">
        <v>10.0</v>
      </c>
      <c r="D5787" s="1" t="s">
        <v>6</v>
      </c>
      <c r="E5787" s="1"/>
    </row>
    <row r="5788" ht="14.25" customHeight="1">
      <c r="A5788" s="1">
        <v>33.0</v>
      </c>
      <c r="B5788" s="1" t="s">
        <v>2412</v>
      </c>
      <c r="C5788" s="1">
        <v>4.0</v>
      </c>
      <c r="D5788" s="1" t="s">
        <v>6</v>
      </c>
      <c r="E5788" s="1"/>
    </row>
    <row r="5789" ht="14.25" customHeight="1">
      <c r="A5789" s="1">
        <v>33.0</v>
      </c>
      <c r="B5789" s="1" t="s">
        <v>2412</v>
      </c>
      <c r="C5789" s="1">
        <v>6.0</v>
      </c>
      <c r="D5789" s="2" t="s">
        <v>2635</v>
      </c>
      <c r="E5789" s="1" t="str">
        <f>IFERROR(__xludf.DUMMYFUNCTION("GOOGLETRANSLATE(D5789,""PT"",""EN"")"),"I know there a few times that I needed I was not very successful")</f>
        <v>I know there a few times that I needed I was not very successful</v>
      </c>
    </row>
    <row r="5790" ht="14.25" customHeight="1">
      <c r="A5790" s="1">
        <v>100.0</v>
      </c>
      <c r="B5790" s="1" t="s">
        <v>2412</v>
      </c>
      <c r="C5790" s="1">
        <v>10.0</v>
      </c>
      <c r="D5790" s="1" t="s">
        <v>6</v>
      </c>
      <c r="E5790" s="1"/>
    </row>
    <row r="5791" ht="14.25" customHeight="1">
      <c r="A5791" s="1">
        <v>100.0</v>
      </c>
      <c r="B5791" s="1" t="s">
        <v>2412</v>
      </c>
      <c r="C5791" s="1">
        <v>9.0</v>
      </c>
      <c r="D5791" s="1" t="s">
        <v>2636</v>
      </c>
      <c r="E5791" s="1" t="str">
        <f>IFERROR(__xludf.DUMMYFUNCTION("GOOGLETRANSLATE(D5791,""PT"",""EN"")"),"I always request my account manager")</f>
        <v>I always request my account manager</v>
      </c>
    </row>
    <row r="5792" ht="14.25" customHeight="1">
      <c r="A5792" s="1">
        <v>33.0</v>
      </c>
      <c r="B5792" s="1" t="s">
        <v>2412</v>
      </c>
      <c r="C5792" s="1">
        <v>0.0</v>
      </c>
      <c r="D5792" s="1" t="s">
        <v>6</v>
      </c>
      <c r="E5792" s="1"/>
    </row>
    <row r="5793" ht="14.25" customHeight="1">
      <c r="A5793" s="1">
        <v>100.0</v>
      </c>
      <c r="B5793" s="1" t="s">
        <v>2412</v>
      </c>
      <c r="C5793" s="1">
        <v>10.0</v>
      </c>
      <c r="D5793" s="1" t="s">
        <v>6</v>
      </c>
      <c r="E5793" s="1"/>
    </row>
    <row r="5794" ht="14.25" customHeight="1">
      <c r="A5794" s="1">
        <v>33.0</v>
      </c>
      <c r="B5794" s="1" t="s">
        <v>2412</v>
      </c>
      <c r="C5794" s="1">
        <v>6.0</v>
      </c>
      <c r="D5794" s="1" t="s">
        <v>6</v>
      </c>
      <c r="E5794" s="1"/>
    </row>
    <row r="5795" ht="14.25" customHeight="1">
      <c r="A5795" s="1">
        <v>100.0</v>
      </c>
      <c r="B5795" s="1" t="s">
        <v>2412</v>
      </c>
      <c r="C5795" s="1">
        <v>10.0</v>
      </c>
      <c r="D5795" s="2" t="s">
        <v>2637</v>
      </c>
      <c r="E5795" s="1" t="str">
        <f>IFERROR(__xludf.DUMMYFUNCTION("GOOGLETRANSLATE(D5795,""PT"",""EN"")"),"A family")</f>
        <v>A family</v>
      </c>
    </row>
    <row r="5796" ht="14.25" customHeight="1">
      <c r="A5796" s="1">
        <v>33.0</v>
      </c>
      <c r="B5796" s="1" t="s">
        <v>2412</v>
      </c>
      <c r="C5796" s="1">
        <v>5.0</v>
      </c>
      <c r="D5796" s="1" t="s">
        <v>6</v>
      </c>
      <c r="E5796" s="1"/>
    </row>
    <row r="5797" ht="14.25" customHeight="1">
      <c r="A5797" s="1">
        <v>100.0</v>
      </c>
      <c r="B5797" s="1" t="s">
        <v>2412</v>
      </c>
      <c r="C5797" s="1">
        <v>10.0</v>
      </c>
      <c r="D5797" s="1" t="s">
        <v>2638</v>
      </c>
      <c r="E5797" s="1" t="str">
        <f>IFERROR(__xludf.DUMMYFUNCTION("GOOGLETRANSLATE(D5797,""PT"",""EN"")"),"This very good bank")</f>
        <v>This very good bank</v>
      </c>
    </row>
    <row r="5798" ht="14.25" customHeight="1">
      <c r="A5798" s="1">
        <v>100.0</v>
      </c>
      <c r="B5798" s="1" t="s">
        <v>2412</v>
      </c>
      <c r="C5798" s="1">
        <v>10.0</v>
      </c>
      <c r="D5798" s="1" t="s">
        <v>2639</v>
      </c>
      <c r="E5798" s="1" t="str">
        <f>IFERROR(__xludf.DUMMYFUNCTION("GOOGLETRANSLATE(D5798,""PT"",""EN"")"),"Incredible")</f>
        <v>Incredible</v>
      </c>
    </row>
    <row r="5799" ht="14.25" customHeight="1">
      <c r="A5799" s="1">
        <v>100.0</v>
      </c>
      <c r="B5799" s="1" t="s">
        <v>2412</v>
      </c>
      <c r="C5799" s="1">
        <v>10.0</v>
      </c>
      <c r="D5799" s="2" t="s">
        <v>2640</v>
      </c>
      <c r="E5799" s="1" t="str">
        <f>IFERROR(__xludf.DUMMYFUNCTION("GOOGLETRANSLATE(D5799,""PT"",""EN"")"),"Ease, better rates is commitment to the customer.")</f>
        <v>Ease, better rates is commitment to the customer.</v>
      </c>
    </row>
    <row r="5800" ht="14.25" customHeight="1">
      <c r="A5800" s="1">
        <v>100.0</v>
      </c>
      <c r="B5800" s="1" t="s">
        <v>2412</v>
      </c>
      <c r="C5800" s="1">
        <v>10.0</v>
      </c>
      <c r="D5800" s="1" t="s">
        <v>6</v>
      </c>
      <c r="E5800" s="1"/>
    </row>
    <row r="5801" ht="14.25" customHeight="1">
      <c r="A5801" s="1">
        <v>100.0</v>
      </c>
      <c r="B5801" s="1" t="s">
        <v>2412</v>
      </c>
      <c r="C5801" s="1">
        <v>10.0</v>
      </c>
      <c r="D5801" s="2" t="s">
        <v>2641</v>
      </c>
      <c r="E5801" s="1" t="str">
        <f>IFERROR(__xludf.DUMMYFUNCTION("GOOGLETRANSLATE(D5801,""PT"",""EN"")"),"It is the best bank")</f>
        <v>It is the best bank</v>
      </c>
    </row>
    <row r="5802" ht="14.25" customHeight="1">
      <c r="A5802" s="1">
        <v>100.0</v>
      </c>
      <c r="B5802" s="1" t="s">
        <v>2412</v>
      </c>
      <c r="C5802" s="1">
        <v>10.0</v>
      </c>
      <c r="D5802" s="1" t="s">
        <v>6</v>
      </c>
      <c r="E5802" s="1"/>
    </row>
    <row r="5803" ht="14.25" customHeight="1">
      <c r="A5803" s="1">
        <v>100.0</v>
      </c>
      <c r="B5803" s="1" t="s">
        <v>2412</v>
      </c>
      <c r="C5803" s="1">
        <v>10.0</v>
      </c>
      <c r="D5803" s="1" t="s">
        <v>6</v>
      </c>
      <c r="E5803" s="1"/>
    </row>
    <row r="5804" ht="14.25" customHeight="1">
      <c r="A5804" s="1">
        <v>100.0</v>
      </c>
      <c r="B5804" s="1" t="s">
        <v>2412</v>
      </c>
      <c r="C5804" s="1">
        <v>10.0</v>
      </c>
      <c r="D5804" s="2" t="s">
        <v>2642</v>
      </c>
      <c r="E5804" s="1" t="str">
        <f>IFERROR(__xludf.DUMMYFUNCTION("GOOGLETRANSLATE(D5804,""PT"",""EN"")"),"The manager Pedro Lima de Campos Altos, very helpful! No ready to serve you in the best way possible!")</f>
        <v>The manager Pedro Lima de Campos Altos, very helpful! No ready to serve you in the best way possible!</v>
      </c>
    </row>
    <row r="5805" ht="14.25" customHeight="1">
      <c r="A5805" s="1">
        <v>100.0</v>
      </c>
      <c r="B5805" s="1" t="s">
        <v>2412</v>
      </c>
      <c r="C5805" s="1">
        <v>10.0</v>
      </c>
      <c r="D5805" s="2" t="s">
        <v>2643</v>
      </c>
      <c r="E5805" s="1" t="str">
        <f>IFERROR(__xludf.DUMMYFUNCTION("GOOGLETRANSLATE(D5805,""PT"",""EN"")"),"Good service, good app, credit with good rates, attentive staff is collaborative.")</f>
        <v>Good service, good app, credit with good rates, attentive staff is collaborative.</v>
      </c>
    </row>
    <row r="5806" ht="14.25" customHeight="1">
      <c r="A5806" s="1">
        <v>100.0</v>
      </c>
      <c r="B5806" s="1" t="s">
        <v>2412</v>
      </c>
      <c r="C5806" s="1">
        <v>10.0</v>
      </c>
      <c r="D5806" s="1" t="s">
        <v>2644</v>
      </c>
      <c r="E5806" s="1" t="str">
        <f>IFERROR(__xludf.DUMMYFUNCTION("GOOGLETRANSLATE(D5806,""PT"",""EN"")"),"Because its good")</f>
        <v>Because its good</v>
      </c>
    </row>
    <row r="5807" ht="14.25" customHeight="1">
      <c r="A5807" s="1">
        <v>100.0</v>
      </c>
      <c r="B5807" s="1" t="s">
        <v>2412</v>
      </c>
      <c r="C5807" s="1">
        <v>10.0</v>
      </c>
      <c r="D5807" s="1" t="s">
        <v>6</v>
      </c>
      <c r="E5807" s="1"/>
    </row>
    <row r="5808" ht="14.25" customHeight="1">
      <c r="A5808" s="1">
        <v>100.0</v>
      </c>
      <c r="B5808" s="1" t="s">
        <v>2412</v>
      </c>
      <c r="C5808" s="1">
        <v>10.0</v>
      </c>
      <c r="D5808" s="1" t="s">
        <v>6</v>
      </c>
      <c r="E5808" s="1"/>
    </row>
    <row r="5809" ht="14.25" customHeight="1">
      <c r="A5809" s="1">
        <v>100.0</v>
      </c>
      <c r="B5809" s="1" t="s">
        <v>2412</v>
      </c>
      <c r="C5809" s="1">
        <v>10.0</v>
      </c>
      <c r="D5809" s="1" t="s">
        <v>6</v>
      </c>
      <c r="E5809" s="1"/>
    </row>
    <row r="5810" ht="14.25" customHeight="1">
      <c r="A5810" s="1">
        <v>100.0</v>
      </c>
      <c r="B5810" s="1" t="s">
        <v>2412</v>
      </c>
      <c r="C5810" s="1">
        <v>9.0</v>
      </c>
      <c r="D5810" s="1" t="s">
        <v>6</v>
      </c>
      <c r="E5810" s="1"/>
    </row>
    <row r="5811" ht="14.25" customHeight="1">
      <c r="A5811" s="1">
        <v>33.0</v>
      </c>
      <c r="B5811" s="1" t="s">
        <v>2412</v>
      </c>
      <c r="C5811" s="1">
        <v>0.0</v>
      </c>
      <c r="D5811" s="2" t="s">
        <v>2645</v>
      </c>
      <c r="E5811" s="1" t="str">
        <f>IFERROR(__xludf.DUMMYFUNCTION("GOOGLETRANSLATE(D5811,""PT"",""EN"")"),"Service and horrible problem solving !!!")</f>
        <v>Service and horrible problem solving !!!</v>
      </c>
    </row>
    <row r="5812" ht="14.25" customHeight="1">
      <c r="A5812" s="1">
        <v>100.0</v>
      </c>
      <c r="B5812" s="1" t="s">
        <v>2412</v>
      </c>
      <c r="C5812" s="1">
        <v>9.0</v>
      </c>
      <c r="D5812" s="2" t="s">
        <v>2646</v>
      </c>
      <c r="E5812" s="1" t="str">
        <f>IFERROR(__xludf.DUMMYFUNCTION("GOOGLETRANSLATE(D5812,""PT"",""EN"")"),"Easy to open the account. Qualified professionals is always willing to help.")</f>
        <v>Easy to open the account. Qualified professionals is always willing to help.</v>
      </c>
    </row>
    <row r="5813" ht="14.25" customHeight="1">
      <c r="A5813" s="1">
        <v>100.0</v>
      </c>
      <c r="B5813" s="1" t="s">
        <v>2412</v>
      </c>
      <c r="C5813" s="1">
        <v>10.0</v>
      </c>
      <c r="D5813" s="2" t="s">
        <v>2647</v>
      </c>
      <c r="E5813" s="1" t="str">
        <f>IFERROR(__xludf.DUMMYFUNCTION("GOOGLETRANSLATE(D5813,""PT"",""EN"")"),"Transparency and Safety")</f>
        <v>Transparency and Safety</v>
      </c>
    </row>
    <row r="5814" ht="14.25" customHeight="1">
      <c r="A5814" s="1">
        <v>66.0</v>
      </c>
      <c r="B5814" s="1" t="s">
        <v>2412</v>
      </c>
      <c r="C5814" s="1">
        <v>8.0</v>
      </c>
      <c r="D5814" s="2" t="s">
        <v>2648</v>
      </c>
      <c r="E5814" s="1" t="str">
        <f>IFERROR(__xludf.DUMMYFUNCTION("GOOGLETRANSLATE(D5814,""PT"",""EN"")"),"Very good bank, great service. But I had a problem is not solved")</f>
        <v>Very good bank, great service. But I had a problem is not solved</v>
      </c>
    </row>
    <row r="5815" ht="14.25" customHeight="1">
      <c r="A5815" s="1">
        <v>100.0</v>
      </c>
      <c r="B5815" s="1" t="s">
        <v>2412</v>
      </c>
      <c r="C5815" s="1">
        <v>10.0</v>
      </c>
      <c r="D5815" s="2" t="s">
        <v>2649</v>
      </c>
      <c r="E5815" s="1" t="str">
        <f>IFERROR(__xludf.DUMMYFUNCTION("GOOGLETRANSLATE(D5815,""PT"",""EN"")"),"Great service is professionalism")</f>
        <v>Great service is professionalism</v>
      </c>
    </row>
    <row r="5816" ht="14.25" customHeight="1">
      <c r="A5816" s="1">
        <v>100.0</v>
      </c>
      <c r="B5816" s="1" t="s">
        <v>2412</v>
      </c>
      <c r="C5816" s="1">
        <v>10.0</v>
      </c>
      <c r="D5816" s="1" t="s">
        <v>6</v>
      </c>
      <c r="E5816" s="1"/>
    </row>
    <row r="5817" ht="14.25" customHeight="1">
      <c r="A5817" s="1">
        <v>100.0</v>
      </c>
      <c r="B5817" s="1" t="s">
        <v>2412</v>
      </c>
      <c r="C5817" s="1">
        <v>10.0</v>
      </c>
      <c r="D5817" s="1" t="s">
        <v>6</v>
      </c>
      <c r="E5817" s="1"/>
    </row>
    <row r="5818" ht="14.25" customHeight="1">
      <c r="A5818" s="1">
        <v>33.0</v>
      </c>
      <c r="B5818" s="1" t="s">
        <v>2412</v>
      </c>
      <c r="C5818" s="1">
        <v>2.0</v>
      </c>
      <c r="D5818" s="1" t="s">
        <v>2650</v>
      </c>
      <c r="E5818" s="1" t="str">
        <f>IFERROR(__xludf.DUMMYFUNCTION("GOOGLETRANSLATE(D5818,""PT"",""EN"")"),"I never got anything benefit from the bank")</f>
        <v>I never got anything benefit from the bank</v>
      </c>
    </row>
    <row r="5819" ht="14.25" customHeight="1">
      <c r="A5819" s="1">
        <v>100.0</v>
      </c>
      <c r="B5819" s="1" t="s">
        <v>2412</v>
      </c>
      <c r="C5819" s="1">
        <v>10.0</v>
      </c>
      <c r="D5819" s="1" t="s">
        <v>6</v>
      </c>
      <c r="E5819" s="1"/>
    </row>
    <row r="5820" ht="14.25" customHeight="1">
      <c r="A5820" s="1">
        <v>66.0</v>
      </c>
      <c r="B5820" s="1" t="s">
        <v>2412</v>
      </c>
      <c r="C5820" s="1">
        <v>8.0</v>
      </c>
      <c r="D5820" s="1" t="s">
        <v>6</v>
      </c>
      <c r="E5820" s="1"/>
    </row>
    <row r="5821" ht="14.25" customHeight="1">
      <c r="A5821" s="1">
        <v>66.0</v>
      </c>
      <c r="B5821" s="1" t="s">
        <v>2412</v>
      </c>
      <c r="C5821" s="1">
        <v>8.0</v>
      </c>
      <c r="D5821" s="1" t="s">
        <v>6</v>
      </c>
      <c r="E5821" s="1"/>
    </row>
    <row r="5822" ht="14.25" customHeight="1">
      <c r="A5822" s="1">
        <v>100.0</v>
      </c>
      <c r="B5822" s="1" t="s">
        <v>2412</v>
      </c>
      <c r="C5822" s="1">
        <v>10.0</v>
      </c>
      <c r="D5822" s="1" t="s">
        <v>6</v>
      </c>
      <c r="E5822" s="1"/>
    </row>
    <row r="5823" ht="14.25" customHeight="1">
      <c r="A5823" s="1">
        <v>33.0</v>
      </c>
      <c r="B5823" s="1" t="s">
        <v>2412</v>
      </c>
      <c r="C5823" s="1">
        <v>6.0</v>
      </c>
      <c r="D5823" s="2" t="s">
        <v>2651</v>
      </c>
      <c r="E5823" s="1" t="str">
        <f>IFERROR(__xludf.DUMMYFUNCTION("GOOGLETRANSLATE(D5823,""PT"",""EN"")"),"Constant problems of purchasing with non -unlocked credit card. Difficulty solving problems via telephone.")</f>
        <v>Constant problems of purchasing with non -unlocked credit card. Difficulty solving problems via telephone.</v>
      </c>
    </row>
    <row r="5824" ht="14.25" customHeight="1">
      <c r="A5824" s="1">
        <v>100.0</v>
      </c>
      <c r="B5824" s="1" t="s">
        <v>2412</v>
      </c>
      <c r="C5824" s="1">
        <v>10.0</v>
      </c>
      <c r="D5824" s="1" t="s">
        <v>6</v>
      </c>
      <c r="E5824" s="1"/>
    </row>
    <row r="5825" ht="14.25" customHeight="1">
      <c r="A5825" s="1">
        <v>100.0</v>
      </c>
      <c r="B5825" s="1" t="s">
        <v>2412</v>
      </c>
      <c r="C5825" s="1">
        <v>10.0</v>
      </c>
      <c r="D5825" s="2" t="s">
        <v>2652</v>
      </c>
      <c r="E5825" s="1" t="str">
        <f>IFERROR(__xludf.DUMMYFUNCTION("GOOGLETRANSLATE(D5825,""PT"",""EN"")"),"Good service is lower rates!")</f>
        <v>Good service is lower rates!</v>
      </c>
    </row>
    <row r="5826" ht="14.25" customHeight="1">
      <c r="A5826" s="1">
        <v>100.0</v>
      </c>
      <c r="B5826" s="1" t="s">
        <v>2412</v>
      </c>
      <c r="C5826" s="1">
        <v>10.0</v>
      </c>
      <c r="D5826" s="1" t="s">
        <v>2653</v>
      </c>
      <c r="E5826" s="1" t="str">
        <f>IFERROR(__xludf.DUMMYFUNCTION("GOOGLETRANSLATE(D5826,""PT"",""EN"")"),"excellence service")</f>
        <v>excellence service</v>
      </c>
    </row>
    <row r="5827" ht="14.25" customHeight="1">
      <c r="A5827" s="1">
        <v>100.0</v>
      </c>
      <c r="B5827" s="1" t="s">
        <v>2412</v>
      </c>
      <c r="C5827" s="1">
        <v>10.0</v>
      </c>
      <c r="D5827" s="1" t="s">
        <v>6</v>
      </c>
      <c r="E5827" s="1"/>
    </row>
    <row r="5828" ht="14.25" customHeight="1">
      <c r="A5828" s="1">
        <v>100.0</v>
      </c>
      <c r="B5828" s="1" t="s">
        <v>2412</v>
      </c>
      <c r="C5828" s="1">
        <v>9.0</v>
      </c>
      <c r="D5828" s="1" t="s">
        <v>6</v>
      </c>
      <c r="E5828" s="1"/>
    </row>
    <row r="5829" ht="14.25" customHeight="1">
      <c r="A5829" s="1">
        <v>33.0</v>
      </c>
      <c r="B5829" s="1" t="s">
        <v>2412</v>
      </c>
      <c r="C5829" s="1">
        <v>5.0</v>
      </c>
      <c r="D5829" s="2" t="s">
        <v>2654</v>
      </c>
      <c r="E5829" s="1" t="str">
        <f>IFERROR(__xludf.DUMMYFUNCTION("GOOGLETRANSLATE(D5829,""PT"",""EN"")"),"I was told Sicoob, in fact some customers of mine, it's my cousin, but I was disappointed, because they consulted my social security number is not released anything to me, manager never contacted me, nor to say what I could do to improve the relationship "&amp;"anyway , even my 20 -year -old cousin got credit is not me, it's a look that I have no dirty name.")</f>
        <v>I was told Sicoob, in fact some customers of mine, it's my cousin, but I was disappointed, because they consulted my social security number is not released anything to me, manager never contacted me, nor to say what I could do to improve the relationship anyway , even my 20 -year -old cousin got credit is not me, it's a look that I have no dirty name.</v>
      </c>
    </row>
    <row r="5830" ht="14.25" customHeight="1">
      <c r="A5830" s="1">
        <v>33.0</v>
      </c>
      <c r="B5830" s="1" t="s">
        <v>2412</v>
      </c>
      <c r="C5830" s="1">
        <v>6.0</v>
      </c>
      <c r="D5830" s="1" t="s">
        <v>6</v>
      </c>
      <c r="E5830" s="1"/>
    </row>
    <row r="5831" ht="14.25" customHeight="1">
      <c r="A5831" s="1">
        <v>100.0</v>
      </c>
      <c r="B5831" s="1" t="s">
        <v>2412</v>
      </c>
      <c r="C5831" s="1">
        <v>9.0</v>
      </c>
      <c r="D5831" s="1" t="s">
        <v>112</v>
      </c>
      <c r="E5831" s="1" t="str">
        <f>IFERROR(__xludf.DUMMYFUNCTION("GOOGLETRANSLATE(D5831,""PT"",""EN"")"),"Practicality")</f>
        <v>Practicality</v>
      </c>
    </row>
    <row r="5832" ht="14.25" customHeight="1">
      <c r="A5832" s="1">
        <v>100.0</v>
      </c>
      <c r="B5832" s="1" t="s">
        <v>2412</v>
      </c>
      <c r="C5832" s="1">
        <v>10.0</v>
      </c>
      <c r="D5832" s="1" t="s">
        <v>6</v>
      </c>
      <c r="E5832" s="1"/>
    </row>
    <row r="5833" ht="14.25" customHeight="1">
      <c r="A5833" s="1">
        <v>33.0</v>
      </c>
      <c r="B5833" s="1" t="s">
        <v>2412</v>
      </c>
      <c r="C5833" s="1">
        <v>5.0</v>
      </c>
      <c r="D5833" s="2" t="s">
        <v>2655</v>
      </c>
      <c r="E5833" s="1" t="str">
        <f>IFERROR(__xludf.DUMMYFUNCTION("GOOGLETRANSLATE(D5833,""PT"",""EN"")"),"Very difficult application to use")</f>
        <v>Very difficult application to use</v>
      </c>
    </row>
    <row r="5834" ht="14.25" customHeight="1">
      <c r="A5834" s="1">
        <v>100.0</v>
      </c>
      <c r="B5834" s="1" t="s">
        <v>2412</v>
      </c>
      <c r="C5834" s="1">
        <v>10.0</v>
      </c>
      <c r="D5834" s="2" t="s">
        <v>2656</v>
      </c>
      <c r="E5834" s="1" t="str">
        <f>IFERROR(__xludf.DUMMYFUNCTION("GOOGLETRANSLATE(D5834,""PT"",""EN"")"),"The cooperative cares about the cooperative, so I feel confident of being here is being cooperative. I make a point of telling people of the well -being that it is to be here.")</f>
        <v>The cooperative cares about the cooperative, so I feel confident of being here is being cooperative. I make a point of telling people of the well -being that it is to be here.</v>
      </c>
    </row>
    <row r="5835" ht="14.25" customHeight="1">
      <c r="A5835" s="1">
        <v>33.0</v>
      </c>
      <c r="B5835" s="1" t="s">
        <v>2412</v>
      </c>
      <c r="C5835" s="1">
        <v>0.0</v>
      </c>
      <c r="D5835" s="2" t="s">
        <v>2657</v>
      </c>
      <c r="E5835" s="1" t="str">
        <f>IFERROR(__xludf.DUMMYFUNCTION("GOOGLETRANSLATE(D5835,""PT"",""EN"")"),"Zero is still a lot, horrible service does not give the option to exchange the phone number in the app is never had even a bank service.")</f>
        <v>Zero is still a lot, horrible service does not give the option to exchange the phone number in the app is never had even a bank service.</v>
      </c>
    </row>
    <row r="5836" ht="14.25" customHeight="1">
      <c r="A5836" s="1">
        <v>100.0</v>
      </c>
      <c r="B5836" s="1" t="s">
        <v>2412</v>
      </c>
      <c r="C5836" s="1">
        <v>10.0</v>
      </c>
      <c r="D5836" s="1" t="s">
        <v>6</v>
      </c>
      <c r="E5836" s="1"/>
    </row>
    <row r="5837" ht="14.25" customHeight="1">
      <c r="A5837" s="1">
        <v>33.0</v>
      </c>
      <c r="B5837" s="1" t="s">
        <v>2412</v>
      </c>
      <c r="C5837" s="1">
        <v>0.0</v>
      </c>
      <c r="D5837" s="1" t="s">
        <v>6</v>
      </c>
      <c r="E5837" s="1"/>
    </row>
    <row r="5838" ht="14.25" customHeight="1">
      <c r="A5838" s="1">
        <v>33.0</v>
      </c>
      <c r="B5838" s="1" t="s">
        <v>2412</v>
      </c>
      <c r="C5838" s="1">
        <v>3.0</v>
      </c>
      <c r="D5838" s="1" t="s">
        <v>2658</v>
      </c>
      <c r="E5838" s="1" t="str">
        <f>IFERROR(__xludf.DUMMYFUNCTION("GOOGLETRANSLATE(D5838,""PT"",""EN"")"),"Management never helps, never.")</f>
        <v>Management never helps, never.</v>
      </c>
    </row>
    <row r="5839" ht="14.25" customHeight="1">
      <c r="A5839" s="1">
        <v>100.0</v>
      </c>
      <c r="B5839" s="1" t="s">
        <v>2412</v>
      </c>
      <c r="C5839" s="1">
        <v>9.0</v>
      </c>
      <c r="D5839" s="1" t="s">
        <v>6</v>
      </c>
      <c r="E5839" s="1"/>
    </row>
    <row r="5840" ht="14.25" customHeight="1">
      <c r="A5840" s="1">
        <v>100.0</v>
      </c>
      <c r="B5840" s="1" t="s">
        <v>2412</v>
      </c>
      <c r="C5840" s="1">
        <v>10.0</v>
      </c>
      <c r="D5840" s="1" t="s">
        <v>6</v>
      </c>
      <c r="E5840" s="1"/>
    </row>
    <row r="5841" ht="14.25" customHeight="1">
      <c r="A5841" s="1">
        <v>100.0</v>
      </c>
      <c r="B5841" s="1" t="s">
        <v>2412</v>
      </c>
      <c r="C5841" s="1">
        <v>10.0</v>
      </c>
      <c r="D5841" s="1" t="s">
        <v>6</v>
      </c>
      <c r="E5841" s="1"/>
    </row>
    <row r="5842" ht="14.25" customHeight="1">
      <c r="A5842" s="1">
        <v>33.0</v>
      </c>
      <c r="B5842" s="1" t="s">
        <v>2412</v>
      </c>
      <c r="C5842" s="1">
        <v>4.0</v>
      </c>
      <c r="D5842" s="1" t="s">
        <v>6</v>
      </c>
      <c r="E5842" s="1"/>
    </row>
    <row r="5843" ht="14.25" customHeight="1">
      <c r="A5843" s="1">
        <v>100.0</v>
      </c>
      <c r="B5843" s="1" t="s">
        <v>2412</v>
      </c>
      <c r="C5843" s="1">
        <v>10.0</v>
      </c>
      <c r="D5843" s="1" t="s">
        <v>6</v>
      </c>
      <c r="E5843" s="1"/>
    </row>
    <row r="5844" ht="14.25" customHeight="1">
      <c r="A5844" s="1">
        <v>100.0</v>
      </c>
      <c r="B5844" s="1" t="s">
        <v>2412</v>
      </c>
      <c r="C5844" s="1">
        <v>10.0</v>
      </c>
      <c r="D5844" s="1" t="s">
        <v>6</v>
      </c>
      <c r="E5844" s="1"/>
    </row>
    <row r="5845" ht="14.25" customHeight="1">
      <c r="A5845" s="1">
        <v>33.0</v>
      </c>
      <c r="B5845" s="1" t="s">
        <v>2412</v>
      </c>
      <c r="C5845" s="1">
        <v>0.0</v>
      </c>
      <c r="D5845" s="1" t="s">
        <v>6</v>
      </c>
      <c r="E5845" s="1"/>
    </row>
    <row r="5846" ht="14.25" customHeight="1">
      <c r="A5846" s="1">
        <v>100.0</v>
      </c>
      <c r="B5846" s="1" t="s">
        <v>2412</v>
      </c>
      <c r="C5846" s="1">
        <v>10.0</v>
      </c>
      <c r="D5846" s="2" t="s">
        <v>2659</v>
      </c>
      <c r="E5846" s="1" t="str">
        <f>IFERROR(__xludf.DUMMYFUNCTION("GOOGLETRANSLATE(D5846,""PT"",""EN"")"),"Sicoob is a bank that has personalized service, individual is good rates")</f>
        <v>Sicoob is a bank that has personalized service, individual is good rates</v>
      </c>
    </row>
    <row r="5847" ht="14.25" customHeight="1">
      <c r="A5847" s="1">
        <v>100.0</v>
      </c>
      <c r="B5847" s="1" t="s">
        <v>2412</v>
      </c>
      <c r="C5847" s="1">
        <v>10.0</v>
      </c>
      <c r="D5847" s="1" t="s">
        <v>2660</v>
      </c>
      <c r="E5847" s="1" t="str">
        <f>IFERROR(__xludf.DUMMYFUNCTION("GOOGLETRANSLATE(D5847,""PT"",""EN"")"),"I am satisfied in the service")</f>
        <v>I am satisfied in the service</v>
      </c>
    </row>
    <row r="5848" ht="14.25" customHeight="1">
      <c r="A5848" s="1">
        <v>100.0</v>
      </c>
      <c r="B5848" s="1" t="s">
        <v>2412</v>
      </c>
      <c r="C5848" s="1">
        <v>10.0</v>
      </c>
      <c r="D5848" s="1" t="s">
        <v>6</v>
      </c>
      <c r="E5848" s="1"/>
    </row>
    <row r="5849" ht="14.25" customHeight="1">
      <c r="A5849" s="1">
        <v>33.0</v>
      </c>
      <c r="B5849" s="1" t="s">
        <v>2412</v>
      </c>
      <c r="C5849" s="1">
        <v>0.0</v>
      </c>
      <c r="D5849" s="1" t="s">
        <v>2661</v>
      </c>
      <c r="E5849" s="1" t="str">
        <f>IFERROR(__xludf.DUMMYFUNCTION("GOOGLETRANSLATE(D5849,""PT"",""EN"")"),"Very high account maintenance rate.")</f>
        <v>Very high account maintenance rate.</v>
      </c>
    </row>
    <row r="5850" ht="14.25" customHeight="1">
      <c r="A5850" s="1">
        <v>100.0</v>
      </c>
      <c r="B5850" s="1" t="s">
        <v>2412</v>
      </c>
      <c r="C5850" s="1">
        <v>10.0</v>
      </c>
      <c r="D5850" s="1" t="s">
        <v>6</v>
      </c>
      <c r="E5850" s="1"/>
    </row>
    <row r="5851" ht="14.25" customHeight="1">
      <c r="A5851" s="1">
        <v>100.0</v>
      </c>
      <c r="B5851" s="1" t="s">
        <v>2412</v>
      </c>
      <c r="C5851" s="1">
        <v>10.0</v>
      </c>
      <c r="D5851" s="1" t="s">
        <v>6</v>
      </c>
      <c r="E5851" s="1"/>
    </row>
    <row r="5852" ht="14.25" customHeight="1">
      <c r="A5852" s="1">
        <v>100.0</v>
      </c>
      <c r="B5852" s="1" t="s">
        <v>2412</v>
      </c>
      <c r="C5852" s="1">
        <v>10.0</v>
      </c>
      <c r="D5852" s="1" t="s">
        <v>6</v>
      </c>
      <c r="E5852" s="1"/>
    </row>
    <row r="5853" ht="14.25" customHeight="1">
      <c r="A5853" s="1">
        <v>100.0</v>
      </c>
      <c r="B5853" s="1" t="s">
        <v>2412</v>
      </c>
      <c r="C5853" s="1">
        <v>10.0</v>
      </c>
      <c r="D5853" s="1" t="s">
        <v>2662</v>
      </c>
      <c r="E5853" s="1" t="str">
        <f>IFERROR(__xludf.DUMMYFUNCTION("GOOGLETRANSLATE(D5853,""PT"",""EN"")"),"Good interest rates")</f>
        <v>Good interest rates</v>
      </c>
    </row>
    <row r="5854" ht="14.25" customHeight="1">
      <c r="A5854" s="1">
        <v>66.0</v>
      </c>
      <c r="B5854" s="1" t="s">
        <v>2412</v>
      </c>
      <c r="C5854" s="1">
        <v>8.0</v>
      </c>
      <c r="D5854" s="2" t="s">
        <v>2663</v>
      </c>
      <c r="E5854" s="1" t="str">
        <f>IFERROR(__xludf.DUMMYFUNCTION("GOOGLETRANSLATE(D5854,""PT"",""EN"")"),"Credit difficulty")</f>
        <v>Credit difficulty</v>
      </c>
    </row>
    <row r="5855" ht="14.25" customHeight="1">
      <c r="A5855" s="1">
        <v>33.0</v>
      </c>
      <c r="B5855" s="1" t="s">
        <v>2412</v>
      </c>
      <c r="C5855" s="1">
        <v>6.0</v>
      </c>
      <c r="D5855" s="1" t="s">
        <v>6</v>
      </c>
      <c r="E5855" s="1"/>
    </row>
    <row r="5856" ht="14.25" customHeight="1">
      <c r="A5856" s="1">
        <v>100.0</v>
      </c>
      <c r="B5856" s="1" t="s">
        <v>2412</v>
      </c>
      <c r="C5856" s="1">
        <v>10.0</v>
      </c>
      <c r="D5856" s="1" t="s">
        <v>2664</v>
      </c>
      <c r="E5856" s="1" t="str">
        <f>IFERROR(__xludf.DUMMYFUNCTION("GOOGLETRANSLATE(D5856,""PT"",""EN"")"),"The best bank with cheaper rates, more humanized service, as a consequence I indicate without fear.")</f>
        <v>The best bank with cheaper rates, more humanized service, as a consequence I indicate without fear.</v>
      </c>
    </row>
    <row r="5857" ht="14.25" customHeight="1">
      <c r="A5857" s="1">
        <v>33.0</v>
      </c>
      <c r="B5857" s="1" t="s">
        <v>2412</v>
      </c>
      <c r="C5857" s="1">
        <v>1.0</v>
      </c>
      <c r="D5857" s="2" t="s">
        <v>2665</v>
      </c>
      <c r="E5857" s="1" t="str">
        <f>IFERROR(__xludf.DUMMYFUNCTION("GOOGLETRANSLATE(D5857,""PT"",""EN"")"),"Very high loan rate")</f>
        <v>Very high loan rate</v>
      </c>
    </row>
    <row r="5858" ht="14.25" customHeight="1">
      <c r="A5858" s="1">
        <v>100.0</v>
      </c>
      <c r="B5858" s="1" t="s">
        <v>2412</v>
      </c>
      <c r="C5858" s="1">
        <v>10.0</v>
      </c>
      <c r="D5858" s="2" t="s">
        <v>2666</v>
      </c>
      <c r="E5858" s="1" t="str">
        <f>IFERROR(__xludf.DUMMYFUNCTION("GOOGLETRANSLATE(D5858,""PT"",""EN"")"),"Practical and efficient innovative.")</f>
        <v>Practical and efficient innovative.</v>
      </c>
    </row>
    <row r="5859" ht="14.25" customHeight="1">
      <c r="A5859" s="1">
        <v>100.0</v>
      </c>
      <c r="B5859" s="1" t="s">
        <v>2412</v>
      </c>
      <c r="C5859" s="1">
        <v>10.0</v>
      </c>
      <c r="D5859" s="1" t="s">
        <v>6</v>
      </c>
      <c r="E5859" s="1"/>
    </row>
    <row r="5860" ht="14.25" customHeight="1">
      <c r="A5860" s="1">
        <v>100.0</v>
      </c>
      <c r="B5860" s="1" t="s">
        <v>2412</v>
      </c>
      <c r="C5860" s="1">
        <v>10.0</v>
      </c>
      <c r="D5860" s="1" t="s">
        <v>6</v>
      </c>
      <c r="E5860" s="1"/>
    </row>
    <row r="5861" ht="14.25" customHeight="1">
      <c r="A5861" s="1">
        <v>100.0</v>
      </c>
      <c r="B5861" s="1" t="s">
        <v>2412</v>
      </c>
      <c r="C5861" s="1">
        <v>10.0</v>
      </c>
      <c r="D5861" s="1" t="s">
        <v>6</v>
      </c>
      <c r="E5861" s="1"/>
    </row>
    <row r="5862" ht="14.25" customHeight="1">
      <c r="A5862" s="1">
        <v>33.0</v>
      </c>
      <c r="B5862" s="1" t="s">
        <v>2412</v>
      </c>
      <c r="C5862" s="1">
        <v>4.0</v>
      </c>
      <c r="D5862" s="2" t="s">
        <v>2667</v>
      </c>
      <c r="E5862" s="1" t="str">
        <f>IFERROR(__xludf.DUMMYFUNCTION("GOOGLETRANSLATE(D5862,""PT"",""EN"")"),"Lots of difficulty in release of credit, whether in PF or PJ. In addition there are almost no benefits. The system oscillates a lot is not reliable.")</f>
        <v>Lots of difficulty in release of credit, whether in PF or PJ. In addition there are almost no benefits. The system oscillates a lot is not reliable.</v>
      </c>
    </row>
    <row r="5863" ht="14.25" customHeight="1">
      <c r="A5863" s="1">
        <v>100.0</v>
      </c>
      <c r="B5863" s="1" t="s">
        <v>2412</v>
      </c>
      <c r="C5863" s="1">
        <v>10.0</v>
      </c>
      <c r="D5863" s="2" t="s">
        <v>2668</v>
      </c>
      <c r="E5863" s="1" t="str">
        <f>IFERROR(__xludf.DUMMYFUNCTION("GOOGLETRANSLATE(D5863,""PT"",""EN"")"),"Fast and attentive service")</f>
        <v>Fast and attentive service</v>
      </c>
    </row>
    <row r="5864" ht="14.25" customHeight="1">
      <c r="A5864" s="1">
        <v>100.0</v>
      </c>
      <c r="B5864" s="1" t="s">
        <v>2669</v>
      </c>
      <c r="C5864" s="1">
        <v>10.0</v>
      </c>
      <c r="D5864" s="2" t="s">
        <v>2670</v>
      </c>
      <c r="E5864" s="1" t="str">
        <f>IFERROR(__xludf.DUMMYFUNCTION("GOOGLETRANSLATE(D5864,""PT"",""EN"")"),"Good service is clarity.")</f>
        <v>Good service is clarity.</v>
      </c>
    </row>
    <row r="5865" ht="14.25" customHeight="1">
      <c r="A5865" s="1">
        <v>100.0</v>
      </c>
      <c r="B5865" s="1" t="s">
        <v>2669</v>
      </c>
      <c r="C5865" s="1">
        <v>10.0</v>
      </c>
      <c r="D5865" s="1" t="s">
        <v>22</v>
      </c>
      <c r="E5865" s="1" t="str">
        <f>IFERROR(__xludf.DUMMYFUNCTION("GOOGLETRANSLATE(D5865,""PT"",""EN"")"),"Excellent service")</f>
        <v>Excellent service</v>
      </c>
    </row>
    <row r="5866" ht="14.25" customHeight="1">
      <c r="A5866" s="1">
        <v>66.0</v>
      </c>
      <c r="B5866" s="1" t="s">
        <v>2669</v>
      </c>
      <c r="C5866" s="1">
        <v>7.0</v>
      </c>
      <c r="D5866" s="1" t="s">
        <v>2671</v>
      </c>
      <c r="E5866" s="1" t="str">
        <f>IFERROR(__xludf.DUMMYFUNCTION("GOOGLETRANSLATE(D5866,""PT"",""EN"")"),"I understand to be a reasonable note for good")</f>
        <v>I understand to be a reasonable note for good</v>
      </c>
    </row>
    <row r="5867" ht="14.25" customHeight="1">
      <c r="A5867" s="1">
        <v>100.0</v>
      </c>
      <c r="B5867" s="1" t="s">
        <v>2669</v>
      </c>
      <c r="C5867" s="1">
        <v>10.0</v>
      </c>
      <c r="D5867" s="1" t="s">
        <v>9</v>
      </c>
      <c r="E5867" s="1" t="str">
        <f>IFERROR(__xludf.DUMMYFUNCTION("GOOGLETRANSLATE(D5867,""PT"",""EN"")"),"10")</f>
        <v>10</v>
      </c>
    </row>
    <row r="5868" ht="14.25" customHeight="1">
      <c r="A5868" s="1">
        <v>100.0</v>
      </c>
      <c r="B5868" s="1" t="s">
        <v>2669</v>
      </c>
      <c r="C5868" s="1">
        <v>10.0</v>
      </c>
      <c r="D5868" s="1" t="s">
        <v>6</v>
      </c>
      <c r="E5868" s="1"/>
    </row>
    <row r="5869" ht="14.25" customHeight="1">
      <c r="A5869" s="1">
        <v>66.0</v>
      </c>
      <c r="B5869" s="1" t="s">
        <v>2669</v>
      </c>
      <c r="C5869" s="1">
        <v>8.0</v>
      </c>
      <c r="D5869" s="1" t="s">
        <v>6</v>
      </c>
      <c r="E5869" s="1"/>
    </row>
    <row r="5870" ht="14.25" customHeight="1">
      <c r="A5870" s="1">
        <v>100.0</v>
      </c>
      <c r="B5870" s="1" t="s">
        <v>2669</v>
      </c>
      <c r="C5870" s="1">
        <v>10.0</v>
      </c>
      <c r="D5870" s="1" t="s">
        <v>6</v>
      </c>
      <c r="E5870" s="1"/>
    </row>
    <row r="5871" ht="14.25" customHeight="1">
      <c r="A5871" s="1">
        <v>66.0</v>
      </c>
      <c r="B5871" s="1" t="s">
        <v>2669</v>
      </c>
      <c r="C5871" s="1">
        <v>8.0</v>
      </c>
      <c r="D5871" s="1" t="s">
        <v>6</v>
      </c>
      <c r="E5871" s="1"/>
    </row>
    <row r="5872" ht="14.25" customHeight="1">
      <c r="A5872" s="1">
        <v>100.0</v>
      </c>
      <c r="B5872" s="1" t="s">
        <v>2669</v>
      </c>
      <c r="C5872" s="1">
        <v>10.0</v>
      </c>
      <c r="D5872" s="1" t="s">
        <v>9</v>
      </c>
      <c r="E5872" s="1" t="str">
        <f>IFERROR(__xludf.DUMMYFUNCTION("GOOGLETRANSLATE(D5872,""PT"",""EN"")"),"10")</f>
        <v>10</v>
      </c>
    </row>
    <row r="5873" ht="14.25" customHeight="1">
      <c r="A5873" s="1">
        <v>66.0</v>
      </c>
      <c r="B5873" s="1" t="s">
        <v>2669</v>
      </c>
      <c r="C5873" s="1">
        <v>8.0</v>
      </c>
      <c r="D5873" s="1" t="s">
        <v>2672</v>
      </c>
      <c r="E5873" s="1" t="str">
        <f>IFERROR(__xludf.DUMMYFUNCTION("GOOGLETRANSLATE(D5873,""PT"",""EN"")"),"I consider a good grade")</f>
        <v>I consider a good grade</v>
      </c>
    </row>
    <row r="5874" ht="14.25" customHeight="1">
      <c r="A5874" s="1">
        <v>66.0</v>
      </c>
      <c r="B5874" s="1" t="s">
        <v>2669</v>
      </c>
      <c r="C5874" s="1">
        <v>7.0</v>
      </c>
      <c r="D5874" s="1" t="s">
        <v>6</v>
      </c>
      <c r="E5874" s="1"/>
    </row>
    <row r="5875" ht="14.25" customHeight="1">
      <c r="A5875" s="1">
        <v>100.0</v>
      </c>
      <c r="B5875" s="1" t="s">
        <v>2669</v>
      </c>
      <c r="C5875" s="1">
        <v>10.0</v>
      </c>
      <c r="D5875" s="1" t="s">
        <v>2673</v>
      </c>
      <c r="E5875" s="1" t="str">
        <f>IFERROR(__xludf.DUMMYFUNCTION("GOOGLETRANSLATE(D5875,""PT"",""EN"")"),"Success....")</f>
        <v>Success....</v>
      </c>
    </row>
    <row r="5876" ht="14.25" customHeight="1">
      <c r="A5876" s="1">
        <v>100.0</v>
      </c>
      <c r="B5876" s="1" t="s">
        <v>2669</v>
      </c>
      <c r="C5876" s="1">
        <v>10.0</v>
      </c>
      <c r="D5876" s="1" t="s">
        <v>2674</v>
      </c>
      <c r="E5876" s="1" t="str">
        <f>IFERROR(__xludf.DUMMYFUNCTION("GOOGLETRANSLATE(D5876,""PT"",""EN"")"),"Whenever I needed I was well attended")</f>
        <v>Whenever I needed I was well attended</v>
      </c>
    </row>
    <row r="5877" ht="14.25" customHeight="1">
      <c r="A5877" s="1">
        <v>100.0</v>
      </c>
      <c r="B5877" s="1" t="s">
        <v>2669</v>
      </c>
      <c r="C5877" s="1">
        <v>10.0</v>
      </c>
      <c r="D5877" s="2" t="s">
        <v>2675</v>
      </c>
      <c r="E5877" s="1" t="str">
        <f>IFERROR(__xludf.DUMMYFUNCTION("GOOGLETRANSLATE(D5877,""PT"",""EN"")"),"Efficiency, good service, good understanding applications, logistics is easy access.")</f>
        <v>Efficiency, good service, good understanding applications, logistics is easy access.</v>
      </c>
    </row>
    <row r="5878" ht="14.25" customHeight="1">
      <c r="A5878" s="1">
        <v>100.0</v>
      </c>
      <c r="B5878" s="1" t="s">
        <v>2669</v>
      </c>
      <c r="C5878" s="1">
        <v>10.0</v>
      </c>
      <c r="D5878" s="1" t="s">
        <v>6</v>
      </c>
      <c r="E5878" s="1"/>
    </row>
    <row r="5879" ht="14.25" customHeight="1">
      <c r="A5879" s="1">
        <v>33.0</v>
      </c>
      <c r="B5879" s="1" t="s">
        <v>2669</v>
      </c>
      <c r="C5879" s="1">
        <v>3.0</v>
      </c>
      <c r="D5879" s="1" t="s">
        <v>6</v>
      </c>
      <c r="E5879" s="1"/>
    </row>
    <row r="5880" ht="14.25" customHeight="1">
      <c r="A5880" s="1">
        <v>100.0</v>
      </c>
      <c r="B5880" s="1" t="s">
        <v>2669</v>
      </c>
      <c r="C5880" s="1">
        <v>10.0</v>
      </c>
      <c r="D5880" s="1" t="s">
        <v>6</v>
      </c>
      <c r="E5880" s="1"/>
    </row>
    <row r="5881" ht="14.25" customHeight="1">
      <c r="A5881" s="1">
        <v>66.0</v>
      </c>
      <c r="B5881" s="1" t="s">
        <v>2669</v>
      </c>
      <c r="C5881" s="1">
        <v>8.0</v>
      </c>
      <c r="D5881" s="2" t="s">
        <v>2676</v>
      </c>
      <c r="E5881" s="1" t="str">
        <f>IFERROR(__xludf.DUMMYFUNCTION("GOOGLETRANSLATE(D5881,""PT"",""EN"")"),"I like the service, but there is always something to improve mainly for care outside Brasilia.")</f>
        <v>I like the service, but there is always something to improve mainly for care outside Brasilia.</v>
      </c>
    </row>
    <row r="5882" ht="14.25" customHeight="1">
      <c r="A5882" s="1">
        <v>33.0</v>
      </c>
      <c r="B5882" s="1" t="s">
        <v>2669</v>
      </c>
      <c r="C5882" s="1">
        <v>6.0</v>
      </c>
      <c r="D5882" s="1" t="s">
        <v>6</v>
      </c>
      <c r="E5882" s="1"/>
    </row>
    <row r="5883" ht="14.25" customHeight="1">
      <c r="A5883" s="1">
        <v>100.0</v>
      </c>
      <c r="B5883" s="1" t="s">
        <v>2669</v>
      </c>
      <c r="C5883" s="1">
        <v>9.0</v>
      </c>
      <c r="D5883" s="1" t="s">
        <v>6</v>
      </c>
      <c r="E5883" s="1"/>
    </row>
    <row r="5884" ht="14.25" customHeight="1">
      <c r="A5884" s="1">
        <v>100.0</v>
      </c>
      <c r="B5884" s="1" t="s">
        <v>2669</v>
      </c>
      <c r="C5884" s="1">
        <v>10.0</v>
      </c>
      <c r="D5884" s="2" t="s">
        <v>2677</v>
      </c>
      <c r="E5884" s="1" t="str">
        <f>IFERROR(__xludf.DUMMYFUNCTION("GOOGLETRANSLATE(D5884,""PT"",""EN"")"),"Good service and speed in the process")</f>
        <v>Good service and speed in the process</v>
      </c>
    </row>
    <row r="5885" ht="14.25" customHeight="1">
      <c r="A5885" s="1">
        <v>100.0</v>
      </c>
      <c r="B5885" s="1" t="s">
        <v>2669</v>
      </c>
      <c r="C5885" s="1">
        <v>10.0</v>
      </c>
      <c r="D5885" s="1" t="s">
        <v>2678</v>
      </c>
      <c r="E5885" s="1" t="str">
        <f>IFERROR(__xludf.DUMMYFUNCTION("GOOGLETRANSLATE(D5885,""PT"",""EN"")"),"Low interest")</f>
        <v>Low interest</v>
      </c>
    </row>
    <row r="5886" ht="14.25" customHeight="1">
      <c r="A5886" s="1">
        <v>100.0</v>
      </c>
      <c r="B5886" s="1" t="s">
        <v>2669</v>
      </c>
      <c r="C5886" s="1">
        <v>9.0</v>
      </c>
      <c r="D5886" s="1" t="s">
        <v>6</v>
      </c>
      <c r="E5886" s="1"/>
    </row>
    <row r="5887" ht="14.25" customHeight="1">
      <c r="A5887" s="1">
        <v>100.0</v>
      </c>
      <c r="B5887" s="1" t="s">
        <v>2669</v>
      </c>
      <c r="C5887" s="1">
        <v>10.0</v>
      </c>
      <c r="D5887" s="1" t="s">
        <v>6</v>
      </c>
      <c r="E5887" s="1"/>
    </row>
    <row r="5888" ht="14.25" customHeight="1">
      <c r="A5888" s="1">
        <v>100.0</v>
      </c>
      <c r="B5888" s="1" t="s">
        <v>2669</v>
      </c>
      <c r="C5888" s="1">
        <v>10.0</v>
      </c>
      <c r="D5888" s="2" t="s">
        <v>2679</v>
      </c>
      <c r="E5888" s="1" t="str">
        <f>IFERROR(__xludf.DUMMYFUNCTION("GOOGLETRANSLATE(D5888,""PT"",""EN"")"),"The cooperative is excellent! Fast and effective service.")</f>
        <v>The cooperative is excellent! Fast and effective service.</v>
      </c>
    </row>
    <row r="5889" ht="14.25" customHeight="1">
      <c r="A5889" s="1">
        <v>100.0</v>
      </c>
      <c r="B5889" s="1" t="s">
        <v>2669</v>
      </c>
      <c r="C5889" s="1">
        <v>10.0</v>
      </c>
      <c r="D5889" s="2" t="s">
        <v>2680</v>
      </c>
      <c r="E5889" s="1" t="str">
        <f>IFERROR(__xludf.DUMMYFUNCTION("GOOGLETRANSLATE(D5889,""PT"",""EN"")"),"Fast service, cordiality, interest in solving customer problems is mainly because of everything I need in a financial institution.")</f>
        <v>Fast service, cordiality, interest in solving customer problems is mainly because of everything I need in a financial institution.</v>
      </c>
    </row>
    <row r="5890" ht="14.25" customHeight="1">
      <c r="A5890" s="1">
        <v>100.0</v>
      </c>
      <c r="B5890" s="1" t="s">
        <v>2669</v>
      </c>
      <c r="C5890" s="1">
        <v>9.0</v>
      </c>
      <c r="D5890" s="1" t="s">
        <v>6</v>
      </c>
      <c r="E5890" s="1"/>
    </row>
    <row r="5891" ht="14.25" customHeight="1">
      <c r="A5891" s="1">
        <v>100.0</v>
      </c>
      <c r="B5891" s="1" t="s">
        <v>2669</v>
      </c>
      <c r="C5891" s="1">
        <v>9.0</v>
      </c>
      <c r="D5891" s="1" t="s">
        <v>2681</v>
      </c>
      <c r="E5891" s="1" t="str">
        <f>IFERROR(__xludf.DUMMYFUNCTION("GOOGLETRANSLATE(D5891,""PT"",""EN"")"),"Cooperative proposal is excellent for everyone.")</f>
        <v>Cooperative proposal is excellent for everyone.</v>
      </c>
    </row>
    <row r="5892" ht="14.25" customHeight="1">
      <c r="A5892" s="1">
        <v>33.0</v>
      </c>
      <c r="B5892" s="1" t="s">
        <v>2669</v>
      </c>
      <c r="C5892" s="1">
        <v>0.0</v>
      </c>
      <c r="D5892" s="1" t="s">
        <v>6</v>
      </c>
      <c r="E5892" s="1"/>
    </row>
    <row r="5893" ht="14.25" customHeight="1">
      <c r="A5893" s="1">
        <v>33.0</v>
      </c>
      <c r="B5893" s="1" t="s">
        <v>2669</v>
      </c>
      <c r="C5893" s="1">
        <v>0.0</v>
      </c>
      <c r="D5893" s="2" t="s">
        <v>2682</v>
      </c>
      <c r="E5893" s="1" t="str">
        <f>IFERROR(__xludf.DUMMYFUNCTION("GOOGLETRANSLATE(D5893,""PT"",""EN"")"),"Would never recommend financial injustice is anti prosperity for any known")</f>
        <v>Would never recommend financial injustice is anti prosperity for any known</v>
      </c>
    </row>
    <row r="5894" ht="14.25" customHeight="1">
      <c r="A5894" s="1">
        <v>100.0</v>
      </c>
      <c r="B5894" s="1" t="s">
        <v>2669</v>
      </c>
      <c r="C5894" s="1">
        <v>10.0</v>
      </c>
      <c r="D5894" s="1" t="s">
        <v>6</v>
      </c>
      <c r="E5894" s="1"/>
    </row>
    <row r="5895" ht="14.25" customHeight="1">
      <c r="A5895" s="1">
        <v>100.0</v>
      </c>
      <c r="B5895" s="1" t="s">
        <v>2669</v>
      </c>
      <c r="C5895" s="1">
        <v>9.0</v>
      </c>
      <c r="D5895" s="1" t="s">
        <v>6</v>
      </c>
      <c r="E5895" s="1"/>
    </row>
    <row r="5896" ht="14.25" customHeight="1">
      <c r="A5896" s="1">
        <v>100.0</v>
      </c>
      <c r="B5896" s="1" t="s">
        <v>2669</v>
      </c>
      <c r="C5896" s="1">
        <v>10.0</v>
      </c>
      <c r="D5896" s="1" t="s">
        <v>2683</v>
      </c>
      <c r="E5896" s="1" t="str">
        <f>IFERROR(__xludf.DUMMYFUNCTION("GOOGLETRANSLATE(D5896,""PT"",""EN"")"),"Meets all my priorities")</f>
        <v>Meets all my priorities</v>
      </c>
    </row>
    <row r="5897" ht="14.25" customHeight="1">
      <c r="A5897" s="1">
        <v>33.0</v>
      </c>
      <c r="B5897" s="1" t="s">
        <v>2669</v>
      </c>
      <c r="C5897" s="1">
        <v>3.0</v>
      </c>
      <c r="D5897" s="2" t="s">
        <v>2684</v>
      </c>
      <c r="E5897" s="1" t="str">
        <f>IFERROR(__xludf.DUMMYFUNCTION("GOOGLETRANSLATE(D5897,""PT"",""EN"")"),"It does not offer many advantages as a cooperative, the ones they have are of little value to the members or when it has value is a draw where only one benefit comes !!")</f>
        <v>It does not offer many advantages as a cooperative, the ones they have are of little value to the members or when it has value is a draw where only one benefit comes !!</v>
      </c>
    </row>
    <row r="5898" ht="14.25" customHeight="1">
      <c r="A5898" s="1">
        <v>100.0</v>
      </c>
      <c r="B5898" s="1" t="s">
        <v>2669</v>
      </c>
      <c r="C5898" s="1">
        <v>10.0</v>
      </c>
      <c r="D5898" s="1" t="s">
        <v>6</v>
      </c>
      <c r="E5898" s="1"/>
    </row>
    <row r="5899" ht="14.25" customHeight="1">
      <c r="A5899" s="1">
        <v>66.0</v>
      </c>
      <c r="B5899" s="1" t="s">
        <v>2669</v>
      </c>
      <c r="C5899" s="1">
        <v>8.0</v>
      </c>
      <c r="D5899" s="2" t="s">
        <v>2685</v>
      </c>
      <c r="E5899" s="1" t="str">
        <f>IFERROR(__xludf.DUMMYFUNCTION("GOOGLETRANSLATE(D5899,""PT"",""EN"")"),"I like the service, even so many times not being satisfied.")</f>
        <v>I like the service, even so many times not being satisfied.</v>
      </c>
    </row>
    <row r="5900" ht="14.25" customHeight="1">
      <c r="A5900" s="1">
        <v>100.0</v>
      </c>
      <c r="B5900" s="1" t="s">
        <v>2669</v>
      </c>
      <c r="C5900" s="1">
        <v>9.0</v>
      </c>
      <c r="D5900" s="1" t="s">
        <v>6</v>
      </c>
      <c r="E5900" s="1"/>
    </row>
    <row r="5901" ht="14.25" customHeight="1">
      <c r="A5901" s="1">
        <v>100.0</v>
      </c>
      <c r="B5901" s="1" t="s">
        <v>2669</v>
      </c>
      <c r="C5901" s="1">
        <v>10.0</v>
      </c>
      <c r="D5901" s="1" t="s">
        <v>85</v>
      </c>
      <c r="E5901" s="1" t="str">
        <f>IFERROR(__xludf.DUMMYFUNCTION("GOOGLETRANSLATE(D5901,""PT"",""EN"")"),"Service")</f>
        <v>Service</v>
      </c>
    </row>
    <row r="5902" ht="14.25" customHeight="1">
      <c r="A5902" s="1">
        <v>33.0</v>
      </c>
      <c r="B5902" s="1" t="s">
        <v>2669</v>
      </c>
      <c r="C5902" s="1">
        <v>0.0</v>
      </c>
      <c r="D5902" s="2" t="s">
        <v>2686</v>
      </c>
      <c r="E5902" s="1" t="str">
        <f>IFERROR(__xludf.DUMMYFUNCTION("GOOGLETRANSLATE(D5902,""PT"",""EN"")"),"I got no return on the clarifications I asked for!")</f>
        <v>I got no return on the clarifications I asked for!</v>
      </c>
    </row>
    <row r="5903" ht="14.25" customHeight="1">
      <c r="A5903" s="1">
        <v>100.0</v>
      </c>
      <c r="B5903" s="1" t="s">
        <v>2669</v>
      </c>
      <c r="C5903" s="1">
        <v>10.0</v>
      </c>
      <c r="D5903" s="2" t="s">
        <v>2687</v>
      </c>
      <c r="E5903" s="1" t="str">
        <f>IFERROR(__xludf.DUMMYFUNCTION("GOOGLETRANSLATE(D5903,""PT"",""EN"")"),"Easy to hire, pay loans, contact people through WhatsApp ...")</f>
        <v>Easy to hire, pay loans, contact people through WhatsApp ...</v>
      </c>
    </row>
    <row r="5904" ht="14.25" customHeight="1">
      <c r="A5904" s="1">
        <v>100.0</v>
      </c>
      <c r="B5904" s="1" t="s">
        <v>2669</v>
      </c>
      <c r="C5904" s="1">
        <v>10.0</v>
      </c>
      <c r="D5904" s="1" t="s">
        <v>6</v>
      </c>
      <c r="E5904" s="1"/>
    </row>
    <row r="5905" ht="14.25" customHeight="1">
      <c r="A5905" s="1">
        <v>100.0</v>
      </c>
      <c r="B5905" s="1" t="s">
        <v>2669</v>
      </c>
      <c r="C5905" s="1">
        <v>10.0</v>
      </c>
      <c r="D5905" s="1" t="s">
        <v>6</v>
      </c>
      <c r="E5905" s="1"/>
    </row>
    <row r="5906" ht="14.25" customHeight="1">
      <c r="A5906" s="1">
        <v>100.0</v>
      </c>
      <c r="B5906" s="1" t="s">
        <v>2669</v>
      </c>
      <c r="C5906" s="1">
        <v>10.0</v>
      </c>
      <c r="D5906" s="1" t="s">
        <v>6</v>
      </c>
      <c r="E5906" s="1"/>
    </row>
    <row r="5907" ht="14.25" customHeight="1">
      <c r="A5907" s="1">
        <v>100.0</v>
      </c>
      <c r="B5907" s="1" t="s">
        <v>2669</v>
      </c>
      <c r="C5907" s="1">
        <v>10.0</v>
      </c>
      <c r="D5907" s="1" t="s">
        <v>6</v>
      </c>
      <c r="E5907" s="1"/>
    </row>
    <row r="5908" ht="14.25" customHeight="1">
      <c r="A5908" s="1">
        <v>33.0</v>
      </c>
      <c r="B5908" s="1" t="s">
        <v>2669</v>
      </c>
      <c r="C5908" s="1">
        <v>0.0</v>
      </c>
      <c r="D5908" s="1" t="s">
        <v>6</v>
      </c>
      <c r="E5908" s="1"/>
    </row>
    <row r="5909" ht="14.25" customHeight="1">
      <c r="A5909" s="1">
        <v>33.0</v>
      </c>
      <c r="B5909" s="1" t="s">
        <v>2669</v>
      </c>
      <c r="C5909" s="1">
        <v>0.0</v>
      </c>
      <c r="D5909" s="2" t="s">
        <v>2688</v>
      </c>
      <c r="E5909" s="1" t="str">
        <f>IFERROR(__xludf.DUMMYFUNCTION("GOOGLETRANSLATE(D5909,""PT"",""EN"")"),"I am no longer proud of Sicoob in the face of some facts.")</f>
        <v>I am no longer proud of Sicoob in the face of some facts.</v>
      </c>
    </row>
    <row r="5910" ht="14.25" customHeight="1">
      <c r="A5910" s="1">
        <v>100.0</v>
      </c>
      <c r="B5910" s="1" t="s">
        <v>2669</v>
      </c>
      <c r="C5910" s="1">
        <v>10.0</v>
      </c>
      <c r="D5910" s="1" t="s">
        <v>6</v>
      </c>
      <c r="E5910" s="1"/>
    </row>
    <row r="5911" ht="14.25" customHeight="1">
      <c r="A5911" s="1">
        <v>33.0</v>
      </c>
      <c r="B5911" s="1" t="s">
        <v>2669</v>
      </c>
      <c r="C5911" s="1">
        <v>0.0</v>
      </c>
      <c r="D5911" s="2" t="s">
        <v>2689</v>
      </c>
      <c r="E5911" s="1" t="str">
        <f>IFERROR(__xludf.DUMMYFUNCTION("GOOGLETRANSLATE(D5911,""PT"",""EN"")"),"It was that Sicoob was good for the members")</f>
        <v>It was that Sicoob was good for the members</v>
      </c>
    </row>
    <row r="5912" ht="14.25" customHeight="1">
      <c r="A5912" s="1">
        <v>33.0</v>
      </c>
      <c r="B5912" s="1" t="s">
        <v>2669</v>
      </c>
      <c r="C5912" s="1">
        <v>4.0</v>
      </c>
      <c r="D5912" s="2" t="s">
        <v>2690</v>
      </c>
      <c r="E5912" s="1" t="str">
        <f>IFERROR(__xludf.DUMMYFUNCTION("GOOGLETRANSLATE(D5912,""PT"",""EN"")"),"Cooperative does not allow adhesion to all credit lines, there is no proactivity in the offer of services is financial advice. There is no reasonable understanding on the part of the attendants. Delay in credit analysis. Surface service is without contact"&amp;" with management.")</f>
        <v>Cooperative does not allow adhesion to all credit lines, there is no proactivity in the offer of services is financial advice. There is no reasonable understanding on the part of the attendants. Delay in credit analysis. Surface service is without contact with management.</v>
      </c>
    </row>
    <row r="5913" ht="14.25" customHeight="1">
      <c r="A5913" s="1">
        <v>66.0</v>
      </c>
      <c r="B5913" s="1" t="s">
        <v>2669</v>
      </c>
      <c r="C5913" s="1">
        <v>8.0</v>
      </c>
      <c r="D5913" s="1" t="s">
        <v>2691</v>
      </c>
      <c r="E5913" s="1" t="str">
        <f>IFERROR(__xludf.DUMMYFUNCTION("GOOGLETRANSLATE(D5913,""PT"",""EN"")"),"Respect for the customer ....")</f>
        <v>Respect for the customer ....</v>
      </c>
    </row>
    <row r="5914" ht="14.25" customHeight="1">
      <c r="A5914" s="1">
        <v>100.0</v>
      </c>
      <c r="B5914" s="1" t="s">
        <v>2669</v>
      </c>
      <c r="C5914" s="1">
        <v>10.0</v>
      </c>
      <c r="D5914" s="1" t="s">
        <v>2692</v>
      </c>
      <c r="E5914" s="1" t="str">
        <f>IFERROR(__xludf.DUMMYFUNCTION("GOOGLETRANSLATE(D5914,""PT"",""EN"")"),"Super cool service!")</f>
        <v>Super cool service!</v>
      </c>
    </row>
    <row r="5915" ht="14.25" customHeight="1">
      <c r="A5915" s="1">
        <v>100.0</v>
      </c>
      <c r="B5915" s="1" t="s">
        <v>2669</v>
      </c>
      <c r="C5915" s="1">
        <v>9.0</v>
      </c>
      <c r="D5915" s="2" t="s">
        <v>2693</v>
      </c>
      <c r="E5915" s="1" t="str">
        <f>IFERROR(__xludf.DUMMYFUNCTION("GOOGLETRANSLATE(D5915,""PT"",""EN"")"),"Good service is credibility, advancement of cooperativism.")</f>
        <v>Good service is credibility, advancement of cooperativism.</v>
      </c>
    </row>
    <row r="5916" ht="14.25" customHeight="1">
      <c r="A5916" s="1">
        <v>66.0</v>
      </c>
      <c r="B5916" s="1" t="s">
        <v>2669</v>
      </c>
      <c r="C5916" s="1">
        <v>8.0</v>
      </c>
      <c r="D5916" s="1" t="s">
        <v>2694</v>
      </c>
      <c r="E5916" s="1" t="str">
        <f>IFERROR(__xludf.DUMMYFUNCTION("GOOGLETRANSLATE(D5916,""PT"",""EN"")"),"service, if it had a faster answer would be better")</f>
        <v>service, if it had a faster answer would be better</v>
      </c>
    </row>
    <row r="5917" ht="14.25" customHeight="1">
      <c r="A5917" s="1">
        <v>100.0</v>
      </c>
      <c r="B5917" s="1" t="s">
        <v>2669</v>
      </c>
      <c r="C5917" s="1">
        <v>10.0</v>
      </c>
      <c r="D5917" s="1" t="s">
        <v>6</v>
      </c>
      <c r="E5917" s="1"/>
    </row>
    <row r="5918" ht="14.25" customHeight="1">
      <c r="A5918" s="1">
        <v>100.0</v>
      </c>
      <c r="B5918" s="1" t="s">
        <v>2669</v>
      </c>
      <c r="C5918" s="1">
        <v>10.0</v>
      </c>
      <c r="D5918" s="1" t="s">
        <v>6</v>
      </c>
      <c r="E5918" s="1"/>
    </row>
    <row r="5919" ht="14.25" customHeight="1">
      <c r="A5919" s="1">
        <v>100.0</v>
      </c>
      <c r="B5919" s="1" t="s">
        <v>2669</v>
      </c>
      <c r="C5919" s="1">
        <v>9.0</v>
      </c>
      <c r="D5919" s="1" t="s">
        <v>393</v>
      </c>
      <c r="E5919" s="1" t="str">
        <f>IFERROR(__xludf.DUMMYFUNCTION("GOOGLETRANSLATE(D5919,""PT"",""EN"")"),"great")</f>
        <v>great</v>
      </c>
    </row>
    <row r="5920" ht="14.25" customHeight="1">
      <c r="A5920" s="1">
        <v>100.0</v>
      </c>
      <c r="B5920" s="1" t="s">
        <v>2669</v>
      </c>
      <c r="C5920" s="1">
        <v>9.0</v>
      </c>
      <c r="D5920" s="1" t="s">
        <v>6</v>
      </c>
      <c r="E5920" s="1"/>
    </row>
    <row r="5921" ht="14.25" customHeight="1">
      <c r="A5921" s="1">
        <v>100.0</v>
      </c>
      <c r="B5921" s="1" t="s">
        <v>2669</v>
      </c>
      <c r="C5921" s="1">
        <v>10.0</v>
      </c>
      <c r="D5921" s="1" t="s">
        <v>85</v>
      </c>
      <c r="E5921" s="1" t="str">
        <f>IFERROR(__xludf.DUMMYFUNCTION("GOOGLETRANSLATE(D5921,""PT"",""EN"")"),"Service")</f>
        <v>Service</v>
      </c>
    </row>
    <row r="5922" ht="14.25" customHeight="1">
      <c r="A5922" s="1">
        <v>100.0</v>
      </c>
      <c r="B5922" s="1" t="s">
        <v>2669</v>
      </c>
      <c r="C5922" s="1">
        <v>10.0</v>
      </c>
      <c r="D5922" s="1" t="s">
        <v>6</v>
      </c>
      <c r="E5922" s="1"/>
    </row>
    <row r="5923" ht="14.25" customHeight="1">
      <c r="A5923" s="1">
        <v>100.0</v>
      </c>
      <c r="B5923" s="1" t="s">
        <v>2669</v>
      </c>
      <c r="C5923" s="1">
        <v>10.0</v>
      </c>
      <c r="D5923" s="1" t="s">
        <v>6</v>
      </c>
      <c r="E5923" s="1"/>
    </row>
    <row r="5924" ht="14.25" customHeight="1">
      <c r="A5924" s="1">
        <v>100.0</v>
      </c>
      <c r="B5924" s="1" t="s">
        <v>2669</v>
      </c>
      <c r="C5924" s="1">
        <v>10.0</v>
      </c>
      <c r="D5924" s="1" t="s">
        <v>2695</v>
      </c>
      <c r="E5924" s="1" t="str">
        <f>IFERROR(__xludf.DUMMYFUNCTION("GOOGLETRANSLATE(D5924,""PT"",""EN"")"),"For offering excellent service")</f>
        <v>For offering excellent service</v>
      </c>
    </row>
    <row r="5925" ht="14.25" customHeight="1">
      <c r="A5925" s="1">
        <v>33.0</v>
      </c>
      <c r="B5925" s="1" t="s">
        <v>2669</v>
      </c>
      <c r="C5925" s="1">
        <v>0.0</v>
      </c>
      <c r="D5925" s="2" t="s">
        <v>2696</v>
      </c>
      <c r="E5925" s="1" t="str">
        <f>IFERROR(__xludf.DUMMYFUNCTION("GOOGLETRANSLATE(D5925,""PT"",""EN"")"),"Very bad bank")</f>
        <v>Very bad bank</v>
      </c>
    </row>
    <row r="5926" ht="14.25" customHeight="1">
      <c r="A5926" s="1">
        <v>66.0</v>
      </c>
      <c r="B5926" s="1" t="s">
        <v>2669</v>
      </c>
      <c r="C5926" s="1">
        <v>8.0</v>
      </c>
      <c r="D5926" s="1" t="s">
        <v>6</v>
      </c>
      <c r="E5926" s="1"/>
    </row>
    <row r="5927" ht="14.25" customHeight="1">
      <c r="A5927" s="1">
        <v>66.0</v>
      </c>
      <c r="B5927" s="1" t="s">
        <v>2669</v>
      </c>
      <c r="C5927" s="1">
        <v>8.0</v>
      </c>
      <c r="D5927" s="1" t="s">
        <v>135</v>
      </c>
      <c r="E5927" s="1" t="str">
        <f>IFERROR(__xludf.DUMMYFUNCTION("GOOGLETRANSLATE(D5927,""PT"",""EN"")"),"very good")</f>
        <v>very good</v>
      </c>
    </row>
    <row r="5928" ht="14.25" customHeight="1">
      <c r="A5928" s="1">
        <v>66.0</v>
      </c>
      <c r="B5928" s="1" t="s">
        <v>2669</v>
      </c>
      <c r="C5928" s="1">
        <v>8.0</v>
      </c>
      <c r="D5928" s="1" t="s">
        <v>6</v>
      </c>
      <c r="E5928" s="1"/>
    </row>
    <row r="5929" ht="14.25" customHeight="1">
      <c r="A5929" s="1">
        <v>100.0</v>
      </c>
      <c r="B5929" s="1" t="s">
        <v>2669</v>
      </c>
      <c r="C5929" s="1">
        <v>10.0</v>
      </c>
      <c r="D5929" s="1" t="s">
        <v>6</v>
      </c>
      <c r="E5929" s="1"/>
    </row>
    <row r="5930" ht="14.25" customHeight="1">
      <c r="A5930" s="1">
        <v>100.0</v>
      </c>
      <c r="B5930" s="1" t="s">
        <v>2669</v>
      </c>
      <c r="C5930" s="1">
        <v>10.0</v>
      </c>
      <c r="D5930" s="1" t="s">
        <v>6</v>
      </c>
      <c r="E5930" s="1"/>
    </row>
    <row r="5931" ht="14.25" customHeight="1">
      <c r="A5931" s="1">
        <v>100.0</v>
      </c>
      <c r="B5931" s="1" t="s">
        <v>2669</v>
      </c>
      <c r="C5931" s="1">
        <v>9.0</v>
      </c>
      <c r="D5931" s="1" t="s">
        <v>2457</v>
      </c>
      <c r="E5931" s="1" t="str">
        <f>IFERROR(__xludf.DUMMYFUNCTION("GOOGLETRANSLATE(D5931,""PT"",""EN"")"),"Special service.")</f>
        <v>Special service.</v>
      </c>
    </row>
    <row r="5932" ht="14.25" customHeight="1">
      <c r="A5932" s="1">
        <v>100.0</v>
      </c>
      <c r="B5932" s="1" t="s">
        <v>2669</v>
      </c>
      <c r="C5932" s="1">
        <v>9.0</v>
      </c>
      <c r="D5932" s="1" t="s">
        <v>2697</v>
      </c>
      <c r="E5932" s="1" t="str">
        <f>IFERROR(__xludf.DUMMYFUNCTION("GOOGLETRANSLATE(D5932,""PT"",""EN"")"),"Sicoob always treated me with respect.")</f>
        <v>Sicoob always treated me with respect.</v>
      </c>
    </row>
    <row r="5933" ht="14.25" customHeight="1">
      <c r="A5933" s="1">
        <v>100.0</v>
      </c>
      <c r="B5933" s="1" t="s">
        <v>2669</v>
      </c>
      <c r="C5933" s="1">
        <v>9.0</v>
      </c>
      <c r="D5933" s="1" t="s">
        <v>6</v>
      </c>
      <c r="E5933" s="1"/>
    </row>
    <row r="5934" ht="14.25" customHeight="1">
      <c r="A5934" s="1">
        <v>100.0</v>
      </c>
      <c r="B5934" s="1" t="s">
        <v>2669</v>
      </c>
      <c r="C5934" s="1">
        <v>10.0</v>
      </c>
      <c r="D5934" s="1" t="s">
        <v>6</v>
      </c>
      <c r="E5934" s="1"/>
    </row>
    <row r="5935" ht="14.25" customHeight="1">
      <c r="A5935" s="1">
        <v>100.0</v>
      </c>
      <c r="B5935" s="1" t="s">
        <v>2669</v>
      </c>
      <c r="C5935" s="1">
        <v>9.0</v>
      </c>
      <c r="D5935" s="2" t="s">
        <v>2698</v>
      </c>
      <c r="E5935" s="1" t="str">
        <f>IFERROR(__xludf.DUMMYFUNCTION("GOOGLETRANSLATE(D5935,""PT"",""EN"")"),"I was always well attended to is always indicate.")</f>
        <v>I was always well attended to is always indicate.</v>
      </c>
    </row>
    <row r="5936" ht="14.25" customHeight="1">
      <c r="A5936" s="1">
        <v>100.0</v>
      </c>
      <c r="B5936" s="1" t="s">
        <v>2669</v>
      </c>
      <c r="C5936" s="1">
        <v>10.0</v>
      </c>
      <c r="D5936" s="1" t="s">
        <v>6</v>
      </c>
      <c r="E5936" s="1"/>
    </row>
    <row r="5937" ht="14.25" customHeight="1">
      <c r="A5937" s="1">
        <v>100.0</v>
      </c>
      <c r="B5937" s="1" t="s">
        <v>2669</v>
      </c>
      <c r="C5937" s="1">
        <v>10.0</v>
      </c>
      <c r="D5937" s="1" t="s">
        <v>2699</v>
      </c>
      <c r="E5937" s="1" t="str">
        <f>IFERROR(__xludf.DUMMYFUNCTION("GOOGLETRANSLATE(D5937,""PT"",""EN"")"),"I have had good service when you need ...")</f>
        <v>I have had good service when you need ...</v>
      </c>
    </row>
    <row r="5938" ht="14.25" customHeight="1">
      <c r="A5938" s="1">
        <v>33.0</v>
      </c>
      <c r="B5938" s="1" t="s">
        <v>2669</v>
      </c>
      <c r="C5938" s="1">
        <v>5.0</v>
      </c>
      <c r="D5938" s="2" t="s">
        <v>2700</v>
      </c>
      <c r="E5938" s="1" t="str">
        <f>IFERROR(__xludf.DUMMYFUNCTION("GOOGLETRANSLATE(D5938,""PT"",""EN"")"),"These days I went to an Sicoob branch not had an ATM, how does a bank not have its own ATM? I had to face the cashier line, I was leaving, because I couldn't wait, in this agency I had a cashier, so I went there.")</f>
        <v>These days I went to an Sicoob branch not had an ATM, how does a bank not have its own ATM? I had to face the cashier line, I was leaving, because I couldn't wait, in this agency I had a cashier, so I went there.</v>
      </c>
    </row>
    <row r="5939" ht="14.25" customHeight="1">
      <c r="A5939" s="1">
        <v>100.0</v>
      </c>
      <c r="B5939" s="1" t="s">
        <v>2669</v>
      </c>
      <c r="C5939" s="1">
        <v>10.0</v>
      </c>
      <c r="D5939" s="1" t="s">
        <v>2701</v>
      </c>
      <c r="E5939" s="1" t="str">
        <f>IFERROR(__xludf.DUMMYFUNCTION("GOOGLETRANSLATE(D5939,""PT"",""EN"")"),"partnership with the customer")</f>
        <v>partnership with the customer</v>
      </c>
    </row>
    <row r="5940" ht="14.25" customHeight="1">
      <c r="A5940" s="1">
        <v>33.0</v>
      </c>
      <c r="B5940" s="1" t="s">
        <v>2669</v>
      </c>
      <c r="C5940" s="1">
        <v>0.0</v>
      </c>
      <c r="D5940" s="1" t="s">
        <v>2702</v>
      </c>
      <c r="E5940" s="1" t="str">
        <f>IFERROR(__xludf.DUMMYFUNCTION("GOOGLETRANSLATE(D5940,""PT"",""EN"")"),"There is excessive bureaucracy to resolve simple questions.")</f>
        <v>There is excessive bureaucracy to resolve simple questions.</v>
      </c>
    </row>
    <row r="5941" ht="14.25" customHeight="1">
      <c r="A5941" s="1">
        <v>100.0</v>
      </c>
      <c r="B5941" s="1" t="s">
        <v>2669</v>
      </c>
      <c r="C5941" s="1">
        <v>10.0</v>
      </c>
      <c r="D5941" s="1" t="s">
        <v>6</v>
      </c>
      <c r="E5941" s="1"/>
    </row>
    <row r="5942" ht="14.25" customHeight="1">
      <c r="A5942" s="1">
        <v>100.0</v>
      </c>
      <c r="B5942" s="1" t="s">
        <v>2669</v>
      </c>
      <c r="C5942" s="1">
        <v>10.0</v>
      </c>
      <c r="D5942" s="1" t="s">
        <v>6</v>
      </c>
      <c r="E5942" s="1"/>
    </row>
    <row r="5943" ht="14.25" customHeight="1">
      <c r="A5943" s="1">
        <v>100.0</v>
      </c>
      <c r="B5943" s="1" t="s">
        <v>2669</v>
      </c>
      <c r="C5943" s="1">
        <v>10.0</v>
      </c>
      <c r="D5943" s="2" t="s">
        <v>2703</v>
      </c>
      <c r="E5943" s="1" t="str">
        <f>IFERROR(__xludf.DUMMYFUNCTION("GOOGLETRANSLATE(D5943,""PT"",""EN"")"),"Readiness is clarity in the information.")</f>
        <v>Readiness is clarity in the information.</v>
      </c>
    </row>
    <row r="5944" ht="14.25" customHeight="1">
      <c r="A5944" s="1">
        <v>100.0</v>
      </c>
      <c r="B5944" s="1" t="s">
        <v>2669</v>
      </c>
      <c r="C5944" s="1">
        <v>9.0</v>
      </c>
      <c r="D5944" s="1" t="s">
        <v>6</v>
      </c>
      <c r="E5944" s="1"/>
    </row>
    <row r="5945" ht="14.25" customHeight="1">
      <c r="A5945" s="1">
        <v>100.0</v>
      </c>
      <c r="B5945" s="1" t="s">
        <v>2669</v>
      </c>
      <c r="C5945" s="1">
        <v>10.0</v>
      </c>
      <c r="D5945" s="1" t="s">
        <v>6</v>
      </c>
      <c r="E5945" s="1"/>
    </row>
    <row r="5946" ht="14.25" customHeight="1">
      <c r="A5946" s="1">
        <v>66.0</v>
      </c>
      <c r="B5946" s="1" t="s">
        <v>2669</v>
      </c>
      <c r="C5946" s="1">
        <v>8.0</v>
      </c>
      <c r="D5946" s="1" t="s">
        <v>198</v>
      </c>
      <c r="E5946" s="1" t="str">
        <f>IFERROR(__xludf.DUMMYFUNCTION("GOOGLETRANSLATE(D5946,""PT"",""EN"")"),"Good bank")</f>
        <v>Good bank</v>
      </c>
    </row>
    <row r="5947" ht="14.25" customHeight="1">
      <c r="A5947" s="1">
        <v>66.0</v>
      </c>
      <c r="B5947" s="1" t="s">
        <v>2669</v>
      </c>
      <c r="C5947" s="1">
        <v>8.0</v>
      </c>
      <c r="D5947" s="1" t="s">
        <v>6</v>
      </c>
      <c r="E5947" s="1"/>
    </row>
    <row r="5948" ht="14.25" customHeight="1">
      <c r="A5948" s="1">
        <v>100.0</v>
      </c>
      <c r="B5948" s="1" t="s">
        <v>2669</v>
      </c>
      <c r="C5948" s="1">
        <v>10.0</v>
      </c>
      <c r="D5948" s="1" t="s">
        <v>6</v>
      </c>
      <c r="E5948" s="1"/>
    </row>
    <row r="5949" ht="14.25" customHeight="1">
      <c r="A5949" s="1">
        <v>66.0</v>
      </c>
      <c r="B5949" s="1" t="s">
        <v>2669</v>
      </c>
      <c r="C5949" s="1">
        <v>7.0</v>
      </c>
      <c r="D5949" s="1" t="s">
        <v>6</v>
      </c>
      <c r="E5949" s="1"/>
    </row>
    <row r="5950" ht="14.25" customHeight="1">
      <c r="A5950" s="1">
        <v>100.0</v>
      </c>
      <c r="B5950" s="1" t="s">
        <v>2669</v>
      </c>
      <c r="C5950" s="1">
        <v>9.0</v>
      </c>
      <c r="D5950" s="1" t="s">
        <v>6</v>
      </c>
      <c r="E5950" s="1"/>
    </row>
    <row r="5951" ht="14.25" customHeight="1">
      <c r="A5951" s="1">
        <v>100.0</v>
      </c>
      <c r="B5951" s="1" t="s">
        <v>2669</v>
      </c>
      <c r="C5951" s="1">
        <v>10.0</v>
      </c>
      <c r="D5951" s="1" t="s">
        <v>6</v>
      </c>
      <c r="E5951" s="1"/>
    </row>
    <row r="5952" ht="14.25" customHeight="1">
      <c r="A5952" s="1">
        <v>100.0</v>
      </c>
      <c r="B5952" s="1" t="s">
        <v>2669</v>
      </c>
      <c r="C5952" s="1">
        <v>9.0</v>
      </c>
      <c r="D5952" s="1" t="s">
        <v>6</v>
      </c>
      <c r="E5952" s="1"/>
    </row>
    <row r="5953" ht="14.25" customHeight="1">
      <c r="A5953" s="1">
        <v>66.0</v>
      </c>
      <c r="B5953" s="1" t="s">
        <v>2669</v>
      </c>
      <c r="C5953" s="1">
        <v>8.0</v>
      </c>
      <c r="D5953" s="1" t="s">
        <v>6</v>
      </c>
      <c r="E5953" s="1"/>
    </row>
    <row r="5954" ht="14.25" customHeight="1">
      <c r="A5954" s="1">
        <v>100.0</v>
      </c>
      <c r="B5954" s="1" t="s">
        <v>2669</v>
      </c>
      <c r="C5954" s="1">
        <v>10.0</v>
      </c>
      <c r="D5954" s="1" t="s">
        <v>2704</v>
      </c>
      <c r="E5954" s="1" t="str">
        <f>IFERROR(__xludf.DUMMYFUNCTION("GOOGLETRANSLATE(D5954,""PT"",""EN"")"),"Much better. It is an easy to move bank.")</f>
        <v>Much better. It is an easy to move bank.</v>
      </c>
    </row>
    <row r="5955" ht="14.25" customHeight="1">
      <c r="A5955" s="1">
        <v>33.0</v>
      </c>
      <c r="B5955" s="1" t="s">
        <v>2669</v>
      </c>
      <c r="C5955" s="1">
        <v>0.0</v>
      </c>
      <c r="D5955" s="2" t="s">
        <v>2705</v>
      </c>
      <c r="E5955" s="1" t="str">
        <f>IFERROR(__xludf.DUMMYFUNCTION("GOOGLETRANSLATE(D5955,""PT"",""EN"")"),"Bank without responsibility, without ethics. I bought a consortium inside Sicoob, sold by a manager of Sicoob is when we want to treat the subject is not with them")</f>
        <v>Bank without responsibility, without ethics. I bought a consortium inside Sicoob, sold by a manager of Sicoob is when we want to treat the subject is not with them</v>
      </c>
    </row>
    <row r="5956" ht="14.25" customHeight="1">
      <c r="A5956" s="1">
        <v>33.0</v>
      </c>
      <c r="B5956" s="1" t="s">
        <v>2669</v>
      </c>
      <c r="C5956" s="1">
        <v>0.0</v>
      </c>
      <c r="D5956" s="1" t="s">
        <v>6</v>
      </c>
      <c r="E5956" s="1"/>
    </row>
    <row r="5957" ht="14.25" customHeight="1">
      <c r="A5957" s="1">
        <v>100.0</v>
      </c>
      <c r="B5957" s="1" t="s">
        <v>2669</v>
      </c>
      <c r="C5957" s="1">
        <v>10.0</v>
      </c>
      <c r="D5957" s="2" t="s">
        <v>2706</v>
      </c>
      <c r="E5957" s="1" t="str">
        <f>IFERROR(__xludf.DUMMYFUNCTION("GOOGLETRANSLATE(D5957,""PT"",""EN"")"),"Whenever necessary every time I need the financial institution I was never poorly attended. What I have to solve I always am 100% satisfied. Att, Carlos Alberto Monte Verde Pinheiro Embrapa Amapá - Registration 252.306")</f>
        <v>Whenever necessary every time I need the financial institution I was never poorly attended. What I have to solve I always am 100% satisfied. Att, Carlos Alberto Monte Verde Pinheiro Embrapa Amapá - Registration 252.306</v>
      </c>
    </row>
    <row r="5958" ht="14.25" customHeight="1">
      <c r="A5958" s="1">
        <v>100.0</v>
      </c>
      <c r="B5958" s="1" t="s">
        <v>2669</v>
      </c>
      <c r="C5958" s="1">
        <v>10.0</v>
      </c>
      <c r="D5958" s="1" t="s">
        <v>37</v>
      </c>
      <c r="E5958" s="1" t="str">
        <f>IFERROR(__xludf.DUMMYFUNCTION("GOOGLETRANSLATE(D5958,""PT"",""EN"")"),"Great service")</f>
        <v>Great service</v>
      </c>
    </row>
    <row r="5959" ht="14.25" customHeight="1">
      <c r="A5959" s="1">
        <v>100.0</v>
      </c>
      <c r="B5959" s="1" t="s">
        <v>2669</v>
      </c>
      <c r="C5959" s="1">
        <v>10.0</v>
      </c>
      <c r="D5959" s="2" t="s">
        <v>2707</v>
      </c>
      <c r="E5959" s="1" t="str">
        <f>IFERROR(__xludf.DUMMYFUNCTION("GOOGLETRANSLATE(D5959,""PT"",""EN"")"),"Efficient services with security is helpful service is cordial.")</f>
        <v>Efficient services with security is helpful service is cordial.</v>
      </c>
    </row>
    <row r="5960" ht="14.25" customHeight="1">
      <c r="A5960" s="1">
        <v>33.0</v>
      </c>
      <c r="B5960" s="1" t="s">
        <v>2669</v>
      </c>
      <c r="C5960" s="1">
        <v>0.0</v>
      </c>
      <c r="D5960" s="1" t="s">
        <v>6</v>
      </c>
      <c r="E5960" s="1"/>
    </row>
    <row r="5961" ht="14.25" customHeight="1">
      <c r="A5961" s="1">
        <v>100.0</v>
      </c>
      <c r="B5961" s="1" t="s">
        <v>2669</v>
      </c>
      <c r="C5961" s="1">
        <v>10.0</v>
      </c>
      <c r="D5961" s="1" t="s">
        <v>6</v>
      </c>
      <c r="E5961" s="1"/>
    </row>
    <row r="5962" ht="14.25" customHeight="1">
      <c r="A5962" s="1">
        <v>100.0</v>
      </c>
      <c r="B5962" s="1" t="s">
        <v>2669</v>
      </c>
      <c r="C5962" s="1">
        <v>10.0</v>
      </c>
      <c r="D5962" s="1" t="s">
        <v>2708</v>
      </c>
      <c r="E5962" s="1" t="str">
        <f>IFERROR(__xludf.DUMMYFUNCTION("GOOGLETRANSLATE(D5962,""PT"",""EN"")"),"Immediate service.")</f>
        <v>Immediate service.</v>
      </c>
    </row>
    <row r="5963" ht="14.25" customHeight="1">
      <c r="A5963" s="1">
        <v>33.0</v>
      </c>
      <c r="B5963" s="1" t="s">
        <v>2669</v>
      </c>
      <c r="C5963" s="1">
        <v>5.0</v>
      </c>
      <c r="D5963" s="2" t="s">
        <v>2709</v>
      </c>
      <c r="E5963" s="1" t="str">
        <f>IFERROR(__xludf.DUMMYFUNCTION("GOOGLETRANSLATE(D5963,""PT"",""EN"")"),"Do not seek to solve certain problems we have no answers at least")</f>
        <v>Do not seek to solve certain problems we have no answers at least</v>
      </c>
    </row>
    <row r="5964" ht="14.25" customHeight="1">
      <c r="A5964" s="1">
        <v>33.0</v>
      </c>
      <c r="B5964" s="1" t="s">
        <v>2669</v>
      </c>
      <c r="C5964" s="1">
        <v>0.0</v>
      </c>
      <c r="D5964" s="1" t="s">
        <v>6</v>
      </c>
      <c r="E5964" s="1"/>
    </row>
    <row r="5965" ht="14.25" customHeight="1">
      <c r="A5965" s="1">
        <v>33.0</v>
      </c>
      <c r="B5965" s="1" t="s">
        <v>2669</v>
      </c>
      <c r="C5965" s="1">
        <v>0.0</v>
      </c>
      <c r="D5965" s="2" t="s">
        <v>2710</v>
      </c>
      <c r="E5965" s="1" t="str">
        <f>IFERROR(__xludf.DUMMYFUNCTION("GOOGLETRANSLATE(D5965,""PT"",""EN"")"),"Pessimo service is extremely slow")</f>
        <v>Pessimo service is extremely slow</v>
      </c>
    </row>
    <row r="5966" ht="14.25" customHeight="1">
      <c r="A5966" s="1">
        <v>100.0</v>
      </c>
      <c r="B5966" s="1" t="s">
        <v>2669</v>
      </c>
      <c r="C5966" s="1">
        <v>10.0</v>
      </c>
      <c r="D5966" s="1" t="s">
        <v>2711</v>
      </c>
      <c r="E5966" s="1" t="str">
        <f>IFERROR(__xludf.DUMMYFUNCTION("GOOGLETRANSLATE(D5966,""PT"",""EN"")"),"The good service provided.")</f>
        <v>The good service provided.</v>
      </c>
    </row>
    <row r="5967" ht="14.25" customHeight="1">
      <c r="A5967" s="1">
        <v>66.0</v>
      </c>
      <c r="B5967" s="1" t="s">
        <v>2669</v>
      </c>
      <c r="C5967" s="1">
        <v>7.0</v>
      </c>
      <c r="D5967" s="1" t="s">
        <v>6</v>
      </c>
      <c r="E5967" s="1"/>
    </row>
    <row r="5968" ht="14.25" customHeight="1">
      <c r="A5968" s="1">
        <v>100.0</v>
      </c>
      <c r="B5968" s="1" t="s">
        <v>2669</v>
      </c>
      <c r="C5968" s="1">
        <v>10.0</v>
      </c>
      <c r="D5968" s="1" t="s">
        <v>6</v>
      </c>
      <c r="E5968" s="1"/>
    </row>
    <row r="5969" ht="14.25" customHeight="1">
      <c r="A5969" s="1">
        <v>33.0</v>
      </c>
      <c r="B5969" s="1" t="s">
        <v>2669</v>
      </c>
      <c r="C5969" s="1">
        <v>3.0</v>
      </c>
      <c r="D5969" s="2" t="s">
        <v>2712</v>
      </c>
      <c r="E5969" s="1" t="str">
        <f>IFERROR(__xludf.DUMMYFUNCTION("GOOGLETRANSLATE(D5969,""PT"",""EN"")"),"Management service is very bad for companies")</f>
        <v>Management service is very bad for companies</v>
      </c>
    </row>
    <row r="5970" ht="14.25" customHeight="1">
      <c r="A5970" s="1">
        <v>33.0</v>
      </c>
      <c r="B5970" s="1" t="s">
        <v>2669</v>
      </c>
      <c r="C5970" s="1">
        <v>0.0</v>
      </c>
      <c r="D5970" s="2" t="s">
        <v>2713</v>
      </c>
      <c r="E5970" s="1" t="str">
        <f>IFERROR(__xludf.DUMMYFUNCTION("GOOGLETRANSLATE(D5970,""PT"",""EN"")"),"I am associated with you, I've paid all my debit more than 01 year, but so far my credit have not returned.")</f>
        <v>I am associated with you, I've paid all my debit more than 01 year, but so far my credit have not returned.</v>
      </c>
    </row>
    <row r="5971" ht="14.25" customHeight="1">
      <c r="A5971" s="1">
        <v>100.0</v>
      </c>
      <c r="B5971" s="1" t="s">
        <v>2669</v>
      </c>
      <c r="C5971" s="1">
        <v>10.0</v>
      </c>
      <c r="D5971" s="1" t="s">
        <v>6</v>
      </c>
      <c r="E5971" s="1"/>
    </row>
    <row r="5972" ht="14.25" customHeight="1">
      <c r="A5972" s="1">
        <v>33.0</v>
      </c>
      <c r="B5972" s="1" t="s">
        <v>2669</v>
      </c>
      <c r="C5972" s="1">
        <v>2.0</v>
      </c>
      <c r="D5972" s="1" t="s">
        <v>6</v>
      </c>
      <c r="E5972" s="1"/>
    </row>
    <row r="5973" ht="14.25" customHeight="1">
      <c r="A5973" s="1">
        <v>66.0</v>
      </c>
      <c r="B5973" s="1" t="s">
        <v>2669</v>
      </c>
      <c r="C5973" s="1">
        <v>8.0</v>
      </c>
      <c r="D5973" s="1" t="s">
        <v>6</v>
      </c>
      <c r="E5973" s="1"/>
    </row>
    <row r="5974" ht="14.25" customHeight="1">
      <c r="A5974" s="1">
        <v>100.0</v>
      </c>
      <c r="B5974" s="1" t="s">
        <v>2669</v>
      </c>
      <c r="C5974" s="1">
        <v>10.0</v>
      </c>
      <c r="D5974" s="1" t="s">
        <v>6</v>
      </c>
      <c r="E5974" s="1"/>
    </row>
    <row r="5975" ht="14.25" customHeight="1">
      <c r="A5975" s="1">
        <v>33.0</v>
      </c>
      <c r="B5975" s="1" t="s">
        <v>2669</v>
      </c>
      <c r="C5975" s="1">
        <v>6.0</v>
      </c>
      <c r="D5975" s="2" t="s">
        <v>2714</v>
      </c>
      <c r="E5975" s="1" t="str">
        <f>IFERROR(__xludf.DUMMYFUNCTION("GOOGLETRANSLATE(D5975,""PT"",""EN"")"),"The bank is very good but it is the only bank that has not given me a credit line to this day. How can this be. . If I had used the app a lot more")</f>
        <v>The bank is very good but it is the only bank that has not given me a credit line to this day. How can this be. . If I had used the app a lot more</v>
      </c>
    </row>
    <row r="5976" ht="14.25" customHeight="1">
      <c r="A5976" s="1">
        <v>100.0</v>
      </c>
      <c r="B5976" s="1" t="s">
        <v>2669</v>
      </c>
      <c r="C5976" s="1">
        <v>10.0</v>
      </c>
      <c r="D5976" s="1" t="s">
        <v>6</v>
      </c>
      <c r="E5976" s="1"/>
    </row>
    <row r="5977" ht="14.25" customHeight="1">
      <c r="A5977" s="1">
        <v>66.0</v>
      </c>
      <c r="B5977" s="1" t="s">
        <v>2669</v>
      </c>
      <c r="C5977" s="1">
        <v>8.0</v>
      </c>
      <c r="D5977" s="1" t="s">
        <v>2715</v>
      </c>
      <c r="E5977" s="1" t="str">
        <f>IFERROR(__xludf.DUMMYFUNCTION("GOOGLETRANSLATE(D5977,""PT"",""EN"")"),"Need to improve online service")</f>
        <v>Need to improve online service</v>
      </c>
    </row>
    <row r="5978" ht="14.25" customHeight="1">
      <c r="A5978" s="1">
        <v>66.0</v>
      </c>
      <c r="B5978" s="1" t="s">
        <v>2669</v>
      </c>
      <c r="C5978" s="1">
        <v>8.0</v>
      </c>
      <c r="D5978" s="2" t="s">
        <v>2716</v>
      </c>
      <c r="E5978" s="1" t="str">
        <f>IFERROR(__xludf.DUMMYFUNCTION("GOOGLETRANSLATE(D5978,""PT"",""EN"")"),"You need to improve access is communication when you are out of bank domicile is, if you need to do any service or information at a bankruptcy agency or other Sicoob system cooperative.")</f>
        <v>You need to improve access is communication when you are out of bank domicile is, if you need to do any service or information at a bankruptcy agency or other Sicoob system cooperative.</v>
      </c>
    </row>
    <row r="5979" ht="14.25" customHeight="1">
      <c r="A5979" s="1">
        <v>100.0</v>
      </c>
      <c r="B5979" s="1" t="s">
        <v>2669</v>
      </c>
      <c r="C5979" s="1">
        <v>10.0</v>
      </c>
      <c r="D5979" s="2" t="s">
        <v>2717</v>
      </c>
      <c r="E5979" s="1" t="str">
        <f>IFERROR(__xludf.DUMMYFUNCTION("GOOGLETRANSLATE(D5979,""PT"",""EN"")"),"so far wonderful service")</f>
        <v>so far wonderful service</v>
      </c>
    </row>
    <row r="5980" ht="14.25" customHeight="1">
      <c r="A5980" s="1">
        <v>33.0</v>
      </c>
      <c r="B5980" s="1" t="s">
        <v>2669</v>
      </c>
      <c r="C5980" s="1">
        <v>5.0</v>
      </c>
      <c r="D5980" s="2" t="s">
        <v>2718</v>
      </c>
      <c r="E5980" s="1" t="str">
        <f>IFERROR(__xludf.DUMMYFUNCTION("GOOGLETRANSLATE(D5980,""PT"",""EN"")"),"Limitation on financial operations. The bank does not like or is very close to loans is negotiations is situations that do not favor the bank itself.")</f>
        <v>Limitation on financial operations. The bank does not like or is very close to loans is negotiations is situations that do not favor the bank itself.</v>
      </c>
    </row>
    <row r="5981" ht="14.25" customHeight="1">
      <c r="A5981" s="1">
        <v>100.0</v>
      </c>
      <c r="B5981" s="1" t="s">
        <v>2669</v>
      </c>
      <c r="C5981" s="1">
        <v>10.0</v>
      </c>
      <c r="D5981" s="1" t="s">
        <v>6</v>
      </c>
      <c r="E5981" s="1"/>
    </row>
    <row r="5982" ht="14.25" customHeight="1">
      <c r="A5982" s="1">
        <v>33.0</v>
      </c>
      <c r="B5982" s="1" t="s">
        <v>2669</v>
      </c>
      <c r="C5982" s="1">
        <v>0.0</v>
      </c>
      <c r="D5982" s="1" t="s">
        <v>6</v>
      </c>
      <c r="E5982" s="1"/>
    </row>
    <row r="5983" ht="14.25" customHeight="1">
      <c r="A5983" s="1">
        <v>33.0</v>
      </c>
      <c r="B5983" s="1" t="s">
        <v>2669</v>
      </c>
      <c r="C5983" s="1">
        <v>1.0</v>
      </c>
      <c r="D5983" s="1" t="s">
        <v>6</v>
      </c>
      <c r="E5983" s="1"/>
    </row>
    <row r="5984" ht="14.25" customHeight="1">
      <c r="A5984" s="1">
        <v>100.0</v>
      </c>
      <c r="B5984" s="1" t="s">
        <v>2669</v>
      </c>
      <c r="C5984" s="1">
        <v>10.0</v>
      </c>
      <c r="D5984" s="2" t="s">
        <v>2719</v>
      </c>
      <c r="E5984" s="1" t="str">
        <f>IFERROR(__xludf.DUMMYFUNCTION("GOOGLETRANSLATE(D5984,""PT"",""EN"")"),"Because it is a bank that is always helping us is excellent service")</f>
        <v>Because it is a bank that is always helping us is excellent service</v>
      </c>
    </row>
    <row r="5985" ht="14.25" customHeight="1">
      <c r="A5985" s="1">
        <v>100.0</v>
      </c>
      <c r="B5985" s="1" t="s">
        <v>2669</v>
      </c>
      <c r="C5985" s="1">
        <v>10.0</v>
      </c>
      <c r="D5985" s="1" t="s">
        <v>1120</v>
      </c>
      <c r="E5985" s="1" t="str">
        <f>IFERROR(__xludf.DUMMYFUNCTION("GOOGLETRANSLATE(D5985,""PT"",""EN"")"),"Very helpful")</f>
        <v>Very helpful</v>
      </c>
    </row>
    <row r="5986" ht="14.25" customHeight="1">
      <c r="A5986" s="1">
        <v>100.0</v>
      </c>
      <c r="B5986" s="1" t="s">
        <v>2669</v>
      </c>
      <c r="C5986" s="1">
        <v>10.0</v>
      </c>
      <c r="D5986" s="1" t="s">
        <v>2720</v>
      </c>
      <c r="E5986" s="1" t="str">
        <f>IFERROR(__xludf.DUMMYFUNCTION("GOOGLETRANSLATE(D5986,""PT"",""EN"")"),"Best Bank in Brazil")</f>
        <v>Best Bank in Brazil</v>
      </c>
    </row>
    <row r="5987" ht="14.25" customHeight="1">
      <c r="A5987" s="1">
        <v>100.0</v>
      </c>
      <c r="B5987" s="1" t="s">
        <v>2669</v>
      </c>
      <c r="C5987" s="1">
        <v>10.0</v>
      </c>
      <c r="D5987" s="1" t="s">
        <v>1250</v>
      </c>
      <c r="E5987" s="1" t="str">
        <f>IFERROR(__xludf.DUMMYFUNCTION("GOOGLETRANSLATE(D5987,""PT"",""EN"")"),"Speed ​​in service")</f>
        <v>Speed ​​in service</v>
      </c>
    </row>
    <row r="5988" ht="14.25" customHeight="1">
      <c r="A5988" s="1">
        <v>33.0</v>
      </c>
      <c r="B5988" s="1" t="s">
        <v>2669</v>
      </c>
      <c r="C5988" s="1">
        <v>0.0</v>
      </c>
      <c r="D5988" s="1" t="s">
        <v>6</v>
      </c>
      <c r="E5988" s="1"/>
    </row>
    <row r="5989" ht="14.25" customHeight="1">
      <c r="A5989" s="1">
        <v>100.0</v>
      </c>
      <c r="B5989" s="1" t="s">
        <v>2669</v>
      </c>
      <c r="C5989" s="1">
        <v>10.0</v>
      </c>
      <c r="D5989" s="1" t="s">
        <v>6</v>
      </c>
      <c r="E5989" s="1"/>
    </row>
    <row r="5990" ht="14.25" customHeight="1">
      <c r="A5990" s="1">
        <v>100.0</v>
      </c>
      <c r="B5990" s="1" t="s">
        <v>2669</v>
      </c>
      <c r="C5990" s="1">
        <v>9.0</v>
      </c>
      <c r="D5990" s="1" t="s">
        <v>2721</v>
      </c>
      <c r="E5990" s="1" t="str">
        <f>IFERROR(__xludf.DUMMYFUNCTION("GOOGLETRANSLATE(D5990,""PT"",""EN"")"),"reliability")</f>
        <v>reliability</v>
      </c>
    </row>
    <row r="5991" ht="14.25" customHeight="1">
      <c r="A5991" s="1">
        <v>66.0</v>
      </c>
      <c r="B5991" s="1" t="s">
        <v>2669</v>
      </c>
      <c r="C5991" s="1">
        <v>8.0</v>
      </c>
      <c r="D5991" s="1" t="s">
        <v>6</v>
      </c>
      <c r="E5991" s="1"/>
    </row>
    <row r="5992" ht="14.25" customHeight="1">
      <c r="A5992" s="1">
        <v>66.0</v>
      </c>
      <c r="B5992" s="1" t="s">
        <v>2669</v>
      </c>
      <c r="C5992" s="1">
        <v>8.0</v>
      </c>
      <c r="D5992" s="2" t="s">
        <v>2722</v>
      </c>
      <c r="E5992" s="1" t="str">
        <f>IFERROR(__xludf.DUMMYFUNCTION("GOOGLETRANSLATE(D5992,""PT"",""EN"")"),"There are certain procedures that I do not agree")</f>
        <v>There are certain procedures that I do not agree</v>
      </c>
    </row>
    <row r="5993" ht="14.25" customHeight="1">
      <c r="A5993" s="1">
        <v>66.0</v>
      </c>
      <c r="B5993" s="1" t="s">
        <v>2669</v>
      </c>
      <c r="C5993" s="1">
        <v>7.0</v>
      </c>
      <c r="D5993" s="1" t="s">
        <v>6</v>
      </c>
      <c r="E5993" s="1"/>
    </row>
    <row r="5994" ht="14.25" customHeight="1">
      <c r="A5994" s="1">
        <v>100.0</v>
      </c>
      <c r="B5994" s="1" t="s">
        <v>2669</v>
      </c>
      <c r="C5994" s="1">
        <v>9.0</v>
      </c>
      <c r="D5994" s="1" t="s">
        <v>2723</v>
      </c>
      <c r="E5994" s="1" t="str">
        <f>IFERROR(__xludf.DUMMYFUNCTION("GOOGLETRANSLATE(D5994,""PT"",""EN"")"),"In my assessment, rare institutions would receive a grade 10. Sicoob needs to improve the quality of service")</f>
        <v>In my assessment, rare institutions would receive a grade 10. Sicoob needs to improve the quality of service</v>
      </c>
    </row>
    <row r="5995" ht="14.25" customHeight="1">
      <c r="A5995" s="1">
        <v>100.0</v>
      </c>
      <c r="B5995" s="1" t="s">
        <v>2669</v>
      </c>
      <c r="C5995" s="1">
        <v>10.0</v>
      </c>
      <c r="D5995" s="2" t="s">
        <v>2724</v>
      </c>
      <c r="E5995" s="1" t="str">
        <f>IFERROR(__xludf.DUMMYFUNCTION("GOOGLETRANSLATE(D5995,""PT"",""EN"")"),"I was always well received is attended at cooperative Sicoob so we are to be congratulated")</f>
        <v>I was always well received is attended at cooperative Sicoob so we are to be congratulated</v>
      </c>
    </row>
    <row r="5996" ht="14.25" customHeight="1">
      <c r="A5996" s="1">
        <v>100.0</v>
      </c>
      <c r="B5996" s="1" t="s">
        <v>2669</v>
      </c>
      <c r="C5996" s="1">
        <v>9.0</v>
      </c>
      <c r="D5996" s="2" t="s">
        <v>2725</v>
      </c>
      <c r="E5996" s="1" t="str">
        <f>IFERROR(__xludf.DUMMYFUNCTION("GOOGLETRANSLATE(D5996,""PT"",""EN"")"),"Because of the good service that the cooperative dispenses with us ...")</f>
        <v>Because of the good service that the cooperative dispenses with us ...</v>
      </c>
    </row>
    <row r="5997" ht="14.25" customHeight="1">
      <c r="A5997" s="1">
        <v>100.0</v>
      </c>
      <c r="B5997" s="1" t="s">
        <v>2669</v>
      </c>
      <c r="C5997" s="1">
        <v>10.0</v>
      </c>
      <c r="D5997" s="1" t="s">
        <v>2726</v>
      </c>
      <c r="E5997" s="1" t="str">
        <f>IFERROR(__xludf.DUMMYFUNCTION("GOOGLETRANSLATE(D5997,""PT"",""EN"")"),"efficient service, prompt response, financial solution options")</f>
        <v>efficient service, prompt response, financial solution options</v>
      </c>
    </row>
    <row r="5998" ht="14.25" customHeight="1">
      <c r="A5998" s="1">
        <v>100.0</v>
      </c>
      <c r="B5998" s="1" t="s">
        <v>2669</v>
      </c>
      <c r="C5998" s="1">
        <v>10.0</v>
      </c>
      <c r="D5998" s="1" t="s">
        <v>1472</v>
      </c>
      <c r="E5998" s="1" t="str">
        <f>IFERROR(__xludf.DUMMYFUNCTION("GOOGLETRANSLATE(D5998,""PT"",""EN"")"),"Quality in service")</f>
        <v>Quality in service</v>
      </c>
    </row>
    <row r="5999" ht="14.25" customHeight="1">
      <c r="A5999" s="1">
        <v>66.0</v>
      </c>
      <c r="B5999" s="1" t="s">
        <v>2669</v>
      </c>
      <c r="C5999" s="1">
        <v>7.0</v>
      </c>
      <c r="D5999" s="1" t="s">
        <v>6</v>
      </c>
      <c r="E5999" s="1"/>
    </row>
    <row r="6000" ht="14.25" customHeight="1">
      <c r="A6000" s="1">
        <v>33.0</v>
      </c>
      <c r="B6000" s="1" t="s">
        <v>2669</v>
      </c>
      <c r="C6000" s="1">
        <v>1.0</v>
      </c>
      <c r="D6000" s="1" t="s">
        <v>2727</v>
      </c>
      <c r="E6000" s="1" t="str">
        <f>IFERROR(__xludf.DUMMYFUNCTION("GOOGLETRANSLATE(D6000,""PT"",""EN"")"),"Bad service, no cooperativism")</f>
        <v>Bad service, no cooperativism</v>
      </c>
    </row>
    <row r="6001" ht="14.25" customHeight="1">
      <c r="A6001" s="1">
        <v>33.0</v>
      </c>
      <c r="B6001" s="1" t="s">
        <v>2669</v>
      </c>
      <c r="C6001" s="1">
        <v>3.0</v>
      </c>
      <c r="D6001" s="1" t="s">
        <v>6</v>
      </c>
      <c r="E6001" s="1"/>
    </row>
    <row r="6002" ht="14.25" customHeight="1">
      <c r="A6002" s="1">
        <v>66.0</v>
      </c>
      <c r="B6002" s="1" t="s">
        <v>2669</v>
      </c>
      <c r="C6002" s="1">
        <v>7.0</v>
      </c>
      <c r="D6002" s="1" t="s">
        <v>6</v>
      </c>
      <c r="E6002" s="1"/>
    </row>
    <row r="6003" ht="14.25" customHeight="1">
      <c r="A6003" s="1">
        <v>100.0</v>
      </c>
      <c r="B6003" s="1" t="s">
        <v>2669</v>
      </c>
      <c r="C6003" s="1">
        <v>9.0</v>
      </c>
      <c r="D6003" s="1" t="s">
        <v>6</v>
      </c>
      <c r="E6003" s="1"/>
    </row>
    <row r="6004" ht="14.25" customHeight="1">
      <c r="A6004" s="1">
        <v>100.0</v>
      </c>
      <c r="B6004" s="1" t="s">
        <v>2669</v>
      </c>
      <c r="C6004" s="1">
        <v>10.0</v>
      </c>
      <c r="D6004" s="2" t="s">
        <v>2728</v>
      </c>
      <c r="E6004" s="1" t="str">
        <f>IFERROR(__xludf.DUMMYFUNCTION("GOOGLETRANSLATE(D6004,""PT"",""EN"")"),"Because it is an institution, responsible, reliable would be. See the people, go beyond numbers ..")</f>
        <v>Because it is an institution, responsible, reliable would be. See the people, go beyond numbers ..</v>
      </c>
    </row>
    <row r="6005" ht="14.25" customHeight="1">
      <c r="A6005" s="1">
        <v>66.0</v>
      </c>
      <c r="B6005" s="1" t="s">
        <v>2669</v>
      </c>
      <c r="C6005" s="1">
        <v>8.0</v>
      </c>
      <c r="D6005" s="1" t="s">
        <v>6</v>
      </c>
      <c r="E6005" s="1"/>
    </row>
    <row r="6006" ht="14.25" customHeight="1">
      <c r="A6006" s="1">
        <v>100.0</v>
      </c>
      <c r="B6006" s="1" t="s">
        <v>2669</v>
      </c>
      <c r="C6006" s="1">
        <v>10.0</v>
      </c>
      <c r="D6006" s="1" t="s">
        <v>2729</v>
      </c>
      <c r="E6006" s="1" t="str">
        <f>IFERROR(__xludf.DUMMYFUNCTION("GOOGLETRANSLATE(D6006,""PT"",""EN"")"),"The excellence service provided by Sicoob.")</f>
        <v>The excellence service provided by Sicoob.</v>
      </c>
    </row>
    <row r="6007" ht="14.25" customHeight="1">
      <c r="A6007" s="1">
        <v>33.0</v>
      </c>
      <c r="B6007" s="1" t="s">
        <v>2669</v>
      </c>
      <c r="C6007" s="1">
        <v>4.0</v>
      </c>
      <c r="D6007" s="2" t="s">
        <v>2730</v>
      </c>
      <c r="E6007" s="1" t="str">
        <f>IFERROR(__xludf.DUMMYFUNCTION("GOOGLETRANSLATE(D6007,""PT"",""EN"")"),"The lack of communication, empathy is because the cooperative acts completely the same as other old banks. Unfortunately 😔 I regret")</f>
        <v>The lack of communication, empathy is because the cooperative acts completely the same as other old banks. Unfortunately 😔 I regret</v>
      </c>
    </row>
    <row r="6008" ht="14.25" customHeight="1">
      <c r="A6008" s="1">
        <v>100.0</v>
      </c>
      <c r="B6008" s="1" t="s">
        <v>2669</v>
      </c>
      <c r="C6008" s="1">
        <v>10.0</v>
      </c>
      <c r="D6008" s="1" t="s">
        <v>6</v>
      </c>
      <c r="E6008" s="1"/>
    </row>
    <row r="6009" ht="14.25" customHeight="1">
      <c r="A6009" s="1">
        <v>100.0</v>
      </c>
      <c r="B6009" s="1" t="s">
        <v>2669</v>
      </c>
      <c r="C6009" s="1">
        <v>10.0</v>
      </c>
      <c r="D6009" s="1" t="s">
        <v>192</v>
      </c>
      <c r="E6009" s="1" t="str">
        <f>IFERROR(__xludf.DUMMYFUNCTION("GOOGLETRANSLATE(D6009,""PT"",""EN"")"),"Great")</f>
        <v>Great</v>
      </c>
    </row>
    <row r="6010" ht="14.25" customHeight="1">
      <c r="A6010" s="1">
        <v>100.0</v>
      </c>
      <c r="B6010" s="1" t="s">
        <v>2669</v>
      </c>
      <c r="C6010" s="1">
        <v>10.0</v>
      </c>
      <c r="D6010" s="1" t="s">
        <v>62</v>
      </c>
      <c r="E6010" s="1" t="str">
        <f>IFERROR(__xludf.DUMMYFUNCTION("GOOGLETRANSLATE(D6010,""PT"",""EN"")"),"Good service")</f>
        <v>Good service</v>
      </c>
    </row>
    <row r="6011" ht="14.25" customHeight="1">
      <c r="A6011" s="1">
        <v>33.0</v>
      </c>
      <c r="B6011" s="1" t="s">
        <v>2669</v>
      </c>
      <c r="C6011" s="1">
        <v>0.0</v>
      </c>
      <c r="D6011" s="1" t="s">
        <v>6</v>
      </c>
      <c r="E6011" s="1"/>
    </row>
    <row r="6012" ht="14.25" customHeight="1">
      <c r="A6012" s="1">
        <v>33.0</v>
      </c>
      <c r="B6012" s="1" t="s">
        <v>2669</v>
      </c>
      <c r="C6012" s="1">
        <v>0.0</v>
      </c>
      <c r="D6012" s="1" t="s">
        <v>6</v>
      </c>
      <c r="E6012" s="1"/>
    </row>
    <row r="6013" ht="14.25" customHeight="1">
      <c r="A6013" s="1">
        <v>66.0</v>
      </c>
      <c r="B6013" s="1" t="s">
        <v>2669</v>
      </c>
      <c r="C6013" s="1">
        <v>8.0</v>
      </c>
      <c r="D6013" s="1" t="s">
        <v>388</v>
      </c>
      <c r="E6013" s="1" t="str">
        <f>IFERROR(__xludf.DUMMYFUNCTION("GOOGLETRANSLATE(D6013,""PT"",""EN"")"),"8")</f>
        <v>8</v>
      </c>
    </row>
    <row r="6014" ht="14.25" customHeight="1">
      <c r="A6014" s="1">
        <v>33.0</v>
      </c>
      <c r="B6014" s="1" t="s">
        <v>2669</v>
      </c>
      <c r="C6014" s="1">
        <v>0.0</v>
      </c>
      <c r="D6014" s="1" t="s">
        <v>6</v>
      </c>
      <c r="E6014" s="1"/>
    </row>
    <row r="6015" ht="14.25" customHeight="1">
      <c r="A6015" s="1">
        <v>33.0</v>
      </c>
      <c r="B6015" s="1" t="s">
        <v>2669</v>
      </c>
      <c r="C6015" s="1">
        <v>2.0</v>
      </c>
      <c r="D6015" s="2" t="s">
        <v>2731</v>
      </c>
      <c r="E6015" s="1" t="str">
        <f>IFERROR(__xludf.DUMMYFUNCTION("GOOGLETRANSLATE(D6015,""PT"",""EN"")"),"When it comes to paying the bank's debts, the account holder is asked to participate but when it comes to asking if we want the agency to become virtual the conduct is not the same")</f>
        <v>When it comes to paying the bank's debts, the account holder is asked to participate but when it comes to asking if we want the agency to become virtual the conduct is not the same</v>
      </c>
    </row>
    <row r="6016" ht="14.25" customHeight="1">
      <c r="A6016" s="1">
        <v>100.0</v>
      </c>
      <c r="B6016" s="1" t="s">
        <v>2669</v>
      </c>
      <c r="C6016" s="1">
        <v>10.0</v>
      </c>
      <c r="D6016" s="1" t="s">
        <v>2732</v>
      </c>
      <c r="E6016" s="1" t="str">
        <f>IFERROR(__xludf.DUMMYFUNCTION("GOOGLETRANSLATE(D6016,""PT"",""EN"")"),"Versatility. WhatsApp service speeds up too much!")</f>
        <v>Versatility. WhatsApp service speeds up too much!</v>
      </c>
    </row>
    <row r="6017" ht="14.25" customHeight="1">
      <c r="A6017" s="1">
        <v>100.0</v>
      </c>
      <c r="B6017" s="1" t="s">
        <v>2669</v>
      </c>
      <c r="C6017" s="1">
        <v>10.0</v>
      </c>
      <c r="D6017" s="1" t="s">
        <v>6</v>
      </c>
      <c r="E6017" s="1"/>
    </row>
    <row r="6018" ht="14.25" customHeight="1">
      <c r="A6018" s="1">
        <v>100.0</v>
      </c>
      <c r="B6018" s="1" t="s">
        <v>2669</v>
      </c>
      <c r="C6018" s="1">
        <v>10.0</v>
      </c>
      <c r="D6018" s="2" t="s">
        <v>2733</v>
      </c>
      <c r="E6018" s="1" t="str">
        <f>IFERROR(__xludf.DUMMYFUNCTION("GOOGLETRANSLATE(D6018,""PT"",""EN"")"),"It has an excellent service.")</f>
        <v>It has an excellent service.</v>
      </c>
    </row>
    <row r="6019" ht="14.25" customHeight="1">
      <c r="A6019" s="1">
        <v>100.0</v>
      </c>
      <c r="B6019" s="1" t="s">
        <v>2669</v>
      </c>
      <c r="C6019" s="1">
        <v>10.0</v>
      </c>
      <c r="D6019" s="1" t="s">
        <v>2734</v>
      </c>
      <c r="E6019" s="1" t="str">
        <f>IFERROR(__xludf.DUMMYFUNCTION("GOOGLETRANSLATE(D6019,""PT"",""EN"")"),"I use the card. I like.")</f>
        <v>I use the card. I like.</v>
      </c>
    </row>
    <row r="6020" ht="14.25" customHeight="1">
      <c r="A6020" s="1">
        <v>100.0</v>
      </c>
      <c r="B6020" s="1" t="s">
        <v>2669</v>
      </c>
      <c r="C6020" s="1">
        <v>10.0</v>
      </c>
      <c r="D6020" s="1" t="s">
        <v>6</v>
      </c>
      <c r="E6020" s="1"/>
    </row>
    <row r="6021" ht="14.25" customHeight="1">
      <c r="A6021" s="1">
        <v>33.0</v>
      </c>
      <c r="B6021" s="1" t="s">
        <v>2669</v>
      </c>
      <c r="C6021" s="1">
        <v>0.0</v>
      </c>
      <c r="D6021" s="1" t="s">
        <v>6</v>
      </c>
      <c r="E6021" s="1"/>
    </row>
    <row r="6022" ht="14.25" customHeight="1">
      <c r="A6022" s="1">
        <v>100.0</v>
      </c>
      <c r="B6022" s="1" t="s">
        <v>2669</v>
      </c>
      <c r="C6022" s="1">
        <v>10.0</v>
      </c>
      <c r="D6022" s="1" t="s">
        <v>6</v>
      </c>
      <c r="E6022" s="1"/>
    </row>
    <row r="6023" ht="14.25" customHeight="1">
      <c r="A6023" s="1">
        <v>33.0</v>
      </c>
      <c r="B6023" s="1" t="s">
        <v>2669</v>
      </c>
      <c r="C6023" s="1">
        <v>0.0</v>
      </c>
      <c r="D6023" s="2" t="s">
        <v>2735</v>
      </c>
      <c r="E6023" s="1" t="str">
        <f>IFERROR(__xludf.DUMMYFUNCTION("GOOGLETRANSLATE(D6023,""PT"",""EN"")"),"Did not release credit for me")</f>
        <v>Did not release credit for me</v>
      </c>
    </row>
    <row r="6024" ht="14.25" customHeight="1">
      <c r="A6024" s="1">
        <v>100.0</v>
      </c>
      <c r="B6024" s="1" t="s">
        <v>2669</v>
      </c>
      <c r="C6024" s="1">
        <v>10.0</v>
      </c>
      <c r="D6024" s="1" t="s">
        <v>9</v>
      </c>
      <c r="E6024" s="1" t="str">
        <f>IFERROR(__xludf.DUMMYFUNCTION("GOOGLETRANSLATE(D6024,""PT"",""EN"")"),"10")</f>
        <v>10</v>
      </c>
    </row>
    <row r="6025" ht="14.25" customHeight="1">
      <c r="A6025" s="1">
        <v>33.0</v>
      </c>
      <c r="B6025" s="1" t="s">
        <v>2669</v>
      </c>
      <c r="C6025" s="1">
        <v>0.0</v>
      </c>
      <c r="D6025" s="1" t="s">
        <v>6</v>
      </c>
      <c r="E6025" s="1"/>
    </row>
    <row r="6026" ht="14.25" customHeight="1">
      <c r="A6026" s="1">
        <v>33.0</v>
      </c>
      <c r="B6026" s="1" t="s">
        <v>2669</v>
      </c>
      <c r="C6026" s="1">
        <v>6.0</v>
      </c>
      <c r="D6026" s="1" t="s">
        <v>6</v>
      </c>
      <c r="E6026" s="1"/>
    </row>
    <row r="6027" ht="14.25" customHeight="1">
      <c r="A6027" s="1">
        <v>100.0</v>
      </c>
      <c r="B6027" s="1" t="s">
        <v>2669</v>
      </c>
      <c r="C6027" s="1">
        <v>10.0</v>
      </c>
      <c r="D6027" s="1" t="s">
        <v>6</v>
      </c>
      <c r="E6027" s="1"/>
    </row>
    <row r="6028" ht="14.25" customHeight="1">
      <c r="A6028" s="1">
        <v>33.0</v>
      </c>
      <c r="B6028" s="1" t="s">
        <v>2669</v>
      </c>
      <c r="C6028" s="1">
        <v>5.0</v>
      </c>
      <c r="D6028" s="2" t="s">
        <v>2736</v>
      </c>
      <c r="E6028" s="1" t="str">
        <f>IFERROR(__xludf.DUMMYFUNCTION("GOOGLETRANSLATE(D6028,""PT"",""EN"")"),"A lot of bureaucracy compared to private bank is public")</f>
        <v>A lot of bureaucracy compared to private bank is public</v>
      </c>
    </row>
    <row r="6029" ht="14.25" customHeight="1">
      <c r="A6029" s="1">
        <v>100.0</v>
      </c>
      <c r="B6029" s="1" t="s">
        <v>2669</v>
      </c>
      <c r="C6029" s="1">
        <v>10.0</v>
      </c>
      <c r="D6029" s="1" t="s">
        <v>6</v>
      </c>
      <c r="E6029" s="1"/>
    </row>
    <row r="6030" ht="14.25" customHeight="1">
      <c r="A6030" s="1">
        <v>100.0</v>
      </c>
      <c r="B6030" s="1" t="s">
        <v>2669</v>
      </c>
      <c r="C6030" s="1">
        <v>10.0</v>
      </c>
      <c r="D6030" s="1" t="s">
        <v>85</v>
      </c>
      <c r="E6030" s="1" t="str">
        <f>IFERROR(__xludf.DUMMYFUNCTION("GOOGLETRANSLATE(D6030,""PT"",""EN"")"),"Service")</f>
        <v>Service</v>
      </c>
    </row>
    <row r="6031" ht="14.25" customHeight="1">
      <c r="A6031" s="1">
        <v>100.0</v>
      </c>
      <c r="B6031" s="1" t="s">
        <v>2669</v>
      </c>
      <c r="C6031" s="1">
        <v>10.0</v>
      </c>
      <c r="D6031" s="1" t="s">
        <v>2737</v>
      </c>
      <c r="E6031" s="1" t="str">
        <f>IFERROR(__xludf.DUMMYFUNCTION("GOOGLETRANSLATE(D6031,""PT"",""EN"")"),"I really like")</f>
        <v>I really like</v>
      </c>
    </row>
    <row r="6032" ht="14.25" customHeight="1">
      <c r="A6032" s="1">
        <v>100.0</v>
      </c>
      <c r="B6032" s="1" t="s">
        <v>2669</v>
      </c>
      <c r="C6032" s="1">
        <v>10.0</v>
      </c>
      <c r="D6032" s="1" t="s">
        <v>6</v>
      </c>
      <c r="E6032" s="1"/>
    </row>
    <row r="6033" ht="14.25" customHeight="1">
      <c r="A6033" s="1">
        <v>66.0</v>
      </c>
      <c r="B6033" s="1" t="s">
        <v>2669</v>
      </c>
      <c r="C6033" s="1">
        <v>8.0</v>
      </c>
      <c r="D6033" s="1" t="s">
        <v>2738</v>
      </c>
      <c r="E6033" s="1" t="str">
        <f>IFERROR(__xludf.DUMMYFUNCTION("GOOGLETRANSLATE(D6033,""PT"",""EN"")"),"A policy is missing, lower interest")</f>
        <v>A policy is missing, lower interest</v>
      </c>
    </row>
    <row r="6034" ht="14.25" customHeight="1">
      <c r="A6034" s="1">
        <v>66.0</v>
      </c>
      <c r="B6034" s="1" t="s">
        <v>2669</v>
      </c>
      <c r="C6034" s="1">
        <v>8.0</v>
      </c>
      <c r="D6034" s="1" t="s">
        <v>6</v>
      </c>
      <c r="E6034" s="1"/>
    </row>
    <row r="6035" ht="14.25" customHeight="1">
      <c r="A6035" s="1">
        <v>100.0</v>
      </c>
      <c r="B6035" s="1" t="s">
        <v>2669</v>
      </c>
      <c r="C6035" s="1">
        <v>10.0</v>
      </c>
      <c r="D6035" s="2" t="s">
        <v>2739</v>
      </c>
      <c r="E6035" s="1" t="str">
        <f>IFERROR(__xludf.DUMMYFUNCTION("GOOGLETRANSLATE(D6035,""PT"",""EN"")"),"Concrete Banco Presctative Employees is attentive")</f>
        <v>Concrete Banco Presctative Employees is attentive</v>
      </c>
    </row>
    <row r="6036" ht="14.25" customHeight="1">
      <c r="A6036" s="1">
        <v>100.0</v>
      </c>
      <c r="B6036" s="1" t="s">
        <v>2669</v>
      </c>
      <c r="C6036" s="1">
        <v>10.0</v>
      </c>
      <c r="D6036" s="1" t="s">
        <v>2740</v>
      </c>
      <c r="E6036" s="1" t="str">
        <f>IFERROR(__xludf.DUMMYFUNCTION("GOOGLETRANSLATE(D6036,""PT"",""EN"")"),"Sicoob is note 1000")</f>
        <v>Sicoob is note 1000</v>
      </c>
    </row>
    <row r="6037" ht="14.25" customHeight="1">
      <c r="A6037" s="1">
        <v>33.0</v>
      </c>
      <c r="B6037" s="1" t="s">
        <v>2669</v>
      </c>
      <c r="C6037" s="1">
        <v>6.0</v>
      </c>
      <c r="D6037" s="2" t="s">
        <v>2741</v>
      </c>
      <c r="E6037" s="1" t="str">
        <f>IFERROR(__xludf.DUMMYFUNCTION("GOOGLETRANSLATE(D6037,""PT"",""EN"")"),"I already have the account since 2019 is always the same limit on the card is without any line of credit, even moving the account is using the credit card!")</f>
        <v>I already have the account since 2019 is always the same limit on the card is without any line of credit, even moving the account is using the credit card!</v>
      </c>
    </row>
    <row r="6038" ht="14.25" customHeight="1">
      <c r="A6038" s="1">
        <v>33.0</v>
      </c>
      <c r="B6038" s="1" t="s">
        <v>2669</v>
      </c>
      <c r="C6038" s="1">
        <v>5.0</v>
      </c>
      <c r="D6038" s="2" t="s">
        <v>2742</v>
      </c>
      <c r="E6038" s="1" t="str">
        <f>IFERROR(__xludf.DUMMYFUNCTION("GOOGLETRANSLATE(D6038,""PT"",""EN"")"),"Dear, I do not understand the sending of this NPS, not acquiring anything in Sicoob is I have no services at the institution. I had an account for a long time behind, that it is deactivated")</f>
        <v>Dear, I do not understand the sending of this NPS, not acquiring anything in Sicoob is I have no services at the institution. I had an account for a long time behind, that it is deactivated</v>
      </c>
    </row>
    <row r="6039" ht="14.25" customHeight="1">
      <c r="A6039" s="1">
        <v>100.0</v>
      </c>
      <c r="B6039" s="1" t="s">
        <v>2669</v>
      </c>
      <c r="C6039" s="1">
        <v>10.0</v>
      </c>
      <c r="D6039" s="1" t="s">
        <v>6</v>
      </c>
      <c r="E6039" s="1"/>
    </row>
    <row r="6040" ht="14.25" customHeight="1">
      <c r="A6040" s="1">
        <v>100.0</v>
      </c>
      <c r="B6040" s="1" t="s">
        <v>2669</v>
      </c>
      <c r="C6040" s="1">
        <v>10.0</v>
      </c>
      <c r="D6040" s="1" t="s">
        <v>6</v>
      </c>
      <c r="E6040" s="1"/>
    </row>
    <row r="6041" ht="14.25" customHeight="1">
      <c r="A6041" s="1">
        <v>100.0</v>
      </c>
      <c r="B6041" s="1" t="s">
        <v>2669</v>
      </c>
      <c r="C6041" s="1">
        <v>10.0</v>
      </c>
      <c r="D6041" s="1" t="s">
        <v>6</v>
      </c>
      <c r="E6041" s="1"/>
    </row>
    <row r="6042" ht="14.25" customHeight="1">
      <c r="A6042" s="1">
        <v>66.0</v>
      </c>
      <c r="B6042" s="1" t="s">
        <v>2669</v>
      </c>
      <c r="C6042" s="1">
        <v>7.0</v>
      </c>
      <c r="D6042" s="2" t="s">
        <v>2743</v>
      </c>
      <c r="E6042" s="1" t="str">
        <f>IFERROR(__xludf.DUMMYFUNCTION("GOOGLETRANSLATE(D6042,""PT"",""EN"")"),"I would like to note 10. But I wondered if the Sicoob cards should not return cashback.")</f>
        <v>I would like to note 10. But I wondered if the Sicoob cards should not return cashback.</v>
      </c>
    </row>
    <row r="6043" ht="14.25" customHeight="1">
      <c r="A6043" s="1">
        <v>100.0</v>
      </c>
      <c r="B6043" s="1" t="s">
        <v>2669</v>
      </c>
      <c r="C6043" s="1">
        <v>10.0</v>
      </c>
      <c r="D6043" s="2" t="s">
        <v>2744</v>
      </c>
      <c r="E6043" s="1" t="str">
        <f>IFERROR(__xludf.DUMMYFUNCTION("GOOGLETRANSLATE(D6043,""PT"",""EN"")"),"There is no surprise in the products.")</f>
        <v>There is no surprise in the products.</v>
      </c>
    </row>
    <row r="6044" ht="14.25" customHeight="1">
      <c r="A6044" s="1">
        <v>100.0</v>
      </c>
      <c r="B6044" s="1" t="s">
        <v>2669</v>
      </c>
      <c r="C6044" s="1">
        <v>10.0</v>
      </c>
      <c r="D6044" s="1" t="s">
        <v>6</v>
      </c>
      <c r="E6044" s="1"/>
    </row>
    <row r="6045" ht="14.25" customHeight="1">
      <c r="A6045" s="1">
        <v>100.0</v>
      </c>
      <c r="B6045" s="1" t="s">
        <v>2669</v>
      </c>
      <c r="C6045" s="1">
        <v>10.0</v>
      </c>
      <c r="D6045" s="2" t="s">
        <v>2745</v>
      </c>
      <c r="E6045" s="1" t="str">
        <f>IFERROR(__xludf.DUMMYFUNCTION("GOOGLETRANSLATE(D6045,""PT"",""EN"")"),"I love to solve everything quickly is without bureaucracy. They are to be congratulated!")</f>
        <v>I love to solve everything quickly is without bureaucracy. They are to be congratulated!</v>
      </c>
    </row>
    <row r="6046" ht="14.25" customHeight="1">
      <c r="A6046" s="1">
        <v>33.0</v>
      </c>
      <c r="B6046" s="1" t="s">
        <v>2669</v>
      </c>
      <c r="C6046" s="1">
        <v>5.0</v>
      </c>
      <c r="D6046" s="1" t="s">
        <v>2746</v>
      </c>
      <c r="E6046" s="1" t="str">
        <f>IFERROR(__xludf.DUMMYFUNCTION("GOOGLETRANSLATE(D6046,""PT"",""EN"")"),"Difficulty C")</f>
        <v>Difficulty C</v>
      </c>
    </row>
    <row r="6047" ht="14.25" customHeight="1">
      <c r="A6047" s="1">
        <v>100.0</v>
      </c>
      <c r="B6047" s="1" t="s">
        <v>2669</v>
      </c>
      <c r="C6047" s="1">
        <v>9.0</v>
      </c>
      <c r="D6047" s="1" t="s">
        <v>6</v>
      </c>
      <c r="E6047" s="1"/>
    </row>
    <row r="6048" ht="14.25" customHeight="1">
      <c r="A6048" s="1">
        <v>100.0</v>
      </c>
      <c r="B6048" s="1" t="s">
        <v>2669</v>
      </c>
      <c r="C6048" s="1">
        <v>9.0</v>
      </c>
      <c r="D6048" s="1" t="s">
        <v>2747</v>
      </c>
      <c r="E6048" s="1" t="str">
        <f>IFERROR(__xludf.DUMMYFUNCTION("GOOGLETRANSLATE(D6048,""PT"",""EN"")"),"Thank you for your attention at my moment.")</f>
        <v>Thank you for your attention at my moment.</v>
      </c>
    </row>
    <row r="6049" ht="14.25" customHeight="1">
      <c r="A6049" s="1">
        <v>100.0</v>
      </c>
      <c r="B6049" s="1" t="s">
        <v>2669</v>
      </c>
      <c r="C6049" s="1">
        <v>9.0</v>
      </c>
      <c r="D6049" s="1" t="s">
        <v>6</v>
      </c>
      <c r="E6049" s="1"/>
    </row>
    <row r="6050" ht="14.25" customHeight="1">
      <c r="A6050" s="1">
        <v>33.0</v>
      </c>
      <c r="B6050" s="1" t="s">
        <v>2669</v>
      </c>
      <c r="C6050" s="1">
        <v>0.0</v>
      </c>
      <c r="D6050" s="1" t="s">
        <v>6</v>
      </c>
      <c r="E6050" s="1"/>
    </row>
    <row r="6051" ht="14.25" customHeight="1">
      <c r="A6051" s="1">
        <v>100.0</v>
      </c>
      <c r="B6051" s="1" t="s">
        <v>2669</v>
      </c>
      <c r="C6051" s="1">
        <v>10.0</v>
      </c>
      <c r="D6051" s="1" t="s">
        <v>6</v>
      </c>
      <c r="E6051" s="1"/>
    </row>
    <row r="6052" ht="14.25" customHeight="1">
      <c r="A6052" s="1">
        <v>100.0</v>
      </c>
      <c r="B6052" s="1" t="s">
        <v>2669</v>
      </c>
      <c r="C6052" s="1">
        <v>9.0</v>
      </c>
      <c r="D6052" s="2" t="s">
        <v>2301</v>
      </c>
      <c r="E6052" s="1" t="str">
        <f>IFERROR(__xludf.DUMMYFUNCTION("GOOGLETRANSLATE(D6052,""PT"",""EN"")"),"It is an excellent bank")</f>
        <v>It is an excellent bank</v>
      </c>
    </row>
    <row r="6053" ht="14.25" customHeight="1">
      <c r="A6053" s="1">
        <v>33.0</v>
      </c>
      <c r="B6053" s="1" t="s">
        <v>2669</v>
      </c>
      <c r="C6053" s="1">
        <v>5.0</v>
      </c>
      <c r="D6053" s="1" t="s">
        <v>2748</v>
      </c>
      <c r="E6053" s="1" t="str">
        <f>IFERROR(__xludf.DUMMYFUNCTION("GOOGLETRANSLATE(D6053,""PT"",""EN"")"),"Complicated processes for withdrawal money in ATM")</f>
        <v>Complicated processes for withdrawal money in ATM</v>
      </c>
    </row>
    <row r="6054" ht="14.25" customHeight="1">
      <c r="A6054" s="1">
        <v>100.0</v>
      </c>
      <c r="B6054" s="1" t="s">
        <v>2669</v>
      </c>
      <c r="C6054" s="1">
        <v>10.0</v>
      </c>
      <c r="D6054" s="1" t="s">
        <v>6</v>
      </c>
      <c r="E6054" s="1"/>
    </row>
    <row r="6055" ht="14.25" customHeight="1">
      <c r="A6055" s="1">
        <v>100.0</v>
      </c>
      <c r="B6055" s="1" t="s">
        <v>2669</v>
      </c>
      <c r="C6055" s="1">
        <v>10.0</v>
      </c>
      <c r="D6055" s="1" t="s">
        <v>6</v>
      </c>
      <c r="E6055" s="1"/>
    </row>
    <row r="6056" ht="14.25" customHeight="1">
      <c r="A6056" s="1">
        <v>66.0</v>
      </c>
      <c r="B6056" s="1" t="s">
        <v>2669</v>
      </c>
      <c r="C6056" s="1">
        <v>7.0</v>
      </c>
      <c r="D6056" s="1" t="s">
        <v>6</v>
      </c>
      <c r="E6056" s="1"/>
    </row>
    <row r="6057" ht="14.25" customHeight="1">
      <c r="A6057" s="1">
        <v>33.0</v>
      </c>
      <c r="B6057" s="1" t="s">
        <v>2669</v>
      </c>
      <c r="C6057" s="1">
        <v>0.0</v>
      </c>
      <c r="D6057" s="1" t="s">
        <v>6</v>
      </c>
      <c r="E6057" s="1"/>
    </row>
    <row r="6058" ht="14.25" customHeight="1">
      <c r="A6058" s="1">
        <v>33.0</v>
      </c>
      <c r="B6058" s="1" t="s">
        <v>2669</v>
      </c>
      <c r="C6058" s="1">
        <v>4.0</v>
      </c>
      <c r="D6058" s="1" t="s">
        <v>6</v>
      </c>
      <c r="E6058" s="1"/>
    </row>
    <row r="6059" ht="14.25" customHeight="1">
      <c r="A6059" s="1">
        <v>100.0</v>
      </c>
      <c r="B6059" s="1" t="s">
        <v>2669</v>
      </c>
      <c r="C6059" s="1">
        <v>9.0</v>
      </c>
      <c r="D6059" s="1" t="s">
        <v>6</v>
      </c>
      <c r="E6059" s="1"/>
    </row>
    <row r="6060" ht="14.25" customHeight="1">
      <c r="A6060" s="1">
        <v>33.0</v>
      </c>
      <c r="B6060" s="1" t="s">
        <v>2669</v>
      </c>
      <c r="C6060" s="1">
        <v>0.0</v>
      </c>
      <c r="D6060" s="1" t="s">
        <v>6</v>
      </c>
      <c r="E6060" s="1"/>
    </row>
    <row r="6061" ht="14.25" customHeight="1">
      <c r="A6061" s="1">
        <v>100.0</v>
      </c>
      <c r="B6061" s="1" t="s">
        <v>2669</v>
      </c>
      <c r="C6061" s="1">
        <v>10.0</v>
      </c>
      <c r="D6061" s="1" t="s">
        <v>1150</v>
      </c>
      <c r="E6061" s="1" t="str">
        <f>IFERROR(__xludf.DUMMYFUNCTION("GOOGLETRANSLATE(D6061,""PT"",""EN"")"),"Rapidness")</f>
        <v>Rapidness</v>
      </c>
    </row>
    <row r="6062" ht="14.25" customHeight="1">
      <c r="A6062" s="1">
        <v>66.0</v>
      </c>
      <c r="B6062" s="1" t="s">
        <v>2669</v>
      </c>
      <c r="C6062" s="1">
        <v>8.0</v>
      </c>
      <c r="D6062" s="2" t="s">
        <v>2749</v>
      </c>
      <c r="E6062" s="1" t="str">
        <f>IFERROR(__xludf.DUMMYFUNCTION("GOOGLETRANSLATE(D6062,""PT"",""EN"")"),"I don't know Sicoob well, so the note.")</f>
        <v>I don't know Sicoob well, so the note.</v>
      </c>
    </row>
    <row r="6063" ht="14.25" customHeight="1">
      <c r="A6063" s="1">
        <v>100.0</v>
      </c>
      <c r="B6063" s="1" t="s">
        <v>2669</v>
      </c>
      <c r="C6063" s="1">
        <v>10.0</v>
      </c>
      <c r="D6063" s="1" t="s">
        <v>6</v>
      </c>
      <c r="E6063" s="1"/>
    </row>
    <row r="6064" ht="14.25" customHeight="1">
      <c r="A6064" s="1">
        <v>100.0</v>
      </c>
      <c r="B6064" s="1" t="s">
        <v>2669</v>
      </c>
      <c r="C6064" s="1">
        <v>10.0</v>
      </c>
      <c r="D6064" s="1" t="s">
        <v>6</v>
      </c>
      <c r="E6064" s="1"/>
    </row>
    <row r="6065" ht="14.25" customHeight="1">
      <c r="A6065" s="1">
        <v>33.0</v>
      </c>
      <c r="B6065" s="1" t="s">
        <v>2669</v>
      </c>
      <c r="C6065" s="1">
        <v>0.0</v>
      </c>
      <c r="D6065" s="1" t="s">
        <v>6</v>
      </c>
      <c r="E6065" s="1"/>
    </row>
    <row r="6066" ht="14.25" customHeight="1">
      <c r="A6066" s="1">
        <v>33.0</v>
      </c>
      <c r="B6066" s="1" t="s">
        <v>2669</v>
      </c>
      <c r="C6066" s="1">
        <v>2.0</v>
      </c>
      <c r="D6066" s="2" t="s">
        <v>2750</v>
      </c>
      <c r="E6066" s="1" t="str">
        <f>IFERROR(__xludf.DUMMYFUNCTION("GOOGLETRANSLATE(D6066,""PT"",""EN"")"),"A lot of bureaucracy is delayed not to serve the customer, not for lack of product, but for lack of practicality to want to solve the situation, the big banks, are great because they do not have all this bureaucracy, because they do not have the best prod"&amp;"ucts, so no It is good to have great products if the process to reach the end is to make the customer give up. Very disappointed with the cooperative, because I am a very encouraging cooperativism in the financial area!")</f>
        <v>A lot of bureaucracy is delayed not to serve the customer, not for lack of product, but for lack of practicality to want to solve the situation, the big banks, are great because they do not have all this bureaucracy, because they do not have the best products, so no It is good to have great products if the process to reach the end is to make the customer give up. Very disappointed with the cooperative, because I am a very encouraging cooperativism in the financial area!</v>
      </c>
    </row>
    <row r="6067" ht="14.25" customHeight="1">
      <c r="A6067" s="1">
        <v>100.0</v>
      </c>
      <c r="B6067" s="1" t="s">
        <v>2669</v>
      </c>
      <c r="C6067" s="1">
        <v>10.0</v>
      </c>
      <c r="D6067" s="1" t="s">
        <v>20</v>
      </c>
      <c r="E6067" s="1" t="str">
        <f>IFERROR(__xludf.DUMMYFUNCTION("GOOGLETRANSLATE(D6067,""PT"",""EN"")"),"Very good")</f>
        <v>Very good</v>
      </c>
    </row>
    <row r="6068" ht="14.25" customHeight="1">
      <c r="A6068" s="1">
        <v>66.0</v>
      </c>
      <c r="B6068" s="1" t="s">
        <v>2669</v>
      </c>
      <c r="C6068" s="1">
        <v>7.0</v>
      </c>
      <c r="D6068" s="2" t="s">
        <v>2751</v>
      </c>
      <c r="E6068" s="1" t="str">
        <f>IFERROR(__xludf.DUMMYFUNCTION("GOOGLETRANSLATE(D6068,""PT"",""EN"")"),"The service via WhatsApp is still very precarious is time consuming.")</f>
        <v>The service via WhatsApp is still very precarious is time consuming.</v>
      </c>
    </row>
    <row r="6069" ht="14.25" customHeight="1">
      <c r="A6069" s="1">
        <v>100.0</v>
      </c>
      <c r="B6069" s="1" t="s">
        <v>2669</v>
      </c>
      <c r="C6069" s="1">
        <v>9.0</v>
      </c>
      <c r="D6069" s="1" t="s">
        <v>2752</v>
      </c>
      <c r="E6069" s="1" t="str">
        <f>IFERROR(__xludf.DUMMYFUNCTION("GOOGLETRANSLATE(D6069,""PT"",""EN"")"),"Difficulty of agencies.")</f>
        <v>Difficulty of agencies.</v>
      </c>
    </row>
    <row r="6070" ht="14.25" customHeight="1">
      <c r="A6070" s="1">
        <v>100.0</v>
      </c>
      <c r="B6070" s="1" t="s">
        <v>2669</v>
      </c>
      <c r="C6070" s="1">
        <v>10.0</v>
      </c>
      <c r="D6070" s="1" t="s">
        <v>6</v>
      </c>
      <c r="E6070" s="1"/>
    </row>
    <row r="6071" ht="14.25" customHeight="1">
      <c r="A6071" s="1">
        <v>33.0</v>
      </c>
      <c r="B6071" s="1" t="s">
        <v>2669</v>
      </c>
      <c r="C6071" s="1">
        <v>1.0</v>
      </c>
      <c r="D6071" s="2" t="s">
        <v>2753</v>
      </c>
      <c r="E6071" s="1" t="str">
        <f>IFERROR(__xludf.DUMMYFUNCTION("GOOGLETRANSLATE(D6071,""PT"",""EN"")"),"The team is not effective, processes are slow, communication is difficult. It is difficult to understand the agency's organogram. 0800 without any proactivity.")</f>
        <v>The team is not effective, processes are slow, communication is difficult. It is difficult to understand the agency's organogram. 0800 without any proactivity.</v>
      </c>
    </row>
    <row r="6072" ht="14.25" customHeight="1">
      <c r="A6072" s="1">
        <v>33.0</v>
      </c>
      <c r="B6072" s="1" t="s">
        <v>2669</v>
      </c>
      <c r="C6072" s="1">
        <v>4.0</v>
      </c>
      <c r="D6072" s="2" t="s">
        <v>2754</v>
      </c>
      <c r="E6072" s="1" t="str">
        <f>IFERROR(__xludf.DUMMYFUNCTION("GOOGLETRANSLATE(D6072,""PT"",""EN"")"),"I am not seeing many advantages")</f>
        <v>I am not seeing many advantages</v>
      </c>
    </row>
    <row r="6073" ht="14.25" customHeight="1">
      <c r="A6073" s="1">
        <v>33.0</v>
      </c>
      <c r="B6073" s="1" t="s">
        <v>2669</v>
      </c>
      <c r="C6073" s="1">
        <v>0.0</v>
      </c>
      <c r="D6073" s="1" t="s">
        <v>6</v>
      </c>
      <c r="E6073" s="1"/>
    </row>
    <row r="6074" ht="14.25" customHeight="1">
      <c r="A6074" s="1">
        <v>100.0</v>
      </c>
      <c r="B6074" s="1" t="s">
        <v>2669</v>
      </c>
      <c r="C6074" s="1">
        <v>9.0</v>
      </c>
      <c r="D6074" s="1" t="s">
        <v>6</v>
      </c>
      <c r="E6074" s="1"/>
    </row>
    <row r="6075" ht="14.25" customHeight="1">
      <c r="A6075" s="1">
        <v>66.0</v>
      </c>
      <c r="B6075" s="1" t="s">
        <v>2669</v>
      </c>
      <c r="C6075" s="1">
        <v>8.0</v>
      </c>
      <c r="D6075" s="1" t="s">
        <v>62</v>
      </c>
      <c r="E6075" s="1" t="str">
        <f>IFERROR(__xludf.DUMMYFUNCTION("GOOGLETRANSLATE(D6075,""PT"",""EN"")"),"Good service")</f>
        <v>Good service</v>
      </c>
    </row>
    <row r="6076" ht="14.25" customHeight="1">
      <c r="A6076" s="1">
        <v>33.0</v>
      </c>
      <c r="B6076" s="1" t="s">
        <v>2669</v>
      </c>
      <c r="C6076" s="1">
        <v>0.0</v>
      </c>
      <c r="D6076" s="2" t="s">
        <v>2755</v>
      </c>
      <c r="E6076" s="1" t="str">
        <f>IFERROR(__xludf.DUMMYFUNCTION("GOOGLETRANSLATE(D6076,""PT"",""EN"")"),"Do not value your customers")</f>
        <v>Do not value your customers</v>
      </c>
    </row>
    <row r="6077" ht="14.25" customHeight="1">
      <c r="A6077" s="1">
        <v>66.0</v>
      </c>
      <c r="B6077" s="1" t="s">
        <v>2669</v>
      </c>
      <c r="C6077" s="1">
        <v>7.0</v>
      </c>
      <c r="D6077" s="1" t="s">
        <v>6</v>
      </c>
      <c r="E6077" s="1"/>
    </row>
    <row r="6078" ht="14.25" customHeight="1">
      <c r="A6078" s="1">
        <v>100.0</v>
      </c>
      <c r="B6078" s="1" t="s">
        <v>2669</v>
      </c>
      <c r="C6078" s="1">
        <v>9.0</v>
      </c>
      <c r="D6078" s="1" t="s">
        <v>132</v>
      </c>
      <c r="E6078" s="1" t="str">
        <f>IFERROR(__xludf.DUMMYFUNCTION("GOOGLETRANSLATE(D6078,""PT"",""EN"")"),"Great service")</f>
        <v>Great service</v>
      </c>
    </row>
    <row r="6079" ht="14.25" customHeight="1">
      <c r="A6079" s="1">
        <v>100.0</v>
      </c>
      <c r="B6079" s="1" t="s">
        <v>2669</v>
      </c>
      <c r="C6079" s="1">
        <v>10.0</v>
      </c>
      <c r="D6079" s="1" t="s">
        <v>6</v>
      </c>
      <c r="E6079" s="1"/>
    </row>
    <row r="6080" ht="14.25" customHeight="1">
      <c r="A6080" s="1">
        <v>33.0</v>
      </c>
      <c r="B6080" s="1" t="s">
        <v>2669</v>
      </c>
      <c r="C6080" s="1">
        <v>0.0</v>
      </c>
      <c r="D6080" s="1" t="s">
        <v>6</v>
      </c>
      <c r="E6080" s="1"/>
    </row>
    <row r="6081" ht="14.25" customHeight="1">
      <c r="A6081" s="1">
        <v>33.0</v>
      </c>
      <c r="B6081" s="1" t="s">
        <v>2669</v>
      </c>
      <c r="C6081" s="1">
        <v>0.0</v>
      </c>
      <c r="D6081" s="1" t="s">
        <v>6</v>
      </c>
      <c r="E6081" s="1"/>
    </row>
    <row r="6082" ht="14.25" customHeight="1">
      <c r="A6082" s="1">
        <v>100.0</v>
      </c>
      <c r="B6082" s="1" t="s">
        <v>2669</v>
      </c>
      <c r="C6082" s="1">
        <v>10.0</v>
      </c>
      <c r="D6082" s="2" t="s">
        <v>2756</v>
      </c>
      <c r="E6082" s="1" t="str">
        <f>IFERROR(__xludf.DUMMYFUNCTION("GOOGLETRANSLATE(D6082,""PT"",""EN"")"),"Sicoob is an institution would be, so I speak of the Sicoob family")</f>
        <v>Sicoob is an institution would be, so I speak of the Sicoob family</v>
      </c>
    </row>
    <row r="6083" ht="14.25" customHeight="1">
      <c r="A6083" s="1">
        <v>100.0</v>
      </c>
      <c r="B6083" s="1" t="s">
        <v>2669</v>
      </c>
      <c r="C6083" s="1">
        <v>10.0</v>
      </c>
      <c r="D6083" s="1" t="s">
        <v>6</v>
      </c>
      <c r="E6083" s="1"/>
    </row>
    <row r="6084" ht="14.25" customHeight="1">
      <c r="A6084" s="1">
        <v>100.0</v>
      </c>
      <c r="B6084" s="1" t="s">
        <v>2669</v>
      </c>
      <c r="C6084" s="1">
        <v>9.0</v>
      </c>
      <c r="D6084" s="1" t="s">
        <v>6</v>
      </c>
      <c r="E6084" s="1"/>
    </row>
    <row r="6085" ht="14.25" customHeight="1">
      <c r="A6085" s="1">
        <v>100.0</v>
      </c>
      <c r="B6085" s="1" t="s">
        <v>2669</v>
      </c>
      <c r="C6085" s="1">
        <v>10.0</v>
      </c>
      <c r="D6085" s="1" t="s">
        <v>2757</v>
      </c>
      <c r="E6085" s="1" t="str">
        <f>IFERROR(__xludf.DUMMYFUNCTION("GOOGLETRANSLATE(D6085,""PT"",""EN"")"),"good cater")</f>
        <v>good cater</v>
      </c>
    </row>
    <row r="6086" ht="14.25" customHeight="1">
      <c r="A6086" s="1">
        <v>66.0</v>
      </c>
      <c r="B6086" s="1" t="s">
        <v>2669</v>
      </c>
      <c r="C6086" s="1">
        <v>8.0</v>
      </c>
      <c r="D6086" s="2" t="s">
        <v>2758</v>
      </c>
      <c r="E6086" s="1" t="str">
        <f>IFERROR(__xludf.DUMMYFUNCTION("GOOGLETRANSLATE(D6086,""PT"",""EN"")"),"The care of the professionals who do not meet, with this institution")</f>
        <v>The care of the professionals who do not meet, with this institution</v>
      </c>
    </row>
    <row r="6087" ht="14.25" customHeight="1">
      <c r="A6087" s="1">
        <v>100.0</v>
      </c>
      <c r="B6087" s="1" t="s">
        <v>2669</v>
      </c>
      <c r="C6087" s="1">
        <v>10.0</v>
      </c>
      <c r="D6087" s="1" t="s">
        <v>2759</v>
      </c>
      <c r="E6087" s="1" t="str">
        <f>IFERROR(__xludf.DUMMYFUNCTION("GOOGLETRANSLATE(D6087,""PT"",""EN"")"),"EXCELENT RECEPTION")</f>
        <v>EXCELENT RECEPTION</v>
      </c>
    </row>
    <row r="6088" ht="14.25" customHeight="1">
      <c r="A6088" s="1">
        <v>100.0</v>
      </c>
      <c r="B6088" s="1" t="s">
        <v>2669</v>
      </c>
      <c r="C6088" s="1">
        <v>10.0</v>
      </c>
      <c r="D6088" s="2" t="s">
        <v>2760</v>
      </c>
      <c r="E6088" s="1" t="str">
        <f>IFERROR(__xludf.DUMMYFUNCTION("GOOGLETRANSLATE(D6088,""PT"",""EN"")"),"Just not having a queue is something.")</f>
        <v>Just not having a queue is something.</v>
      </c>
    </row>
    <row r="6089" ht="14.25" customHeight="1">
      <c r="A6089" s="1">
        <v>33.0</v>
      </c>
      <c r="B6089" s="1" t="s">
        <v>2669</v>
      </c>
      <c r="C6089" s="1">
        <v>5.0</v>
      </c>
      <c r="D6089" s="1" t="s">
        <v>2761</v>
      </c>
      <c r="E6089" s="1" t="str">
        <f>IFERROR(__xludf.DUMMYFUNCTION("GOOGLETRANSLATE(D6089,""PT"",""EN"")"),"It takes a long time to solve.")</f>
        <v>It takes a long time to solve.</v>
      </c>
    </row>
    <row r="6090" ht="14.25" customHeight="1">
      <c r="A6090" s="1">
        <v>66.0</v>
      </c>
      <c r="B6090" s="1" t="s">
        <v>2669</v>
      </c>
      <c r="C6090" s="1">
        <v>8.0</v>
      </c>
      <c r="D6090" s="2" t="s">
        <v>2762</v>
      </c>
      <c r="E6090" s="1" t="str">
        <f>IFERROR(__xludf.DUMMYFUNCTION("GOOGLETRANSLATE(D6090,""PT"",""EN"")"),"Understanding that there is a search for security in the bank transactions, but I think that the obligation to use mobile phone for many operations is not an essential requirement. Imposing the customer the use of mobile phone to do Terminal atm operation"&amp;"s is a personal risk exposure.")</f>
        <v>Understanding that there is a search for security in the bank transactions, but I think that the obligation to use mobile phone for many operations is not an essential requirement. Imposing the customer the use of mobile phone to do Terminal atm operations is a personal risk exposure.</v>
      </c>
    </row>
    <row r="6091" ht="14.25" customHeight="1">
      <c r="A6091" s="1">
        <v>100.0</v>
      </c>
      <c r="B6091" s="1" t="s">
        <v>2669</v>
      </c>
      <c r="C6091" s="1">
        <v>10.0</v>
      </c>
      <c r="D6091" s="1" t="s">
        <v>18</v>
      </c>
      <c r="E6091" s="1" t="str">
        <f>IFERROR(__xludf.DUMMYFUNCTION("GOOGLETRANSLATE(D6091,""PT"",""EN"")"),"Trust")</f>
        <v>Trust</v>
      </c>
    </row>
    <row r="6092" ht="14.25" customHeight="1">
      <c r="A6092" s="1">
        <v>100.0</v>
      </c>
      <c r="B6092" s="1" t="s">
        <v>2669</v>
      </c>
      <c r="C6092" s="1">
        <v>10.0</v>
      </c>
      <c r="D6092" s="1" t="s">
        <v>2763</v>
      </c>
      <c r="E6092" s="1" t="str">
        <f>IFERROR(__xludf.DUMMYFUNCTION("GOOGLETRANSLATE(D6092,""PT"",""EN"")"),"Negotiation")</f>
        <v>Negotiation</v>
      </c>
    </row>
    <row r="6093" ht="14.25" customHeight="1">
      <c r="A6093" s="1">
        <v>100.0</v>
      </c>
      <c r="B6093" s="1" t="s">
        <v>2669</v>
      </c>
      <c r="C6093" s="1">
        <v>10.0</v>
      </c>
      <c r="D6093" s="1" t="s">
        <v>85</v>
      </c>
      <c r="E6093" s="1" t="str">
        <f>IFERROR(__xludf.DUMMYFUNCTION("GOOGLETRANSLATE(D6093,""PT"",""EN"")"),"Service")</f>
        <v>Service</v>
      </c>
    </row>
    <row r="6094" ht="14.25" customHeight="1">
      <c r="A6094" s="1">
        <v>100.0</v>
      </c>
      <c r="B6094" s="1" t="s">
        <v>2669</v>
      </c>
      <c r="C6094" s="1">
        <v>10.0</v>
      </c>
      <c r="D6094" s="2" t="s">
        <v>2764</v>
      </c>
      <c r="E6094" s="1" t="str">
        <f>IFERROR(__xludf.DUMMYFUNCTION("GOOGLETRANSLATE(D6094,""PT"",""EN"")"),"It's a great bank")</f>
        <v>It's a great bank</v>
      </c>
    </row>
    <row r="6095" ht="14.25" customHeight="1">
      <c r="A6095" s="1">
        <v>100.0</v>
      </c>
      <c r="B6095" s="1" t="s">
        <v>2669</v>
      </c>
      <c r="C6095" s="1">
        <v>9.0</v>
      </c>
      <c r="D6095" s="2" t="s">
        <v>2765</v>
      </c>
      <c r="E6095" s="1" t="str">
        <f>IFERROR(__xludf.DUMMYFUNCTION("GOOGLETRANSLATE(D6095,""PT"",""EN"")"),"Personalized service is prompt.")</f>
        <v>Personalized service is prompt.</v>
      </c>
    </row>
    <row r="6096" ht="14.25" customHeight="1">
      <c r="A6096" s="1">
        <v>100.0</v>
      </c>
      <c r="B6096" s="1" t="s">
        <v>2669</v>
      </c>
      <c r="C6096" s="1">
        <v>10.0</v>
      </c>
      <c r="D6096" s="1" t="s">
        <v>6</v>
      </c>
      <c r="E6096" s="1"/>
    </row>
    <row r="6097" ht="14.25" customHeight="1">
      <c r="A6097" s="1">
        <v>66.0</v>
      </c>
      <c r="B6097" s="1" t="s">
        <v>2669</v>
      </c>
      <c r="C6097" s="1">
        <v>8.0</v>
      </c>
      <c r="D6097" s="1" t="s">
        <v>2766</v>
      </c>
      <c r="E6097" s="1" t="str">
        <f>IFERROR(__xludf.DUMMYFUNCTION("GOOGLETRANSLATE(D6097,""PT"",""EN"")"),"It is on the way but there is much to evolve yet.")</f>
        <v>It is on the way but there is much to evolve yet.</v>
      </c>
    </row>
    <row r="6098" ht="14.25" customHeight="1">
      <c r="A6098" s="1">
        <v>100.0</v>
      </c>
      <c r="B6098" s="1" t="s">
        <v>2669</v>
      </c>
      <c r="C6098" s="1">
        <v>10.0</v>
      </c>
      <c r="D6098" s="1" t="s">
        <v>6</v>
      </c>
      <c r="E6098" s="1"/>
    </row>
    <row r="6099" ht="14.25" customHeight="1">
      <c r="A6099" s="1">
        <v>100.0</v>
      </c>
      <c r="B6099" s="1" t="s">
        <v>2669</v>
      </c>
      <c r="C6099" s="1">
        <v>10.0</v>
      </c>
      <c r="D6099" s="1" t="s">
        <v>6</v>
      </c>
      <c r="E6099" s="1"/>
    </row>
    <row r="6100" ht="14.25" customHeight="1">
      <c r="A6100" s="1">
        <v>33.0</v>
      </c>
      <c r="B6100" s="1" t="s">
        <v>2669</v>
      </c>
      <c r="C6100" s="1">
        <v>0.0</v>
      </c>
      <c r="D6100" s="2" t="s">
        <v>2767</v>
      </c>
      <c r="E6100" s="1" t="str">
        <f>IFERROR(__xludf.DUMMYFUNCTION("GOOGLETRANSLATE(D6100,""PT"",""EN"")"),"Service does not hear us, just talk bullshit")</f>
        <v>Service does not hear us, just talk bullshit</v>
      </c>
    </row>
    <row r="6101" ht="14.25" customHeight="1">
      <c r="A6101" s="1">
        <v>66.0</v>
      </c>
      <c r="B6101" s="1" t="s">
        <v>2669</v>
      </c>
      <c r="C6101" s="1">
        <v>8.0</v>
      </c>
      <c r="D6101" s="1" t="s">
        <v>6</v>
      </c>
      <c r="E6101" s="1"/>
    </row>
    <row r="6102" ht="14.25" customHeight="1">
      <c r="A6102" s="1">
        <v>100.0</v>
      </c>
      <c r="B6102" s="1" t="s">
        <v>2669</v>
      </c>
      <c r="C6102" s="1">
        <v>10.0</v>
      </c>
      <c r="D6102" s="1" t="s">
        <v>6</v>
      </c>
      <c r="E6102" s="1"/>
    </row>
    <row r="6103" ht="14.25" customHeight="1">
      <c r="A6103" s="1">
        <v>100.0</v>
      </c>
      <c r="B6103" s="1" t="s">
        <v>2669</v>
      </c>
      <c r="C6103" s="1">
        <v>9.0</v>
      </c>
      <c r="D6103" s="1" t="s">
        <v>6</v>
      </c>
      <c r="E6103" s="1"/>
    </row>
    <row r="6104" ht="14.25" customHeight="1">
      <c r="A6104" s="1">
        <v>100.0</v>
      </c>
      <c r="B6104" s="1" t="s">
        <v>2669</v>
      </c>
      <c r="C6104" s="1">
        <v>10.0</v>
      </c>
      <c r="D6104" s="1" t="s">
        <v>2768</v>
      </c>
      <c r="E6104" s="1" t="str">
        <f>IFERROR(__xludf.DUMMYFUNCTION("GOOGLETRANSLATE(D6104,""PT"",""EN"")"),"Because it is an association")</f>
        <v>Because it is an association</v>
      </c>
    </row>
    <row r="6105" ht="14.25" customHeight="1">
      <c r="A6105" s="1">
        <v>100.0</v>
      </c>
      <c r="B6105" s="1" t="s">
        <v>2669</v>
      </c>
      <c r="C6105" s="1">
        <v>10.0</v>
      </c>
      <c r="D6105" s="1" t="s">
        <v>6</v>
      </c>
      <c r="E6105" s="1"/>
    </row>
    <row r="6106" ht="14.25" customHeight="1">
      <c r="A6106" s="1">
        <v>33.0</v>
      </c>
      <c r="B6106" s="1" t="s">
        <v>2669</v>
      </c>
      <c r="C6106" s="1">
        <v>5.0</v>
      </c>
      <c r="D6106" s="2" t="s">
        <v>2769</v>
      </c>
      <c r="E6106" s="1" t="str">
        <f>IFERROR(__xludf.DUMMYFUNCTION("GOOGLETRANSLATE(D6106,""PT"",""EN"")"),"Very complicated to solve things in this bank. Everything that will be resolved has to call. Banks in the capitals have no autonomy to do much")</f>
        <v>Very complicated to solve things in this bank. Everything that will be resolved has to call. Banks in the capitals have no autonomy to do much</v>
      </c>
    </row>
    <row r="6107" ht="14.25" customHeight="1">
      <c r="A6107" s="1">
        <v>100.0</v>
      </c>
      <c r="B6107" s="1" t="s">
        <v>2669</v>
      </c>
      <c r="C6107" s="1">
        <v>10.0</v>
      </c>
      <c r="D6107" s="1" t="s">
        <v>6</v>
      </c>
      <c r="E6107" s="1"/>
    </row>
    <row r="6108" ht="14.25" customHeight="1">
      <c r="A6108" s="1">
        <v>100.0</v>
      </c>
      <c r="B6108" s="1" t="s">
        <v>2669</v>
      </c>
      <c r="C6108" s="1">
        <v>9.0</v>
      </c>
      <c r="D6108" s="2" t="s">
        <v>2770</v>
      </c>
      <c r="E6108" s="1" t="str">
        <f>IFERROR(__xludf.DUMMYFUNCTION("GOOGLETRANSLATE(D6108,""PT"",""EN"")"),"Agility in treatment with customers is rapid resolution of problems")</f>
        <v>Agility in treatment with customers is rapid resolution of problems</v>
      </c>
    </row>
    <row r="6109" ht="14.25" customHeight="1">
      <c r="A6109" s="1">
        <v>33.0</v>
      </c>
      <c r="B6109" s="1" t="s">
        <v>2669</v>
      </c>
      <c r="C6109" s="1">
        <v>1.0</v>
      </c>
      <c r="D6109" s="2" t="s">
        <v>2771</v>
      </c>
      <c r="E6109" s="1" t="str">
        <f>IFERROR(__xludf.DUMMYFUNCTION("GOOGLETRANSLATE(D6109,""PT"",""EN"")"),"Horrible! Even with account movement, without any restrictions, high score, it is not released any limit. While other banks that opened, have already sent with a high limit.")</f>
        <v>Horrible! Even with account movement, without any restrictions, high score, it is not released any limit. While other banks that opened, have already sent with a high limit.</v>
      </c>
    </row>
    <row r="6110" ht="14.25" customHeight="1">
      <c r="A6110" s="1">
        <v>100.0</v>
      </c>
      <c r="B6110" s="1" t="s">
        <v>2669</v>
      </c>
      <c r="C6110" s="1">
        <v>10.0</v>
      </c>
      <c r="D6110" s="1" t="s">
        <v>6</v>
      </c>
      <c r="E6110" s="1"/>
    </row>
    <row r="6111" ht="14.25" customHeight="1">
      <c r="A6111" s="1">
        <v>66.0</v>
      </c>
      <c r="B6111" s="1" t="s">
        <v>2669</v>
      </c>
      <c r="C6111" s="1">
        <v>8.0</v>
      </c>
      <c r="D6111" s="1" t="s">
        <v>6</v>
      </c>
      <c r="E6111" s="1"/>
    </row>
    <row r="6112" ht="14.25" customHeight="1">
      <c r="A6112" s="1">
        <v>100.0</v>
      </c>
      <c r="B6112" s="1" t="s">
        <v>2669</v>
      </c>
      <c r="C6112" s="1">
        <v>10.0</v>
      </c>
      <c r="D6112" s="1" t="s">
        <v>6</v>
      </c>
      <c r="E6112" s="1"/>
    </row>
    <row r="6113" ht="14.25" customHeight="1">
      <c r="A6113" s="1">
        <v>100.0</v>
      </c>
      <c r="B6113" s="1" t="s">
        <v>2669</v>
      </c>
      <c r="C6113" s="1">
        <v>10.0</v>
      </c>
      <c r="D6113" s="1" t="s">
        <v>6</v>
      </c>
      <c r="E6113" s="1"/>
    </row>
    <row r="6114" ht="14.25" customHeight="1">
      <c r="A6114" s="1">
        <v>100.0</v>
      </c>
      <c r="B6114" s="1" t="s">
        <v>2669</v>
      </c>
      <c r="C6114" s="1">
        <v>10.0</v>
      </c>
      <c r="D6114" s="1" t="s">
        <v>6</v>
      </c>
      <c r="E6114" s="1"/>
    </row>
    <row r="6115" ht="14.25" customHeight="1">
      <c r="A6115" s="1">
        <v>33.0</v>
      </c>
      <c r="B6115" s="1" t="s">
        <v>2669</v>
      </c>
      <c r="C6115" s="1">
        <v>5.0</v>
      </c>
      <c r="D6115" s="2" t="s">
        <v>2772</v>
      </c>
      <c r="E6115" s="1" t="str">
        <f>IFERROR(__xludf.DUMMYFUNCTION("GOOGLETRANSLATE(D6115,""PT"",""EN"")"),"Too bureaucratic for loan release.")</f>
        <v>Too bureaucratic for loan release.</v>
      </c>
    </row>
    <row r="6116" ht="14.25" customHeight="1">
      <c r="A6116" s="1">
        <v>100.0</v>
      </c>
      <c r="B6116" s="1" t="s">
        <v>2669</v>
      </c>
      <c r="C6116" s="1">
        <v>10.0</v>
      </c>
      <c r="D6116" s="1" t="s">
        <v>6</v>
      </c>
      <c r="E6116" s="1"/>
    </row>
    <row r="6117" ht="14.25" customHeight="1">
      <c r="A6117" s="1">
        <v>100.0</v>
      </c>
      <c r="B6117" s="1" t="s">
        <v>2669</v>
      </c>
      <c r="C6117" s="1">
        <v>10.0</v>
      </c>
      <c r="D6117" s="1" t="s">
        <v>6</v>
      </c>
      <c r="E6117" s="1"/>
    </row>
    <row r="6118" ht="14.25" customHeight="1">
      <c r="A6118" s="1">
        <v>100.0</v>
      </c>
      <c r="B6118" s="1" t="s">
        <v>2669</v>
      </c>
      <c r="C6118" s="1">
        <v>10.0</v>
      </c>
      <c r="D6118" s="1" t="s">
        <v>6</v>
      </c>
      <c r="E6118" s="1"/>
    </row>
    <row r="6119" ht="14.25" customHeight="1">
      <c r="A6119" s="1">
        <v>33.0</v>
      </c>
      <c r="B6119" s="1" t="s">
        <v>2669</v>
      </c>
      <c r="C6119" s="1">
        <v>3.0</v>
      </c>
      <c r="D6119" s="1" t="s">
        <v>2773</v>
      </c>
      <c r="E6119" s="1" t="str">
        <f>IFERROR(__xludf.DUMMYFUNCTION("GOOGLETRANSLATE(D6119,""PT"",""EN"")"),"very bad site")</f>
        <v>very bad site</v>
      </c>
    </row>
    <row r="6120" ht="14.25" customHeight="1">
      <c r="A6120" s="1">
        <v>100.0</v>
      </c>
      <c r="B6120" s="1" t="s">
        <v>2669</v>
      </c>
      <c r="C6120" s="1">
        <v>10.0</v>
      </c>
      <c r="D6120" s="1" t="s">
        <v>6</v>
      </c>
      <c r="E6120" s="1"/>
    </row>
    <row r="6121" ht="14.25" customHeight="1">
      <c r="A6121" s="1">
        <v>100.0</v>
      </c>
      <c r="B6121" s="1" t="s">
        <v>2669</v>
      </c>
      <c r="C6121" s="1">
        <v>10.0</v>
      </c>
      <c r="D6121" s="2" t="s">
        <v>2774</v>
      </c>
      <c r="E6121" s="1" t="str">
        <f>IFERROR(__xludf.DUMMYFUNCTION("GOOGLETRANSLATE(D6121,""PT"",""EN"")"),"ATTENTION IS PERSONALIZATION IN THE SERVICE")</f>
        <v>ATTENTION IS PERSONALIZATION IN THE SERVICE</v>
      </c>
    </row>
    <row r="6122" ht="14.25" customHeight="1">
      <c r="A6122" s="1">
        <v>66.0</v>
      </c>
      <c r="B6122" s="1" t="s">
        <v>2669</v>
      </c>
      <c r="C6122" s="1">
        <v>8.0</v>
      </c>
      <c r="D6122" s="1" t="s">
        <v>6</v>
      </c>
      <c r="E6122" s="1"/>
    </row>
    <row r="6123" ht="14.25" customHeight="1">
      <c r="A6123" s="1">
        <v>100.0</v>
      </c>
      <c r="B6123" s="1" t="s">
        <v>2669</v>
      </c>
      <c r="C6123" s="1">
        <v>10.0</v>
      </c>
      <c r="D6123" s="1" t="s">
        <v>2775</v>
      </c>
      <c r="E6123" s="1" t="str">
        <f>IFERROR(__xludf.DUMMYFUNCTION("GOOGLETRANSLATE(D6123,""PT"",""EN"")"),"Personalized service of manager Karoline")</f>
        <v>Personalized service of manager Karoline</v>
      </c>
    </row>
    <row r="6124" ht="14.25" customHeight="1">
      <c r="A6124" s="1">
        <v>100.0</v>
      </c>
      <c r="B6124" s="1" t="s">
        <v>2669</v>
      </c>
      <c r="C6124" s="1">
        <v>10.0</v>
      </c>
      <c r="D6124" s="1" t="s">
        <v>6</v>
      </c>
      <c r="E6124" s="1"/>
    </row>
    <row r="6125" ht="14.25" customHeight="1">
      <c r="A6125" s="1">
        <v>100.0</v>
      </c>
      <c r="B6125" s="1" t="s">
        <v>2669</v>
      </c>
      <c r="C6125" s="1">
        <v>10.0</v>
      </c>
      <c r="D6125" s="2" t="s">
        <v>2776</v>
      </c>
      <c r="E6125" s="1" t="str">
        <f>IFERROR(__xludf.DUMMYFUNCTION("GOOGLETRANSLATE(D6125,""PT"",""EN"")"),"Easy I had in physical account openings is business, even without fee.")</f>
        <v>Easy I had in physical account openings is business, even without fee.</v>
      </c>
    </row>
    <row r="6126" ht="14.25" customHeight="1">
      <c r="A6126" s="1">
        <v>33.0</v>
      </c>
      <c r="B6126" s="1" t="s">
        <v>2669</v>
      </c>
      <c r="C6126" s="1">
        <v>0.0</v>
      </c>
      <c r="D6126" s="1" t="s">
        <v>6</v>
      </c>
      <c r="E6126" s="1"/>
    </row>
    <row r="6127" ht="14.25" customHeight="1">
      <c r="A6127" s="1">
        <v>66.0</v>
      </c>
      <c r="B6127" s="1" t="s">
        <v>2669</v>
      </c>
      <c r="C6127" s="1">
        <v>8.0</v>
      </c>
      <c r="D6127" s="2" t="s">
        <v>2777</v>
      </c>
      <c r="E6127" s="1" t="str">
        <f>IFERROR(__xludf.DUMMYFUNCTION("GOOGLETRANSLATE(D6127,""PT"",""EN"")"),"For the bureaucracy. Every time I need something I have to update registration and the data did not change")</f>
        <v>For the bureaucracy. Every time I need something I have to update registration and the data did not change</v>
      </c>
    </row>
    <row r="6128" ht="14.25" customHeight="1">
      <c r="A6128" s="1">
        <v>33.0</v>
      </c>
      <c r="B6128" s="1" t="s">
        <v>2669</v>
      </c>
      <c r="C6128" s="1">
        <v>6.0</v>
      </c>
      <c r="D6128" s="2" t="s">
        <v>2778</v>
      </c>
      <c r="E6128" s="1" t="str">
        <f>IFERROR(__xludf.DUMMYFUNCTION("GOOGLETRANSLATE(D6128,""PT"",""EN"")"),"Time consuming. It's been almost a week since I request a payroll it's so far nothing. Before it was practically the same day. I will end up doing it in another bank, just as I did before. In Whatsapp is also a winding, everything takes time, has to reque"&amp;"st several times the same thing, the attendant seems to forget what is being requested. I miss the service that was given prior to its associates, where we were answered quickly, without having to say what was requesting credit. If you have a margin for c"&amp;"redit, what is this rolling?")</f>
        <v>Time consuming. It's been almost a week since I request a payroll it's so far nothing. Before it was practically the same day. I will end up doing it in another bank, just as I did before. In Whatsapp is also a winding, everything takes time, has to request several times the same thing, the attendant seems to forget what is being requested. I miss the service that was given prior to its associates, where we were answered quickly, without having to say what was requesting credit. If you have a margin for credit, what is this rolling?</v>
      </c>
    </row>
    <row r="6129" ht="14.25" customHeight="1">
      <c r="A6129" s="1">
        <v>100.0</v>
      </c>
      <c r="B6129" s="1" t="s">
        <v>2669</v>
      </c>
      <c r="C6129" s="1">
        <v>9.0</v>
      </c>
      <c r="D6129" s="1" t="s">
        <v>505</v>
      </c>
      <c r="E6129" s="1" t="str">
        <f>IFERROR(__xludf.DUMMYFUNCTION("GOOGLETRANSLATE(D6129,""PT"",""EN"")"),"9")</f>
        <v>9</v>
      </c>
    </row>
    <row r="6130" ht="14.25" customHeight="1">
      <c r="A6130" s="1">
        <v>100.0</v>
      </c>
      <c r="B6130" s="1" t="s">
        <v>2669</v>
      </c>
      <c r="C6130" s="1">
        <v>10.0</v>
      </c>
      <c r="D6130" s="2" t="s">
        <v>2779</v>
      </c>
      <c r="E6130" s="1" t="str">
        <f>IFERROR(__xludf.DUMMYFUNCTION("GOOGLETRANSLATE(D6130,""PT"",""EN"")"),"Why are the educated ones I am answered soon")</f>
        <v>Why are the educated ones I am answered soon</v>
      </c>
    </row>
    <row r="6131" ht="14.25" customHeight="1">
      <c r="A6131" s="1">
        <v>100.0</v>
      </c>
      <c r="B6131" s="1" t="s">
        <v>2669</v>
      </c>
      <c r="C6131" s="1">
        <v>10.0</v>
      </c>
      <c r="D6131" s="1" t="s">
        <v>2780</v>
      </c>
      <c r="E6131" s="1" t="str">
        <f>IFERROR(__xludf.DUMMYFUNCTION("GOOGLETRANSLATE(D6131,""PT"",""EN"")"),"Promptness in the service.")</f>
        <v>Promptness in the service.</v>
      </c>
    </row>
    <row r="6132" ht="14.25" customHeight="1">
      <c r="A6132" s="1">
        <v>100.0</v>
      </c>
      <c r="B6132" s="1" t="s">
        <v>2669</v>
      </c>
      <c r="C6132" s="1">
        <v>10.0</v>
      </c>
      <c r="D6132" s="2" t="s">
        <v>2781</v>
      </c>
      <c r="E6132" s="1" t="str">
        <f>IFERROR(__xludf.DUMMYFUNCTION("GOOGLETRANSLATE(D6132,""PT"",""EN"")"),"I like Sicoob's products from the service, even virtual")</f>
        <v>I like Sicoob's products from the service, even virtual</v>
      </c>
    </row>
    <row r="6133" ht="14.25" customHeight="1">
      <c r="A6133" s="1">
        <v>100.0</v>
      </c>
      <c r="B6133" s="1" t="s">
        <v>2669</v>
      </c>
      <c r="C6133" s="1">
        <v>10.0</v>
      </c>
      <c r="D6133" s="2" t="s">
        <v>2782</v>
      </c>
      <c r="E6133" s="1" t="str">
        <f>IFERROR(__xludf.DUMMYFUNCTION("GOOGLETRANSLATE(D6133,""PT"",""EN"")"),"Easy relationship, fewer fees is greater dedicated customer attention.")</f>
        <v>Easy relationship, fewer fees is greater dedicated customer attention.</v>
      </c>
    </row>
    <row r="6134" ht="14.25" customHeight="1">
      <c r="A6134" s="1">
        <v>100.0</v>
      </c>
      <c r="B6134" s="1" t="s">
        <v>2669</v>
      </c>
      <c r="C6134" s="1">
        <v>9.0</v>
      </c>
      <c r="D6134" s="1" t="s">
        <v>6</v>
      </c>
      <c r="E6134" s="1"/>
    </row>
    <row r="6135" ht="14.25" customHeight="1">
      <c r="A6135" s="1">
        <v>33.0</v>
      </c>
      <c r="B6135" s="1" t="s">
        <v>2669</v>
      </c>
      <c r="C6135" s="1">
        <v>1.0</v>
      </c>
      <c r="D6135" s="2" t="s">
        <v>2783</v>
      </c>
      <c r="E6135" s="1" t="str">
        <f>IFERROR(__xludf.DUMMYFUNCTION("GOOGLETRANSLATE(D6135,""PT"",""EN"")"),"Improve benefit")</f>
        <v>Improve benefit</v>
      </c>
    </row>
    <row r="6136" ht="14.25" customHeight="1">
      <c r="A6136" s="1">
        <v>33.0</v>
      </c>
      <c r="B6136" s="1" t="s">
        <v>2669</v>
      </c>
      <c r="C6136" s="1">
        <v>4.0</v>
      </c>
      <c r="D6136" s="2" t="s">
        <v>2784</v>
      </c>
      <c r="E6136" s="1" t="str">
        <f>IFERROR(__xludf.DUMMYFUNCTION("GOOGLETRANSLATE(D6136,""PT"",""EN"")"),"I think the service got worse after it turned online, the chat takes too long every time the limit falls, a very low transaction limit, all m6 we have to release international card, excess safety that does not match the practicality that a current bank sh"&amp;"ould have.")</f>
        <v>I think the service got worse after it turned online, the chat takes too long every time the limit falls, a very low transaction limit, all m6 we have to release international card, excess safety that does not match the practicality that a current bank should have.</v>
      </c>
    </row>
    <row r="6137" ht="14.25" customHeight="1">
      <c r="A6137" s="1">
        <v>100.0</v>
      </c>
      <c r="B6137" s="1" t="s">
        <v>2669</v>
      </c>
      <c r="C6137" s="1">
        <v>10.0</v>
      </c>
      <c r="D6137" s="2" t="s">
        <v>2785</v>
      </c>
      <c r="E6137" s="1" t="str">
        <f>IFERROR(__xludf.DUMMYFUNCTION("GOOGLETRANSLATE(D6137,""PT"",""EN"")"),"I am always well attended to problems with agility is clarity.")</f>
        <v>I am always well attended to problems with agility is clarity.</v>
      </c>
    </row>
    <row r="6138" ht="14.25" customHeight="1">
      <c r="A6138" s="1">
        <v>100.0</v>
      </c>
      <c r="B6138" s="1" t="s">
        <v>2669</v>
      </c>
      <c r="C6138" s="1">
        <v>10.0</v>
      </c>
      <c r="D6138" s="1" t="s">
        <v>571</v>
      </c>
      <c r="E6138" s="1" t="str">
        <f>IFERROR(__xludf.DUMMYFUNCTION("GOOGLETRANSLATE(D6138,""PT"",""EN"")"),"The service")</f>
        <v>The service</v>
      </c>
    </row>
    <row r="6139" ht="14.25" customHeight="1">
      <c r="A6139" s="1">
        <v>100.0</v>
      </c>
      <c r="B6139" s="1" t="s">
        <v>2669</v>
      </c>
      <c r="C6139" s="1">
        <v>10.0</v>
      </c>
      <c r="D6139" s="1" t="s">
        <v>6</v>
      </c>
      <c r="E6139" s="1"/>
    </row>
    <row r="6140" ht="14.25" customHeight="1">
      <c r="A6140" s="1">
        <v>100.0</v>
      </c>
      <c r="B6140" s="1" t="s">
        <v>2669</v>
      </c>
      <c r="C6140" s="1">
        <v>10.0</v>
      </c>
      <c r="D6140" s="1" t="s">
        <v>6</v>
      </c>
      <c r="E6140" s="1"/>
    </row>
    <row r="6141" ht="14.25" customHeight="1">
      <c r="A6141" s="1">
        <v>33.0</v>
      </c>
      <c r="B6141" s="1" t="s">
        <v>2669</v>
      </c>
      <c r="C6141" s="1">
        <v>0.0</v>
      </c>
      <c r="D6141" s="1" t="s">
        <v>6</v>
      </c>
      <c r="E6141" s="1"/>
    </row>
    <row r="6142" ht="14.25" customHeight="1">
      <c r="A6142" s="1">
        <v>100.0</v>
      </c>
      <c r="B6142" s="1" t="s">
        <v>2669</v>
      </c>
      <c r="C6142" s="1">
        <v>10.0</v>
      </c>
      <c r="D6142" s="2" t="s">
        <v>2786</v>
      </c>
      <c r="E6142" s="1" t="str">
        <f>IFERROR(__xludf.DUMMYFUNCTION("GOOGLETRANSLATE(D6142,""PT"",""EN"")"),"I have excellent relationship with Sicoob/Crediiembrapa, every time I use demands I am always very well met! Auta quality service! Would not exchange for another bank. Therefore the grade 10 for recommendation.")</f>
        <v>I have excellent relationship with Sicoob/Crediiembrapa, every time I use demands I am always very well met! Auta quality service! Would not exchange for another bank. Therefore the grade 10 for recommendation.</v>
      </c>
    </row>
    <row r="6143" ht="14.25" customHeight="1">
      <c r="A6143" s="1">
        <v>100.0</v>
      </c>
      <c r="B6143" s="1" t="s">
        <v>2669</v>
      </c>
      <c r="C6143" s="1">
        <v>9.0</v>
      </c>
      <c r="D6143" s="2" t="s">
        <v>2787</v>
      </c>
      <c r="E6143" s="1" t="str">
        <f>IFERROR(__xludf.DUMMYFUNCTION("GOOGLETRANSLATE(D6143,""PT"",""EN"")"),"Respectful institution, without much bureaucracy is more affordable rates is with all the advantages of a bank.")</f>
        <v>Respectful institution, without much bureaucracy is more affordable rates is with all the advantages of a bank.</v>
      </c>
    </row>
    <row r="6144" ht="14.25" customHeight="1">
      <c r="A6144" s="1">
        <v>100.0</v>
      </c>
      <c r="B6144" s="1" t="s">
        <v>2669</v>
      </c>
      <c r="C6144" s="1">
        <v>10.0</v>
      </c>
      <c r="D6144" s="2" t="s">
        <v>2788</v>
      </c>
      <c r="E6144" s="1" t="str">
        <f>IFERROR(__xludf.DUMMYFUNCTION("GOOGLETRANSLATE(D6144,""PT"",""EN"")"),"For the commitment that Sicoob has provided, good service is agility in the services provided.")</f>
        <v>For the commitment that Sicoob has provided, good service is agility in the services provided.</v>
      </c>
    </row>
    <row r="6145" ht="14.25" customHeight="1">
      <c r="A6145" s="1">
        <v>33.0</v>
      </c>
      <c r="B6145" s="1" t="s">
        <v>2669</v>
      </c>
      <c r="C6145" s="1">
        <v>0.0</v>
      </c>
      <c r="D6145" s="2" t="s">
        <v>2789</v>
      </c>
      <c r="E6145" s="1" t="str">
        <f>IFERROR(__xludf.DUMMYFUNCTION("GOOGLETRANSLATE(D6145,""PT"",""EN"")"),"I needed an information was I was badly attended, I don't get extract")</f>
        <v>I needed an information was I was badly attended, I don't get extract</v>
      </c>
    </row>
    <row r="6146" ht="14.25" customHeight="1">
      <c r="A6146" s="1">
        <v>100.0</v>
      </c>
      <c r="B6146" s="1" t="s">
        <v>2669</v>
      </c>
      <c r="C6146" s="1">
        <v>9.0</v>
      </c>
      <c r="D6146" s="2" t="s">
        <v>2790</v>
      </c>
      <c r="E6146" s="1" t="str">
        <f>IFERROR(__xludf.DUMMYFUNCTION("GOOGLETRANSLATE(D6146,""PT"",""EN"")"),"Good service is attractive services")</f>
        <v>Good service is attractive services</v>
      </c>
    </row>
    <row r="6147" ht="14.25" customHeight="1">
      <c r="A6147" s="1">
        <v>33.0</v>
      </c>
      <c r="B6147" s="1" t="s">
        <v>2669</v>
      </c>
      <c r="C6147" s="1">
        <v>3.0</v>
      </c>
      <c r="D6147" s="1" t="s">
        <v>6</v>
      </c>
      <c r="E6147" s="1"/>
    </row>
    <row r="6148" ht="14.25" customHeight="1">
      <c r="A6148" s="1">
        <v>100.0</v>
      </c>
      <c r="B6148" s="1" t="s">
        <v>2669</v>
      </c>
      <c r="C6148" s="1">
        <v>10.0</v>
      </c>
      <c r="D6148" s="1" t="s">
        <v>2791</v>
      </c>
      <c r="E6148" s="1" t="str">
        <f>IFERROR(__xludf.DUMMYFUNCTION("GOOGLETRANSLATE(D6148,""PT"",""EN"")"),"Quality in service.")</f>
        <v>Quality in service.</v>
      </c>
    </row>
    <row r="6149" ht="14.25" customHeight="1">
      <c r="A6149" s="1">
        <v>66.0</v>
      </c>
      <c r="B6149" s="1" t="s">
        <v>2669</v>
      </c>
      <c r="C6149" s="1">
        <v>7.0</v>
      </c>
      <c r="D6149" s="1" t="s">
        <v>2792</v>
      </c>
      <c r="E6149" s="1" t="str">
        <f>IFERROR(__xludf.DUMMYFUNCTION("GOOGLETRANSLATE(D6149,""PT"",""EN"")"),"The delay for response")</f>
        <v>The delay for response</v>
      </c>
    </row>
    <row r="6150" ht="14.25" customHeight="1">
      <c r="A6150" s="1">
        <v>100.0</v>
      </c>
      <c r="B6150" s="1" t="s">
        <v>2669</v>
      </c>
      <c r="C6150" s="1">
        <v>10.0</v>
      </c>
      <c r="D6150" s="1" t="s">
        <v>2793</v>
      </c>
      <c r="E6150" s="1" t="str">
        <f>IFERROR(__xludf.DUMMYFUNCTION("GOOGLETRANSLATE(D6150,""PT"",""EN"")"),"For excellence in providing services in every way.")</f>
        <v>For excellence in providing services in every way.</v>
      </c>
    </row>
    <row r="6151" ht="14.25" customHeight="1">
      <c r="A6151" s="1">
        <v>100.0</v>
      </c>
      <c r="B6151" s="1" t="s">
        <v>2669</v>
      </c>
      <c r="C6151" s="1">
        <v>10.0</v>
      </c>
      <c r="D6151" s="2" t="s">
        <v>2794</v>
      </c>
      <c r="E6151" s="1" t="str">
        <f>IFERROR(__xludf.DUMMYFUNCTION("GOOGLETRANSLATE(D6151,""PT"",""EN"")"),"Good products is the ease of operating with Sicoob")</f>
        <v>Good products is the ease of operating with Sicoob</v>
      </c>
    </row>
    <row r="6152" ht="14.25" customHeight="1">
      <c r="A6152" s="1">
        <v>100.0</v>
      </c>
      <c r="B6152" s="1" t="s">
        <v>2669</v>
      </c>
      <c r="C6152" s="1">
        <v>10.0</v>
      </c>
      <c r="D6152" s="1" t="s">
        <v>6</v>
      </c>
      <c r="E6152" s="1"/>
    </row>
    <row r="6153" ht="14.25" customHeight="1">
      <c r="A6153" s="1">
        <v>100.0</v>
      </c>
      <c r="B6153" s="1" t="s">
        <v>2669</v>
      </c>
      <c r="C6153" s="1">
        <v>10.0</v>
      </c>
      <c r="D6153" s="1" t="s">
        <v>6</v>
      </c>
      <c r="E6153" s="1"/>
    </row>
    <row r="6154" ht="14.25" customHeight="1">
      <c r="A6154" s="1">
        <v>100.0</v>
      </c>
      <c r="B6154" s="1" t="s">
        <v>2669</v>
      </c>
      <c r="C6154" s="1">
        <v>10.0</v>
      </c>
      <c r="D6154" s="2" t="s">
        <v>2795</v>
      </c>
      <c r="E6154" s="1" t="str">
        <f>IFERROR(__xludf.DUMMYFUNCTION("GOOGLETRANSLATE(D6154,""PT"",""EN"")"),"The service is great but the release of emergency loan is time consuming")</f>
        <v>The service is great but the release of emergency loan is time consuming</v>
      </c>
    </row>
    <row r="6155" ht="14.25" customHeight="1">
      <c r="A6155" s="1">
        <v>100.0</v>
      </c>
      <c r="B6155" s="1" t="s">
        <v>2669</v>
      </c>
      <c r="C6155" s="1">
        <v>9.0</v>
      </c>
      <c r="D6155" s="1" t="s">
        <v>6</v>
      </c>
      <c r="E6155" s="1"/>
    </row>
    <row r="6156" ht="14.25" customHeight="1">
      <c r="A6156" s="1">
        <v>100.0</v>
      </c>
      <c r="B6156" s="1" t="s">
        <v>2669</v>
      </c>
      <c r="C6156" s="1">
        <v>10.0</v>
      </c>
      <c r="D6156" s="1" t="s">
        <v>2148</v>
      </c>
      <c r="E6156" s="1" t="str">
        <f>IFERROR(__xludf.DUMMYFUNCTION("GOOGLETRANSLATE(D6156,""PT"",""EN"")"),"Excellent bank")</f>
        <v>Excellent bank</v>
      </c>
    </row>
    <row r="6157" ht="14.25" customHeight="1">
      <c r="A6157" s="1">
        <v>100.0</v>
      </c>
      <c r="B6157" s="1" t="s">
        <v>2669</v>
      </c>
      <c r="C6157" s="1">
        <v>10.0</v>
      </c>
      <c r="D6157" s="1" t="s">
        <v>2796</v>
      </c>
      <c r="E6157" s="1" t="str">
        <f>IFERROR(__xludf.DUMMYFUNCTION("GOOGLETRANSLATE(D6157,""PT"",""EN"")"),"Consistency, values, fees an excellent financial institution.")</f>
        <v>Consistency, values, fees an excellent financial institution.</v>
      </c>
    </row>
    <row r="6158" ht="14.25" customHeight="1">
      <c r="A6158" s="1">
        <v>100.0</v>
      </c>
      <c r="B6158" s="1" t="s">
        <v>2669</v>
      </c>
      <c r="C6158" s="1">
        <v>10.0</v>
      </c>
      <c r="D6158" s="1" t="s">
        <v>6</v>
      </c>
      <c r="E6158" s="1"/>
    </row>
    <row r="6159" ht="14.25" customHeight="1">
      <c r="A6159" s="1">
        <v>100.0</v>
      </c>
      <c r="B6159" s="1" t="s">
        <v>2669</v>
      </c>
      <c r="C6159" s="1">
        <v>10.0</v>
      </c>
      <c r="D6159" s="1" t="s">
        <v>2797</v>
      </c>
      <c r="E6159" s="1" t="str">
        <f>IFERROR(__xludf.DUMMYFUNCTION("GOOGLETRANSLATE(D6159,""PT"",""EN"")"),"All my requests are fully fulfilled!")</f>
        <v>All my requests are fully fulfilled!</v>
      </c>
    </row>
    <row r="6160" ht="14.25" customHeight="1">
      <c r="A6160" s="1">
        <v>66.0</v>
      </c>
      <c r="B6160" s="1" t="s">
        <v>2669</v>
      </c>
      <c r="C6160" s="1">
        <v>8.0</v>
      </c>
      <c r="D6160" s="2" t="s">
        <v>2798</v>
      </c>
      <c r="E6160" s="1" t="str">
        <f>IFERROR(__xludf.DUMMYFUNCTION("GOOGLETRANSLATE(D6160,""PT"",""EN"")"),"I did not completely use Sicoob's total services, only paid the funeral aid.")</f>
        <v>I did not completely use Sicoob's total services, only paid the funeral aid.</v>
      </c>
    </row>
    <row r="6161" ht="14.25" customHeight="1">
      <c r="A6161" s="1">
        <v>100.0</v>
      </c>
      <c r="B6161" s="1" t="s">
        <v>2669</v>
      </c>
      <c r="C6161" s="1">
        <v>10.0</v>
      </c>
      <c r="D6161" s="1" t="s">
        <v>2799</v>
      </c>
      <c r="E6161" s="1" t="str">
        <f>IFERROR(__xludf.DUMMYFUNCTION("GOOGLETRANSLATE(D6161,""PT"",""EN"")"),"Whenever I needed Sicoob I helped")</f>
        <v>Whenever I needed Sicoob I helped</v>
      </c>
    </row>
    <row r="6162" ht="14.25" customHeight="1">
      <c r="A6162" s="1">
        <v>100.0</v>
      </c>
      <c r="B6162" s="1" t="s">
        <v>2669</v>
      </c>
      <c r="C6162" s="1">
        <v>10.0</v>
      </c>
      <c r="D6162" s="2" t="s">
        <v>2800</v>
      </c>
      <c r="E6162" s="1" t="str">
        <f>IFERROR(__xludf.DUMMYFUNCTION("GOOGLETRANSLATE(D6162,""PT"",""EN"")"),"I always get great care, great credibility as well.")</f>
        <v>I always get great care, great credibility as well.</v>
      </c>
    </row>
    <row r="6163" ht="14.25" customHeight="1">
      <c r="A6163" s="1">
        <v>100.0</v>
      </c>
      <c r="B6163" s="1" t="s">
        <v>2669</v>
      </c>
      <c r="C6163" s="1">
        <v>10.0</v>
      </c>
      <c r="D6163" s="1" t="s">
        <v>6</v>
      </c>
      <c r="E6163" s="1"/>
    </row>
    <row r="6164" ht="14.25" customHeight="1">
      <c r="A6164" s="1">
        <v>100.0</v>
      </c>
      <c r="B6164" s="1" t="s">
        <v>2669</v>
      </c>
      <c r="C6164" s="1">
        <v>10.0</v>
      </c>
      <c r="D6164" s="1" t="s">
        <v>2801</v>
      </c>
      <c r="E6164" s="1" t="str">
        <f>IFERROR(__xludf.DUMMYFUNCTION("GOOGLETRANSLATE(D6164,""PT"",""EN"")"),"good investment")</f>
        <v>good investment</v>
      </c>
    </row>
    <row r="6165" ht="14.25" customHeight="1">
      <c r="A6165" s="1">
        <v>100.0</v>
      </c>
      <c r="B6165" s="1" t="s">
        <v>2669</v>
      </c>
      <c r="C6165" s="1">
        <v>10.0</v>
      </c>
      <c r="D6165" s="1" t="s">
        <v>247</v>
      </c>
      <c r="E6165" s="1" t="str">
        <f>IFERROR(__xludf.DUMMYFUNCTION("GOOGLETRANSLATE(D6165,""PT"",""EN"")"),"Reciprocity")</f>
        <v>Reciprocity</v>
      </c>
    </row>
    <row r="6166" ht="14.25" customHeight="1">
      <c r="A6166" s="1">
        <v>100.0</v>
      </c>
      <c r="B6166" s="1" t="s">
        <v>2669</v>
      </c>
      <c r="C6166" s="1">
        <v>10.0</v>
      </c>
      <c r="D6166" s="1" t="s">
        <v>2802</v>
      </c>
      <c r="E6166" s="1" t="str">
        <f>IFERROR(__xludf.DUMMYFUNCTION("GOOGLETRANSLATE(D6166,""PT"",""EN"")"),"I recommend it because it helped me a lot in the one I needed most")</f>
        <v>I recommend it because it helped me a lot in the one I needed most</v>
      </c>
    </row>
    <row r="6167" ht="14.25" customHeight="1">
      <c r="A6167" s="1">
        <v>100.0</v>
      </c>
      <c r="B6167" s="1" t="s">
        <v>2669</v>
      </c>
      <c r="C6167" s="1">
        <v>10.0</v>
      </c>
      <c r="D6167" s="1" t="s">
        <v>6</v>
      </c>
      <c r="E6167" s="1"/>
    </row>
    <row r="6168" ht="14.25" customHeight="1">
      <c r="A6168" s="1">
        <v>100.0</v>
      </c>
      <c r="B6168" s="1" t="s">
        <v>2669</v>
      </c>
      <c r="C6168" s="1">
        <v>9.0</v>
      </c>
      <c r="D6168" s="2" t="s">
        <v>2803</v>
      </c>
      <c r="E6168" s="1" t="str">
        <f>IFERROR(__xludf.DUMMYFUNCTION("GOOGLETRANSLATE(D6168,""PT"",""EN"")"),"These are specific needs for each one is therefore depends on the basket of options offered that adapt to the customer.")</f>
        <v>These are specific needs for each one is therefore depends on the basket of options offered that adapt to the customer.</v>
      </c>
    </row>
    <row r="6169" ht="14.25" customHeight="1">
      <c r="A6169" s="1">
        <v>100.0</v>
      </c>
      <c r="B6169" s="1" t="s">
        <v>2669</v>
      </c>
      <c r="C6169" s="1">
        <v>10.0</v>
      </c>
      <c r="D6169" s="1" t="s">
        <v>2804</v>
      </c>
      <c r="E6169" s="1" t="str">
        <f>IFERROR(__xludf.DUMMYFUNCTION("GOOGLETRANSLATE(D6169,""PT"",""EN"")"),"I'm the owner !!!")</f>
        <v>I'm the owner !!!</v>
      </c>
    </row>
    <row r="6170" ht="14.25" customHeight="1">
      <c r="A6170" s="1">
        <v>100.0</v>
      </c>
      <c r="B6170" s="1" t="s">
        <v>2669</v>
      </c>
      <c r="C6170" s="1">
        <v>10.0</v>
      </c>
      <c r="D6170" s="2" t="s">
        <v>2805</v>
      </c>
      <c r="E6170" s="1" t="str">
        <f>IFERROR(__xludf.DUMMYFUNCTION("GOOGLETRANSLATE(D6170,""PT"",""EN"")"),"Sicoob is of great importance for us")</f>
        <v>Sicoob is of great importance for us</v>
      </c>
    </row>
    <row r="6171" ht="14.25" customHeight="1">
      <c r="A6171" s="1">
        <v>100.0</v>
      </c>
      <c r="B6171" s="1" t="s">
        <v>2669</v>
      </c>
      <c r="C6171" s="1">
        <v>10.0</v>
      </c>
      <c r="D6171" s="1" t="s">
        <v>6</v>
      </c>
      <c r="E6171" s="1"/>
    </row>
    <row r="6172" ht="14.25" customHeight="1">
      <c r="A6172" s="1">
        <v>100.0</v>
      </c>
      <c r="B6172" s="1" t="s">
        <v>2669</v>
      </c>
      <c r="C6172" s="1">
        <v>9.0</v>
      </c>
      <c r="D6172" s="2" t="s">
        <v>2806</v>
      </c>
      <c r="E6172" s="1" t="str">
        <f>IFERROR(__xludf.DUMMYFUNCTION("GOOGLETRANSLATE(D6172,""PT"",""EN"")"),"I am a customer is always obtained solutions in Sicoob.")</f>
        <v>I am a customer is always obtained solutions in Sicoob.</v>
      </c>
    </row>
    <row r="6173" ht="14.25" customHeight="1">
      <c r="A6173" s="1">
        <v>33.0</v>
      </c>
      <c r="B6173" s="1" t="s">
        <v>2669</v>
      </c>
      <c r="C6173" s="1">
        <v>0.0</v>
      </c>
      <c r="D6173" s="1" t="s">
        <v>6</v>
      </c>
      <c r="E6173" s="1"/>
    </row>
    <row r="6174" ht="14.25" customHeight="1">
      <c r="A6174" s="1">
        <v>100.0</v>
      </c>
      <c r="B6174" s="1" t="s">
        <v>2669</v>
      </c>
      <c r="C6174" s="1">
        <v>10.0</v>
      </c>
      <c r="D6174" s="2" t="s">
        <v>2807</v>
      </c>
      <c r="E6174" s="1" t="str">
        <f>IFERROR(__xludf.DUMMYFUNCTION("GOOGLETRANSLATE(D6174,""PT"",""EN"")"),"This Sicoob Bank is a great bank")</f>
        <v>This Sicoob Bank is a great bank</v>
      </c>
    </row>
    <row r="6175" ht="14.25" customHeight="1">
      <c r="A6175" s="1">
        <v>100.0</v>
      </c>
      <c r="B6175" s="1" t="s">
        <v>2669</v>
      </c>
      <c r="C6175" s="1">
        <v>10.0</v>
      </c>
      <c r="D6175" s="1" t="s">
        <v>2808</v>
      </c>
      <c r="E6175" s="1" t="str">
        <f>IFERROR(__xludf.DUMMYFUNCTION("GOOGLETRANSLATE(D6175,""PT"",""EN"")"),"Service, reliability, advantages in applications.")</f>
        <v>Service, reliability, advantages in applications.</v>
      </c>
    </row>
    <row r="6176" ht="14.25" customHeight="1">
      <c r="A6176" s="1">
        <v>33.0</v>
      </c>
      <c r="B6176" s="1" t="s">
        <v>2669</v>
      </c>
      <c r="C6176" s="1">
        <v>3.0</v>
      </c>
      <c r="D6176" s="1" t="s">
        <v>2809</v>
      </c>
      <c r="E6176" s="1" t="str">
        <f>IFERROR(__xludf.DUMMYFUNCTION("GOOGLETRANSLATE(D6176,""PT"",""EN"")"),"In the cooperative everything is very difficult to solve, depends on the board everything is nothing directed to low income cooperative for the big Embrapa !!!")</f>
        <v>In the cooperative everything is very difficult to solve, depends on the board everything is nothing directed to low income cooperative for the big Embrapa !!!</v>
      </c>
    </row>
    <row r="6177" ht="14.25" customHeight="1">
      <c r="A6177" s="1">
        <v>100.0</v>
      </c>
      <c r="B6177" s="1" t="s">
        <v>2669</v>
      </c>
      <c r="C6177" s="1">
        <v>10.0</v>
      </c>
      <c r="D6177" s="1" t="s">
        <v>9</v>
      </c>
      <c r="E6177" s="1" t="str">
        <f>IFERROR(__xludf.DUMMYFUNCTION("GOOGLETRANSLATE(D6177,""PT"",""EN"")"),"10")</f>
        <v>10</v>
      </c>
    </row>
    <row r="6178" ht="14.25" customHeight="1">
      <c r="A6178" s="1">
        <v>100.0</v>
      </c>
      <c r="B6178" s="1" t="s">
        <v>2669</v>
      </c>
      <c r="C6178" s="1">
        <v>10.0</v>
      </c>
      <c r="D6178" s="2" t="s">
        <v>2810</v>
      </c>
      <c r="E6178" s="1" t="str">
        <f>IFERROR(__xludf.DUMMYFUNCTION("GOOGLETRANSLATE(D6178,""PT"",""EN"")"),"Service made quickly is efficiently.")</f>
        <v>Service made quickly is efficiently.</v>
      </c>
    </row>
    <row r="6179" ht="14.25" customHeight="1">
      <c r="A6179" s="1">
        <v>33.0</v>
      </c>
      <c r="B6179" s="1" t="s">
        <v>2669</v>
      </c>
      <c r="C6179" s="1">
        <v>0.0</v>
      </c>
      <c r="D6179" s="1" t="s">
        <v>6</v>
      </c>
      <c r="E6179" s="1"/>
    </row>
    <row r="6180" ht="14.25" customHeight="1">
      <c r="A6180" s="1">
        <v>100.0</v>
      </c>
      <c r="B6180" s="1" t="s">
        <v>2669</v>
      </c>
      <c r="C6180" s="1">
        <v>9.0</v>
      </c>
      <c r="D6180" s="1" t="s">
        <v>2811</v>
      </c>
      <c r="E6180" s="1" t="str">
        <f>IFERROR(__xludf.DUMMYFUNCTION("GOOGLETRANSLATE(D6180,""PT"",""EN"")"),"I am very pleased with Sicoob's work.")</f>
        <v>I am very pleased with Sicoob's work.</v>
      </c>
    </row>
    <row r="6181" ht="14.25" customHeight="1">
      <c r="A6181" s="1">
        <v>100.0</v>
      </c>
      <c r="B6181" s="1" t="s">
        <v>2669</v>
      </c>
      <c r="C6181" s="1">
        <v>9.0</v>
      </c>
      <c r="D6181" s="1" t="s">
        <v>6</v>
      </c>
      <c r="E6181" s="1"/>
    </row>
    <row r="6182" ht="14.25" customHeight="1">
      <c r="A6182" s="1">
        <v>100.0</v>
      </c>
      <c r="B6182" s="1" t="s">
        <v>2669</v>
      </c>
      <c r="C6182" s="1">
        <v>10.0</v>
      </c>
      <c r="D6182" s="2" t="s">
        <v>2812</v>
      </c>
      <c r="E6182" s="1" t="str">
        <f>IFERROR(__xludf.DUMMYFUNCTION("GOOGLETRANSLATE(D6182,""PT"",""EN"")"),"Excellent service facility in forecasts when requested, very satisfied.")</f>
        <v>Excellent service facility in forecasts when requested, very satisfied.</v>
      </c>
    </row>
    <row r="6183" ht="14.25" customHeight="1">
      <c r="A6183" s="1">
        <v>100.0</v>
      </c>
      <c r="B6183" s="1" t="s">
        <v>2669</v>
      </c>
      <c r="C6183" s="1">
        <v>10.0</v>
      </c>
      <c r="D6183" s="2" t="s">
        <v>2813</v>
      </c>
      <c r="E6183" s="1" t="str">
        <f>IFERROR(__xludf.DUMMYFUNCTION("GOOGLETRANSLATE(D6183,""PT"",""EN"")"),"For the excellent service to the members is this makes the difference!")</f>
        <v>For the excellent service to the members is this makes the difference!</v>
      </c>
    </row>
    <row r="6184" ht="14.25" customHeight="1">
      <c r="A6184" s="1">
        <v>100.0</v>
      </c>
      <c r="B6184" s="1" t="s">
        <v>2669</v>
      </c>
      <c r="C6184" s="1">
        <v>10.0</v>
      </c>
      <c r="D6184" s="1" t="s">
        <v>62</v>
      </c>
      <c r="E6184" s="1" t="str">
        <f>IFERROR(__xludf.DUMMYFUNCTION("GOOGLETRANSLATE(D6184,""PT"",""EN"")"),"Good service")</f>
        <v>Good service</v>
      </c>
    </row>
    <row r="6185" ht="14.25" customHeight="1">
      <c r="A6185" s="1">
        <v>100.0</v>
      </c>
      <c r="B6185" s="1" t="s">
        <v>2669</v>
      </c>
      <c r="C6185" s="1">
        <v>9.0</v>
      </c>
      <c r="D6185" s="1" t="s">
        <v>85</v>
      </c>
      <c r="E6185" s="1" t="str">
        <f>IFERROR(__xludf.DUMMYFUNCTION("GOOGLETRANSLATE(D6185,""PT"",""EN"")"),"Service")</f>
        <v>Service</v>
      </c>
    </row>
    <row r="6186" ht="14.25" customHeight="1">
      <c r="A6186" s="1">
        <v>100.0</v>
      </c>
      <c r="B6186" s="1" t="s">
        <v>2669</v>
      </c>
      <c r="C6186" s="1">
        <v>10.0</v>
      </c>
      <c r="D6186" s="1" t="s">
        <v>2814</v>
      </c>
      <c r="E6186" s="1" t="str">
        <f>IFERROR(__xludf.DUMMYFUNCTION("GOOGLETRANSLATE(D6186,""PT"",""EN"")"),"Good service at the agency")</f>
        <v>Good service at the agency</v>
      </c>
    </row>
    <row r="6187" ht="14.25" customHeight="1">
      <c r="A6187" s="1">
        <v>100.0</v>
      </c>
      <c r="B6187" s="1" t="s">
        <v>2669</v>
      </c>
      <c r="C6187" s="1">
        <v>10.0</v>
      </c>
      <c r="D6187" s="1" t="s">
        <v>2815</v>
      </c>
      <c r="E6187" s="1" t="str">
        <f>IFERROR(__xludf.DUMMYFUNCTION("GOOGLETRANSLATE(D6187,""PT"",""EN"")"),"I have prospects to work with more favorable rates.")</f>
        <v>I have prospects to work with more favorable rates.</v>
      </c>
    </row>
    <row r="6188" ht="14.25" customHeight="1">
      <c r="A6188" s="1">
        <v>66.0</v>
      </c>
      <c r="B6188" s="1" t="s">
        <v>2669</v>
      </c>
      <c r="C6188" s="1">
        <v>8.0</v>
      </c>
      <c r="D6188" s="1" t="s">
        <v>6</v>
      </c>
      <c r="E6188" s="1"/>
    </row>
    <row r="6189" ht="14.25" customHeight="1">
      <c r="A6189" s="1">
        <v>33.0</v>
      </c>
      <c r="B6189" s="1" t="s">
        <v>2669</v>
      </c>
      <c r="C6189" s="1">
        <v>6.0</v>
      </c>
      <c r="D6189" s="1" t="s">
        <v>6</v>
      </c>
      <c r="E6189" s="1"/>
    </row>
    <row r="6190" ht="14.25" customHeight="1">
      <c r="A6190" s="1">
        <v>33.0</v>
      </c>
      <c r="B6190" s="1" t="s">
        <v>2669</v>
      </c>
      <c r="C6190" s="1">
        <v>5.0</v>
      </c>
      <c r="D6190" s="1" t="s">
        <v>6</v>
      </c>
      <c r="E6190" s="1"/>
    </row>
    <row r="6191" ht="14.25" customHeight="1">
      <c r="A6191" s="1">
        <v>100.0</v>
      </c>
      <c r="B6191" s="1" t="s">
        <v>2669</v>
      </c>
      <c r="C6191" s="1">
        <v>10.0</v>
      </c>
      <c r="D6191" s="1" t="s">
        <v>2816</v>
      </c>
      <c r="E6191" s="1" t="str">
        <f>IFERROR(__xludf.DUMMYFUNCTION("GOOGLETRANSLATE(D6191,""PT"",""EN"")"),"It is 10")</f>
        <v>It is 10</v>
      </c>
    </row>
    <row r="6192" ht="14.25" customHeight="1">
      <c r="A6192" s="1">
        <v>100.0</v>
      </c>
      <c r="B6192" s="1" t="s">
        <v>2669</v>
      </c>
      <c r="C6192" s="1">
        <v>9.0</v>
      </c>
      <c r="D6192" s="1" t="s">
        <v>6</v>
      </c>
      <c r="E6192" s="1"/>
    </row>
    <row r="6193" ht="14.25" customHeight="1">
      <c r="A6193" s="1">
        <v>66.0</v>
      </c>
      <c r="B6193" s="1" t="s">
        <v>2669</v>
      </c>
      <c r="C6193" s="1">
        <v>8.0</v>
      </c>
      <c r="D6193" s="2" t="s">
        <v>2817</v>
      </c>
      <c r="E6193" s="1" t="str">
        <f>IFERROR(__xludf.DUMMYFUNCTION("GOOGLETRANSLATE(D6193,""PT"",""EN"")"),"Sicoob has a good service")</f>
        <v>Sicoob has a good service</v>
      </c>
    </row>
    <row r="6194" ht="14.25" customHeight="1">
      <c r="A6194" s="1">
        <v>100.0</v>
      </c>
      <c r="B6194" s="1" t="s">
        <v>2669</v>
      </c>
      <c r="C6194" s="1">
        <v>9.0</v>
      </c>
      <c r="D6194" s="2" t="s">
        <v>1216</v>
      </c>
      <c r="E6194" s="1" t="str">
        <f>IFERROR(__xludf.DUMMYFUNCTION("GOOGLETRANSLATE(D6194,""PT"",""EN"")"),"For good service")</f>
        <v>For good service</v>
      </c>
    </row>
    <row r="6195" ht="14.25" customHeight="1">
      <c r="A6195" s="1">
        <v>100.0</v>
      </c>
      <c r="B6195" s="1" t="s">
        <v>2669</v>
      </c>
      <c r="C6195" s="1">
        <v>9.0</v>
      </c>
      <c r="D6195" s="1" t="s">
        <v>2818</v>
      </c>
      <c r="E6195" s="1" t="str">
        <f>IFERROR(__xludf.DUMMYFUNCTION("GOOGLETRANSLATE(D6195,""PT"",""EN"")"),"I was always well attended to my claims by Sicoob.")</f>
        <v>I was always well attended to my claims by Sicoob.</v>
      </c>
    </row>
    <row r="6196" ht="14.25" customHeight="1">
      <c r="A6196" s="1">
        <v>100.0</v>
      </c>
      <c r="B6196" s="1" t="s">
        <v>2669</v>
      </c>
      <c r="C6196" s="1">
        <v>10.0</v>
      </c>
      <c r="D6196" s="2" t="s">
        <v>2819</v>
      </c>
      <c r="E6196" s="1" t="str">
        <f>IFERROR(__xludf.DUMMYFUNCTION("GOOGLETRANSLATE(D6196,""PT"",""EN"")"),"Good Bank You Copeira Good for Future")</f>
        <v>Good Bank You Copeira Good for Future</v>
      </c>
    </row>
    <row r="6197" ht="14.25" customHeight="1">
      <c r="A6197" s="1">
        <v>100.0</v>
      </c>
      <c r="B6197" s="1" t="s">
        <v>2669</v>
      </c>
      <c r="C6197" s="1">
        <v>10.0</v>
      </c>
      <c r="D6197" s="1" t="s">
        <v>6</v>
      </c>
      <c r="E6197" s="1"/>
    </row>
    <row r="6198" ht="14.25" customHeight="1">
      <c r="A6198" s="1">
        <v>100.0</v>
      </c>
      <c r="B6198" s="1" t="s">
        <v>2669</v>
      </c>
      <c r="C6198" s="1">
        <v>10.0</v>
      </c>
      <c r="D6198" s="1" t="s">
        <v>6</v>
      </c>
      <c r="E6198" s="1"/>
    </row>
    <row r="6199" ht="14.25" customHeight="1">
      <c r="A6199" s="1">
        <v>66.0</v>
      </c>
      <c r="B6199" s="1" t="s">
        <v>2669</v>
      </c>
      <c r="C6199" s="1">
        <v>8.0</v>
      </c>
      <c r="D6199" s="2" t="s">
        <v>2820</v>
      </c>
      <c r="E6199" s="1" t="str">
        <f>IFERROR(__xludf.DUMMYFUNCTION("GOOGLETRANSLATE(D6199,""PT"",""EN"")"),"It offers a fair service is honest, with great credibility.")</f>
        <v>It offers a fair service is honest, with great credibility.</v>
      </c>
    </row>
    <row r="6200" ht="14.25" customHeight="1">
      <c r="A6200" s="1">
        <v>100.0</v>
      </c>
      <c r="B6200" s="1" t="s">
        <v>2669</v>
      </c>
      <c r="C6200" s="1">
        <v>10.0</v>
      </c>
      <c r="D6200" s="1" t="s">
        <v>6</v>
      </c>
      <c r="E6200" s="1"/>
    </row>
    <row r="6201" ht="14.25" customHeight="1">
      <c r="A6201" s="1">
        <v>33.0</v>
      </c>
      <c r="B6201" s="1" t="s">
        <v>2669</v>
      </c>
      <c r="C6201" s="1">
        <v>0.0</v>
      </c>
      <c r="D6201" s="1" t="s">
        <v>6</v>
      </c>
      <c r="E6201" s="1"/>
    </row>
    <row r="6202" ht="14.25" customHeight="1">
      <c r="A6202" s="1">
        <v>66.0</v>
      </c>
      <c r="B6202" s="1" t="s">
        <v>2669</v>
      </c>
      <c r="C6202" s="1">
        <v>8.0</v>
      </c>
      <c r="D6202" s="2" t="s">
        <v>2821</v>
      </c>
      <c r="E6202" s="1" t="str">
        <f>IFERROR(__xludf.DUMMYFUNCTION("GOOGLETRANSLATE(D6202,""PT"",""EN"")"),"It's a good bank .... but there are days when you are soft body is slow ...")</f>
        <v>It's a good bank .... but there are days when you are soft body is slow ...</v>
      </c>
    </row>
    <row r="6203" ht="14.25" customHeight="1">
      <c r="A6203" s="1">
        <v>66.0</v>
      </c>
      <c r="B6203" s="1" t="s">
        <v>2669</v>
      </c>
      <c r="C6203" s="1">
        <v>8.0</v>
      </c>
      <c r="D6203" s="1" t="s">
        <v>2822</v>
      </c>
      <c r="E6203" s="1" t="str">
        <f>IFERROR(__xludf.DUMMYFUNCTION("GOOGLETRANSLATE(D6203,""PT"",""EN"")"),"The bank is good")</f>
        <v>The bank is good</v>
      </c>
    </row>
    <row r="6204" ht="14.25" customHeight="1">
      <c r="A6204" s="1">
        <v>33.0</v>
      </c>
      <c r="B6204" s="1" t="s">
        <v>2669</v>
      </c>
      <c r="C6204" s="1">
        <v>2.0</v>
      </c>
      <c r="D6204" s="2" t="s">
        <v>2823</v>
      </c>
      <c r="E6204" s="1" t="str">
        <f>IFERROR(__xludf.DUMMYFUNCTION("GOOGLETRANSLATE(D6204,""PT"",""EN"")"),"I was very surprised to learn that, when closing my account, I cannot automatically redeem my money that is in the capital account. I was informed that there is only one release per year is still in installments. I found it very revolting not to have acce"&amp;"ss to my money")</f>
        <v>I was very surprised to learn that, when closing my account, I cannot automatically redeem my money that is in the capital account. I was informed that there is only one release per year is still in installments. I found it very revolting not to have access to my money</v>
      </c>
    </row>
    <row r="6205" ht="14.25" customHeight="1">
      <c r="A6205" s="1">
        <v>33.0</v>
      </c>
      <c r="B6205" s="1" t="s">
        <v>2669</v>
      </c>
      <c r="C6205" s="1">
        <v>5.0</v>
      </c>
      <c r="D6205" s="2" t="s">
        <v>2824</v>
      </c>
      <c r="E6205" s="1" t="str">
        <f>IFERROR(__xludf.DUMMYFUNCTION("GOOGLETRANSLATE(D6205,""PT"",""EN"")"),"it is very good")</f>
        <v>it is very good</v>
      </c>
    </row>
    <row r="6206" ht="14.25" customHeight="1">
      <c r="A6206" s="1">
        <v>100.0</v>
      </c>
      <c r="B6206" s="1" t="s">
        <v>2669</v>
      </c>
      <c r="C6206" s="1">
        <v>9.0</v>
      </c>
      <c r="D6206" s="2" t="s">
        <v>2825</v>
      </c>
      <c r="E6206" s="1" t="str">
        <f>IFERROR(__xludf.DUMMYFUNCTION("GOOGLETRANSLATE(D6206,""PT"",""EN"")"),"Personalized service, I am usually fulfilled in my clarification requests is oriented regarding the procedures in an attentive way is educated. It is not 10 because it can always improve, especially regarding the speed of care.")</f>
        <v>Personalized service, I am usually fulfilled in my clarification requests is oriented regarding the procedures in an attentive way is educated. It is not 10 because it can always improve, especially regarding the speed of care.</v>
      </c>
    </row>
    <row r="6207" ht="14.25" customHeight="1">
      <c r="A6207" s="1">
        <v>100.0</v>
      </c>
      <c r="B6207" s="1" t="s">
        <v>2669</v>
      </c>
      <c r="C6207" s="1">
        <v>10.0</v>
      </c>
      <c r="D6207" s="1" t="s">
        <v>6</v>
      </c>
      <c r="E6207" s="1"/>
    </row>
    <row r="6208" ht="14.25" customHeight="1">
      <c r="A6208" s="1">
        <v>33.0</v>
      </c>
      <c r="B6208" s="1" t="s">
        <v>2669</v>
      </c>
      <c r="C6208" s="1">
        <v>0.0</v>
      </c>
      <c r="D6208" s="2" t="s">
        <v>2826</v>
      </c>
      <c r="E6208" s="1" t="str">
        <f>IFERROR(__xludf.DUMMYFUNCTION("GOOGLETRANSLATE(D6208,""PT"",""EN"")"),"There's nothing of cooperativism")</f>
        <v>There's nothing of cooperativism</v>
      </c>
    </row>
    <row r="6209" ht="14.25" customHeight="1">
      <c r="A6209" s="1">
        <v>100.0</v>
      </c>
      <c r="B6209" s="1" t="s">
        <v>2669</v>
      </c>
      <c r="C6209" s="1">
        <v>10.0</v>
      </c>
      <c r="D6209" s="1" t="s">
        <v>62</v>
      </c>
      <c r="E6209" s="1" t="str">
        <f>IFERROR(__xludf.DUMMYFUNCTION("GOOGLETRANSLATE(D6209,""PT"",""EN"")"),"Good service")</f>
        <v>Good service</v>
      </c>
    </row>
    <row r="6210" ht="14.25" customHeight="1">
      <c r="A6210" s="1">
        <v>66.0</v>
      </c>
      <c r="B6210" s="1" t="s">
        <v>2669</v>
      </c>
      <c r="C6210" s="1">
        <v>7.0</v>
      </c>
      <c r="D6210" s="1" t="s">
        <v>6</v>
      </c>
      <c r="E6210" s="1"/>
    </row>
    <row r="6211" ht="14.25" customHeight="1">
      <c r="A6211" s="1">
        <v>33.0</v>
      </c>
      <c r="B6211" s="1" t="s">
        <v>2669</v>
      </c>
      <c r="C6211" s="1">
        <v>0.0</v>
      </c>
      <c r="D6211" s="1" t="s">
        <v>6</v>
      </c>
      <c r="E6211" s="1"/>
    </row>
    <row r="6212" ht="14.25" customHeight="1">
      <c r="A6212" s="1">
        <v>100.0</v>
      </c>
      <c r="B6212" s="1" t="s">
        <v>2669</v>
      </c>
      <c r="C6212" s="1">
        <v>10.0</v>
      </c>
      <c r="D6212" s="2" t="s">
        <v>2827</v>
      </c>
      <c r="E6212" s="1" t="str">
        <f>IFERROR(__xludf.DUMMYFUNCTION("GOOGLETRANSLATE(D6212,""PT"",""EN"")"),"Excellence of services is services.")</f>
        <v>Excellence of services is services.</v>
      </c>
    </row>
    <row r="6213" ht="14.25" customHeight="1">
      <c r="A6213" s="1">
        <v>33.0</v>
      </c>
      <c r="B6213" s="1" t="s">
        <v>2669</v>
      </c>
      <c r="C6213" s="1">
        <v>0.0</v>
      </c>
      <c r="D6213" s="2" t="s">
        <v>2828</v>
      </c>
      <c r="E6213" s="1" t="str">
        <f>IFERROR(__xludf.DUMMYFUNCTION("GOOGLETRANSLATE(D6213,""PT"",""EN"")"),"Good morning! I requested the cancellation of the account is credit card for months is until today has not been canceled, I request the urgent cancellation is return.")</f>
        <v>Good morning! I requested the cancellation of the account is credit card for months is until today has not been canceled, I request the urgent cancellation is return.</v>
      </c>
    </row>
    <row r="6214" ht="14.25" customHeight="1">
      <c r="A6214" s="1">
        <v>100.0</v>
      </c>
      <c r="B6214" s="1" t="s">
        <v>2669</v>
      </c>
      <c r="C6214" s="1">
        <v>10.0</v>
      </c>
      <c r="D6214" s="2" t="s">
        <v>2829</v>
      </c>
      <c r="E6214" s="1" t="str">
        <f>IFERROR(__xludf.DUMMYFUNCTION("GOOGLETRANSLATE(D6214,""PT"",""EN"")"),"I was always well attended by all employees is, in the last service I was well oriented is clarified about the practical hiring is safe credit credit. The Sicoob team is to be congratulated!")</f>
        <v>I was always well attended by all employees is, in the last service I was well oriented is clarified about the practical hiring is safe credit credit. The Sicoob team is to be congratulated!</v>
      </c>
    </row>
    <row r="6215" ht="14.25" customHeight="1">
      <c r="A6215" s="1">
        <v>100.0</v>
      </c>
      <c r="B6215" s="1" t="s">
        <v>2669</v>
      </c>
      <c r="C6215" s="1">
        <v>10.0</v>
      </c>
      <c r="D6215" s="2" t="s">
        <v>2830</v>
      </c>
      <c r="E6215" s="1" t="str">
        <f>IFERROR(__xludf.DUMMYFUNCTION("GOOGLETRANSLATE(D6215,""PT"",""EN"")"),"Indication of great services is products")</f>
        <v>Indication of great services is products</v>
      </c>
    </row>
    <row r="6216" ht="14.25" customHeight="1">
      <c r="A6216" s="1">
        <v>100.0</v>
      </c>
      <c r="B6216" s="1" t="s">
        <v>2669</v>
      </c>
      <c r="C6216" s="1">
        <v>10.0</v>
      </c>
      <c r="D6216" s="1" t="s">
        <v>2831</v>
      </c>
      <c r="E6216" s="1" t="str">
        <f>IFERROR(__xludf.DUMMYFUNCTION("GOOGLETRANSLATE(D6216,""PT"",""EN"")"),"Always ready to meet the demands ... Quick answer.")</f>
        <v>Always ready to meet the demands ... Quick answer.</v>
      </c>
    </row>
    <row r="6217" ht="14.25" customHeight="1">
      <c r="A6217" s="1">
        <v>100.0</v>
      </c>
      <c r="B6217" s="1" t="s">
        <v>2669</v>
      </c>
      <c r="C6217" s="1">
        <v>10.0</v>
      </c>
      <c r="D6217" s="1" t="s">
        <v>2832</v>
      </c>
      <c r="E6217" s="1" t="str">
        <f>IFERROR(__xludf.DUMMYFUNCTION("GOOGLETRANSLATE(D6217,""PT"",""EN"")"),"Excellent cooperative.")</f>
        <v>Excellent cooperative.</v>
      </c>
    </row>
    <row r="6218" ht="14.25" customHeight="1">
      <c r="A6218" s="1">
        <v>66.0</v>
      </c>
      <c r="B6218" s="1" t="s">
        <v>2669</v>
      </c>
      <c r="C6218" s="1">
        <v>7.0</v>
      </c>
      <c r="D6218" s="1" t="s">
        <v>6</v>
      </c>
      <c r="E6218" s="1"/>
    </row>
    <row r="6219" ht="14.25" customHeight="1">
      <c r="A6219" s="1">
        <v>100.0</v>
      </c>
      <c r="B6219" s="1" t="s">
        <v>2669</v>
      </c>
      <c r="C6219" s="1">
        <v>10.0</v>
      </c>
      <c r="D6219" s="1" t="s">
        <v>6</v>
      </c>
      <c r="E6219" s="1"/>
    </row>
    <row r="6220" ht="14.25" customHeight="1">
      <c r="A6220" s="1">
        <v>100.0</v>
      </c>
      <c r="B6220" s="1" t="s">
        <v>2669</v>
      </c>
      <c r="C6220" s="1">
        <v>10.0</v>
      </c>
      <c r="D6220" s="1" t="s">
        <v>2833</v>
      </c>
      <c r="E6220" s="1" t="str">
        <f>IFERROR(__xludf.DUMMYFUNCTION("GOOGLETRANSLATE(D6220,""PT"",""EN"")"),"Cooperativism.")</f>
        <v>Cooperativism.</v>
      </c>
    </row>
    <row r="6221" ht="14.25" customHeight="1">
      <c r="A6221" s="1">
        <v>100.0</v>
      </c>
      <c r="B6221" s="1" t="s">
        <v>2669</v>
      </c>
      <c r="C6221" s="1">
        <v>10.0</v>
      </c>
      <c r="D6221" s="1" t="s">
        <v>6</v>
      </c>
      <c r="E6221" s="1"/>
    </row>
    <row r="6222" ht="14.25" customHeight="1">
      <c r="A6222" s="1">
        <v>100.0</v>
      </c>
      <c r="B6222" s="1" t="s">
        <v>2669</v>
      </c>
      <c r="C6222" s="1">
        <v>10.0</v>
      </c>
      <c r="D6222" s="1" t="s">
        <v>2834</v>
      </c>
      <c r="E6222" s="1" t="str">
        <f>IFERROR(__xludf.DUMMYFUNCTION("GOOGLETRANSLATE(D6222,""PT"",""EN"")"),"It is an excellent cooperative.")</f>
        <v>It is an excellent cooperative.</v>
      </c>
    </row>
    <row r="6223" ht="14.25" customHeight="1">
      <c r="A6223" s="1">
        <v>33.0</v>
      </c>
      <c r="B6223" s="1" t="s">
        <v>2669</v>
      </c>
      <c r="C6223" s="1">
        <v>0.0</v>
      </c>
      <c r="D6223" s="1" t="s">
        <v>2835</v>
      </c>
      <c r="E6223" s="1" t="str">
        <f>IFERROR(__xludf.DUMMYFUNCTION("GOOGLETRANSLATE(D6223,""PT"",""EN"")"),"Bureaucratic")</f>
        <v>Bureaucratic</v>
      </c>
    </row>
    <row r="6224" ht="14.25" customHeight="1">
      <c r="A6224" s="1">
        <v>100.0</v>
      </c>
      <c r="B6224" s="1" t="s">
        <v>2669</v>
      </c>
      <c r="C6224" s="1">
        <v>10.0</v>
      </c>
      <c r="D6224" s="2" t="s">
        <v>2836</v>
      </c>
      <c r="E6224" s="1" t="str">
        <f>IFERROR(__xludf.DUMMYFUNCTION("GOOGLETRANSLATE(D6224,""PT"",""EN"")"),"app is top is their own very efficient")</f>
        <v>app is top is their own very efficient</v>
      </c>
    </row>
    <row r="6225" ht="14.25" customHeight="1">
      <c r="A6225" s="1">
        <v>66.0</v>
      </c>
      <c r="B6225" s="1" t="s">
        <v>2669</v>
      </c>
      <c r="C6225" s="1">
        <v>7.0</v>
      </c>
      <c r="D6225" s="1" t="s">
        <v>2837</v>
      </c>
      <c r="E6225" s="1" t="str">
        <f>IFERROR(__xludf.DUMMYFUNCTION("GOOGLETRANSLATE(D6225,""PT"",""EN"")"),"Increase security to simplify the services offered to customers.")</f>
        <v>Increase security to simplify the services offered to customers.</v>
      </c>
    </row>
    <row r="6226" ht="14.25" customHeight="1">
      <c r="A6226" s="1">
        <v>100.0</v>
      </c>
      <c r="B6226" s="1" t="s">
        <v>2669</v>
      </c>
      <c r="C6226" s="1">
        <v>10.0</v>
      </c>
      <c r="D6226" s="1" t="s">
        <v>2838</v>
      </c>
      <c r="E6226" s="1" t="str">
        <f>IFERROR(__xludf.DUMMYFUNCTION("GOOGLETRANSLATE(D6226,""PT"",""EN"")"),"Sicoob is always 10 in everything.")</f>
        <v>Sicoob is always 10 in everything.</v>
      </c>
    </row>
    <row r="6227" ht="14.25" customHeight="1">
      <c r="A6227" s="1">
        <v>33.0</v>
      </c>
      <c r="B6227" s="1" t="s">
        <v>2669</v>
      </c>
      <c r="C6227" s="1">
        <v>0.0</v>
      </c>
      <c r="D6227" s="1" t="s">
        <v>6</v>
      </c>
      <c r="E6227" s="1"/>
    </row>
    <row r="6228" ht="14.25" customHeight="1">
      <c r="A6228" s="1">
        <v>100.0</v>
      </c>
      <c r="B6228" s="1" t="s">
        <v>2669</v>
      </c>
      <c r="C6228" s="1">
        <v>10.0</v>
      </c>
      <c r="D6228" s="1" t="s">
        <v>6</v>
      </c>
      <c r="E6228" s="1"/>
    </row>
    <row r="6229" ht="14.25" customHeight="1">
      <c r="A6229" s="1">
        <v>100.0</v>
      </c>
      <c r="B6229" s="1" t="s">
        <v>2669</v>
      </c>
      <c r="C6229" s="1">
        <v>10.0</v>
      </c>
      <c r="D6229" s="2" t="s">
        <v>2839</v>
      </c>
      <c r="E6229" s="1" t="str">
        <f>IFERROR(__xludf.DUMMYFUNCTION("GOOGLETRANSLATE(D6229,""PT"",""EN"")"),"Service is knowledge.")</f>
        <v>Service is knowledge.</v>
      </c>
    </row>
    <row r="6230" ht="14.25" customHeight="1">
      <c r="A6230" s="1">
        <v>100.0</v>
      </c>
      <c r="B6230" s="1" t="s">
        <v>2669</v>
      </c>
      <c r="C6230" s="1">
        <v>9.0</v>
      </c>
      <c r="D6230" s="1" t="s">
        <v>6</v>
      </c>
      <c r="E6230" s="1"/>
    </row>
    <row r="6231" ht="14.25" customHeight="1">
      <c r="A6231" s="1">
        <v>100.0</v>
      </c>
      <c r="B6231" s="1" t="s">
        <v>2669</v>
      </c>
      <c r="C6231" s="1">
        <v>10.0</v>
      </c>
      <c r="D6231" s="1" t="s">
        <v>37</v>
      </c>
      <c r="E6231" s="1" t="str">
        <f>IFERROR(__xludf.DUMMYFUNCTION("GOOGLETRANSLATE(D6231,""PT"",""EN"")"),"Great service")</f>
        <v>Great service</v>
      </c>
    </row>
    <row r="6232" ht="14.25" customHeight="1">
      <c r="A6232" s="1">
        <v>100.0</v>
      </c>
      <c r="B6232" s="1" t="s">
        <v>2669</v>
      </c>
      <c r="C6232" s="1">
        <v>10.0</v>
      </c>
      <c r="D6232" s="2" t="s">
        <v>2840</v>
      </c>
      <c r="E6232" s="1" t="str">
        <f>IFERROR(__xludf.DUMMYFUNCTION("GOOGLETRANSLATE(D6232,""PT"",""EN"")"),"Service beyond expectation. Security.")</f>
        <v>Service beyond expectation. Security.</v>
      </c>
    </row>
    <row r="6233" ht="14.25" customHeight="1">
      <c r="A6233" s="1">
        <v>33.0</v>
      </c>
      <c r="B6233" s="1" t="s">
        <v>2669</v>
      </c>
      <c r="C6233" s="1">
        <v>0.0</v>
      </c>
      <c r="D6233" s="2" t="s">
        <v>2841</v>
      </c>
      <c r="E6233" s="1" t="str">
        <f>IFERROR(__xludf.DUMMYFUNCTION("GOOGLETRANSLATE(D6233,""PT"",""EN"")"),"I tried to get the money out of the capital account that is mine is all attendants wanted to tie this redemption to the registration update, which has to release my money with registration update. Not only do I not indicate it as I am doing advertising ag"&amp;"ainst")</f>
        <v>I tried to get the money out of the capital account that is mine is all attendants wanted to tie this redemption to the registration update, which has to release my money with registration update. Not only do I not indicate it as I am doing advertising against</v>
      </c>
    </row>
    <row r="6234" ht="14.25" customHeight="1">
      <c r="A6234" s="1">
        <v>33.0</v>
      </c>
      <c r="B6234" s="1" t="s">
        <v>2669</v>
      </c>
      <c r="C6234" s="1">
        <v>1.0</v>
      </c>
      <c r="D6234" s="2" t="s">
        <v>2842</v>
      </c>
      <c r="E6234" s="1" t="str">
        <f>IFERROR(__xludf.DUMMYFUNCTION("GOOGLETRANSLATE(D6234,""PT"",""EN"")"),"I have no contact for my manager for over a year! How can I recommend.")</f>
        <v>I have no contact for my manager for over a year! How can I recommend.</v>
      </c>
    </row>
    <row r="6235" ht="14.25" customHeight="1">
      <c r="A6235" s="1">
        <v>33.0</v>
      </c>
      <c r="B6235" s="1" t="s">
        <v>2669</v>
      </c>
      <c r="C6235" s="1">
        <v>6.0</v>
      </c>
      <c r="D6235" s="1" t="s">
        <v>6</v>
      </c>
      <c r="E6235" s="1"/>
    </row>
    <row r="6236" ht="14.25" customHeight="1">
      <c r="A6236" s="1">
        <v>66.0</v>
      </c>
      <c r="B6236" s="1" t="s">
        <v>2669</v>
      </c>
      <c r="C6236" s="1">
        <v>7.0</v>
      </c>
      <c r="D6236" s="1" t="s">
        <v>6</v>
      </c>
      <c r="E6236" s="1"/>
    </row>
    <row r="6237" ht="14.25" customHeight="1">
      <c r="A6237" s="1">
        <v>33.0</v>
      </c>
      <c r="B6237" s="1" t="s">
        <v>2669</v>
      </c>
      <c r="C6237" s="1">
        <v>0.0</v>
      </c>
      <c r="D6237" s="2" t="s">
        <v>2843</v>
      </c>
      <c r="E6237" s="1" t="str">
        <f>IFERROR(__xludf.DUMMYFUNCTION("GOOGLETRANSLATE(D6237,""PT"",""EN"")"),"One account (of the same type is an account branch that I have) was opened on my behalf, without my request")</f>
        <v>One account (of the same type is an account branch that I have) was opened on my behalf, without my request</v>
      </c>
    </row>
    <row r="6238" ht="14.25" customHeight="1">
      <c r="A6238" s="1">
        <v>100.0</v>
      </c>
      <c r="B6238" s="1" t="s">
        <v>2669</v>
      </c>
      <c r="C6238" s="1">
        <v>10.0</v>
      </c>
      <c r="D6238" s="1" t="s">
        <v>6</v>
      </c>
      <c r="E6238" s="1"/>
    </row>
    <row r="6239" ht="14.25" customHeight="1">
      <c r="A6239" s="1">
        <v>100.0</v>
      </c>
      <c r="B6239" s="1" t="s">
        <v>2669</v>
      </c>
      <c r="C6239" s="1">
        <v>10.0</v>
      </c>
      <c r="D6239" s="1" t="s">
        <v>6</v>
      </c>
      <c r="E6239" s="1"/>
    </row>
    <row r="6240" ht="14.25" customHeight="1">
      <c r="A6240" s="1">
        <v>100.0</v>
      </c>
      <c r="B6240" s="1" t="s">
        <v>2669</v>
      </c>
      <c r="C6240" s="1">
        <v>10.0</v>
      </c>
      <c r="D6240" s="1" t="s">
        <v>2844</v>
      </c>
      <c r="E6240" s="1" t="str">
        <f>IFERROR(__xludf.DUMMYFUNCTION("GOOGLETRANSLATE(D6240,""PT"",""EN"")"),"Rapid service")</f>
        <v>Rapid service</v>
      </c>
    </row>
    <row r="6241" ht="14.25" customHeight="1">
      <c r="A6241" s="1">
        <v>100.0</v>
      </c>
      <c r="B6241" s="1" t="s">
        <v>2669</v>
      </c>
      <c r="C6241" s="1">
        <v>9.0</v>
      </c>
      <c r="D6241" s="1" t="s">
        <v>353</v>
      </c>
      <c r="E6241" s="1" t="str">
        <f>IFERROR(__xludf.DUMMYFUNCTION("GOOGLETRANSLATE(D6241,""PT"",""EN"")"),"Excelent reception!")</f>
        <v>Excelent reception!</v>
      </c>
    </row>
    <row r="6242" ht="14.25" customHeight="1">
      <c r="A6242" s="1">
        <v>100.0</v>
      </c>
      <c r="B6242" s="1" t="s">
        <v>2669</v>
      </c>
      <c r="C6242" s="1">
        <v>10.0</v>
      </c>
      <c r="D6242" s="1" t="s">
        <v>6</v>
      </c>
      <c r="E6242" s="1"/>
    </row>
    <row r="6243" ht="14.25" customHeight="1">
      <c r="A6243" s="1">
        <v>100.0</v>
      </c>
      <c r="B6243" s="1" t="s">
        <v>2669</v>
      </c>
      <c r="C6243" s="1">
        <v>10.0</v>
      </c>
      <c r="D6243" s="1" t="s">
        <v>6</v>
      </c>
      <c r="E6243" s="1"/>
    </row>
    <row r="6244" ht="14.25" customHeight="1">
      <c r="A6244" s="1">
        <v>33.0</v>
      </c>
      <c r="B6244" s="1" t="s">
        <v>2669</v>
      </c>
      <c r="C6244" s="1">
        <v>0.0</v>
      </c>
      <c r="D6244" s="1" t="s">
        <v>6</v>
      </c>
      <c r="E6244" s="1"/>
    </row>
    <row r="6245" ht="14.25" customHeight="1">
      <c r="A6245" s="1">
        <v>100.0</v>
      </c>
      <c r="B6245" s="1" t="s">
        <v>2669</v>
      </c>
      <c r="C6245" s="1">
        <v>10.0</v>
      </c>
      <c r="D6245" s="1" t="s">
        <v>6</v>
      </c>
      <c r="E6245" s="1"/>
    </row>
    <row r="6246" ht="14.25" customHeight="1">
      <c r="A6246" s="1">
        <v>33.0</v>
      </c>
      <c r="B6246" s="1" t="s">
        <v>2669</v>
      </c>
      <c r="C6246" s="1">
        <v>5.0</v>
      </c>
      <c r="D6246" s="1" t="s">
        <v>6</v>
      </c>
      <c r="E6246" s="1"/>
    </row>
    <row r="6247" ht="14.25" customHeight="1">
      <c r="A6247" s="1">
        <v>100.0</v>
      </c>
      <c r="B6247" s="1" t="s">
        <v>2669</v>
      </c>
      <c r="C6247" s="1">
        <v>10.0</v>
      </c>
      <c r="D6247" s="1" t="s">
        <v>6</v>
      </c>
      <c r="E6247" s="1"/>
    </row>
    <row r="6248" ht="14.25" customHeight="1">
      <c r="A6248" s="1">
        <v>100.0</v>
      </c>
      <c r="B6248" s="1" t="s">
        <v>2669</v>
      </c>
      <c r="C6248" s="1">
        <v>9.0</v>
      </c>
      <c r="D6248" s="1" t="s">
        <v>2845</v>
      </c>
      <c r="E6248" s="1" t="str">
        <f>IFERROR(__xludf.DUMMYFUNCTION("GOOGLETRANSLATE(D6248,""PT"",""EN"")"),"I was always well attended")</f>
        <v>I was always well attended</v>
      </c>
    </row>
    <row r="6249" ht="14.25" customHeight="1">
      <c r="A6249" s="1">
        <v>100.0</v>
      </c>
      <c r="B6249" s="1" t="s">
        <v>2669</v>
      </c>
      <c r="C6249" s="1">
        <v>10.0</v>
      </c>
      <c r="D6249" s="1" t="s">
        <v>6</v>
      </c>
      <c r="E6249" s="1"/>
    </row>
    <row r="6250" ht="14.25" customHeight="1">
      <c r="A6250" s="1">
        <v>100.0</v>
      </c>
      <c r="B6250" s="1" t="s">
        <v>2669</v>
      </c>
      <c r="C6250" s="1">
        <v>9.0</v>
      </c>
      <c r="D6250" s="1" t="s">
        <v>6</v>
      </c>
      <c r="E6250" s="1"/>
    </row>
    <row r="6251" ht="14.25" customHeight="1">
      <c r="A6251" s="1">
        <v>100.0</v>
      </c>
      <c r="B6251" s="1" t="s">
        <v>2669</v>
      </c>
      <c r="C6251" s="1">
        <v>10.0</v>
      </c>
      <c r="D6251" s="2" t="s">
        <v>2846</v>
      </c>
      <c r="E6251" s="1" t="str">
        <f>IFERROR(__xludf.DUMMYFUNCTION("GOOGLETRANSLATE(D6251,""PT"",""EN"")"),"service, lower interest rates is good credit offers")</f>
        <v>service, lower interest rates is good credit offers</v>
      </c>
    </row>
    <row r="6252" ht="14.25" customHeight="1">
      <c r="A6252" s="1">
        <v>33.0</v>
      </c>
      <c r="B6252" s="1" t="s">
        <v>2669</v>
      </c>
      <c r="C6252" s="1">
        <v>3.0</v>
      </c>
      <c r="D6252" s="2" t="s">
        <v>2847</v>
      </c>
      <c r="E6252" s="1" t="str">
        <f>IFERROR(__xludf.DUMMYFUNCTION("GOOGLETRANSLATE(D6252,""PT"",""EN"")"),"The Pessimo Care")</f>
        <v>The Pessimo Care</v>
      </c>
    </row>
    <row r="6253" ht="14.25" customHeight="1">
      <c r="A6253" s="1">
        <v>66.0</v>
      </c>
      <c r="B6253" s="1" t="s">
        <v>2669</v>
      </c>
      <c r="C6253" s="1">
        <v>7.0</v>
      </c>
      <c r="D6253" s="1" t="s">
        <v>2848</v>
      </c>
      <c r="E6253" s="1" t="str">
        <f>IFERROR(__xludf.DUMMYFUNCTION("GOOGLETRANSLATE(D6253,""PT"",""EN"")"),"Would recommend")</f>
        <v>Would recommend</v>
      </c>
    </row>
    <row r="6254" ht="14.25" customHeight="1">
      <c r="A6254" s="1">
        <v>100.0</v>
      </c>
      <c r="B6254" s="1" t="s">
        <v>2669</v>
      </c>
      <c r="C6254" s="1">
        <v>10.0</v>
      </c>
      <c r="D6254" s="1" t="s">
        <v>2849</v>
      </c>
      <c r="E6254" s="1" t="str">
        <f>IFERROR(__xludf.DUMMYFUNCTION("GOOGLETRANSLATE(D6254,""PT"",""EN"")"),"Emergency service on the online channel. I hope it is safe, that our information is safe.")</f>
        <v>Emergency service on the online channel. I hope it is safe, that our information is safe.</v>
      </c>
    </row>
    <row r="6255" ht="14.25" customHeight="1">
      <c r="A6255" s="1">
        <v>100.0</v>
      </c>
      <c r="B6255" s="1" t="s">
        <v>2669</v>
      </c>
      <c r="C6255" s="1">
        <v>9.0</v>
      </c>
      <c r="D6255" s="1" t="s">
        <v>6</v>
      </c>
      <c r="E6255" s="1"/>
    </row>
    <row r="6256" ht="14.25" customHeight="1">
      <c r="A6256" s="1">
        <v>66.0</v>
      </c>
      <c r="B6256" s="1" t="s">
        <v>2669</v>
      </c>
      <c r="C6256" s="1">
        <v>7.0</v>
      </c>
      <c r="D6256" s="1" t="s">
        <v>2850</v>
      </c>
      <c r="E6256" s="1" t="str">
        <f>IFERROR(__xludf.DUMMYFUNCTION("GOOGLETRANSLATE(D6256,""PT"",""EN"")"),"It's good, but it can improve a lot")</f>
        <v>It's good, but it can improve a lot</v>
      </c>
    </row>
    <row r="6257" ht="14.25" customHeight="1">
      <c r="A6257" s="1">
        <v>33.0</v>
      </c>
      <c r="B6257" s="1" t="s">
        <v>2669</v>
      </c>
      <c r="C6257" s="1">
        <v>6.0</v>
      </c>
      <c r="D6257" s="1" t="s">
        <v>6</v>
      </c>
      <c r="E6257" s="1"/>
    </row>
    <row r="6258" ht="14.25" customHeight="1">
      <c r="A6258" s="1">
        <v>100.0</v>
      </c>
      <c r="B6258" s="1" t="s">
        <v>2669</v>
      </c>
      <c r="C6258" s="1">
        <v>10.0</v>
      </c>
      <c r="D6258" s="2" t="s">
        <v>2851</v>
      </c>
      <c r="E6258" s="1" t="str">
        <f>IFERROR(__xludf.DUMMYFUNCTION("GOOGLETRANSLATE(D6258,""PT"",""EN"")"),"Because it is very agile in the demands of no customers.")</f>
        <v>Because it is very agile in the demands of no customers.</v>
      </c>
    </row>
    <row r="6259" ht="14.25" customHeight="1">
      <c r="A6259" s="1">
        <v>100.0</v>
      </c>
      <c r="B6259" s="1" t="s">
        <v>2669</v>
      </c>
      <c r="C6259" s="1">
        <v>10.0</v>
      </c>
      <c r="D6259" s="2" t="s">
        <v>2852</v>
      </c>
      <c r="E6259" s="1" t="str">
        <f>IFERROR(__xludf.DUMMYFUNCTION("GOOGLETRANSLATE(D6259,""PT"",""EN"")"),"excellence")</f>
        <v>excellence</v>
      </c>
    </row>
    <row r="6260" ht="14.25" customHeight="1">
      <c r="A6260" s="1">
        <v>33.0</v>
      </c>
      <c r="B6260" s="1" t="s">
        <v>2669</v>
      </c>
      <c r="C6260" s="1">
        <v>3.0</v>
      </c>
      <c r="D6260" s="2" t="s">
        <v>2853</v>
      </c>
      <c r="E6260" s="1" t="str">
        <f>IFERROR(__xludf.DUMMYFUNCTION("GOOGLETRANSLATE(D6260,""PT"",""EN"")"),"My cooperative is 4198, it is recently asked to close my account because it understands that the cooperative has been losing the essence of cooperativism in contributing to the development of business, forgetting to maintain a more humanized service. I un"&amp;"derstand that we should always enjoy the best of technology, but I do not believe it should be used to replace a good relationship between cooperative and cooperative.")</f>
        <v>My cooperative is 4198, it is recently asked to close my account because it understands that the cooperative has been losing the essence of cooperativism in contributing to the development of business, forgetting to maintain a more humanized service. I understand that we should always enjoy the best of technology, but I do not believe it should be used to replace a good relationship between cooperative and cooperative.</v>
      </c>
    </row>
    <row r="6261" ht="14.25" customHeight="1">
      <c r="A6261" s="1">
        <v>66.0</v>
      </c>
      <c r="B6261" s="1" t="s">
        <v>2669</v>
      </c>
      <c r="C6261" s="1">
        <v>8.0</v>
      </c>
      <c r="D6261" s="2" t="s">
        <v>2854</v>
      </c>
      <c r="E6261" s="1" t="str">
        <f>IFERROR(__xludf.DUMMYFUNCTION("GOOGLETRANSLATE(D6261,""PT"",""EN"")"),"Lack of physical system, to treat looking in the eyes")</f>
        <v>Lack of physical system, to treat looking in the eyes</v>
      </c>
    </row>
    <row r="6262" ht="14.25" customHeight="1">
      <c r="A6262" s="1">
        <v>100.0</v>
      </c>
      <c r="B6262" s="1" t="s">
        <v>2669</v>
      </c>
      <c r="C6262" s="1">
        <v>10.0</v>
      </c>
      <c r="D6262" s="2" t="s">
        <v>2855</v>
      </c>
      <c r="E6262" s="1" t="str">
        <f>IFERROR(__xludf.DUMMYFUNCTION("GOOGLETRANSLATE(D6262,""PT"",""EN"")"),"Practical service is fast!")</f>
        <v>Practical service is fast!</v>
      </c>
    </row>
    <row r="6263" ht="14.25" customHeight="1">
      <c r="A6263" s="1">
        <v>100.0</v>
      </c>
      <c r="B6263" s="1" t="s">
        <v>2669</v>
      </c>
      <c r="C6263" s="1">
        <v>10.0</v>
      </c>
      <c r="D6263" s="1" t="s">
        <v>6</v>
      </c>
      <c r="E6263" s="1"/>
    </row>
    <row r="6264" ht="14.25" customHeight="1">
      <c r="A6264" s="1">
        <v>100.0</v>
      </c>
      <c r="B6264" s="1" t="s">
        <v>2669</v>
      </c>
      <c r="C6264" s="1">
        <v>10.0</v>
      </c>
      <c r="D6264" s="2" t="s">
        <v>2856</v>
      </c>
      <c r="E6264" s="1" t="str">
        <f>IFERROR(__xludf.DUMMYFUNCTION("GOOGLETRANSLATE(D6264,""PT"",""EN"")"),"Agility in processes is speed in requests.")</f>
        <v>Agility in processes is speed in requests.</v>
      </c>
    </row>
    <row r="6265" ht="14.25" customHeight="1">
      <c r="A6265" s="1">
        <v>100.0</v>
      </c>
      <c r="B6265" s="1" t="s">
        <v>2669</v>
      </c>
      <c r="C6265" s="1">
        <v>10.0</v>
      </c>
      <c r="D6265" s="2" t="s">
        <v>2857</v>
      </c>
      <c r="E6265" s="1" t="str">
        <f>IFERROR(__xludf.DUMMYFUNCTION("GOOGLETRANSLATE(D6265,""PT"",""EN"")"),"agility in service, easy -to -use application is security")</f>
        <v>agility in service, easy -to -use application is security</v>
      </c>
    </row>
    <row r="6266" ht="14.25" customHeight="1">
      <c r="A6266" s="1">
        <v>100.0</v>
      </c>
      <c r="B6266" s="1" t="s">
        <v>2669</v>
      </c>
      <c r="C6266" s="1">
        <v>10.0</v>
      </c>
      <c r="D6266" s="1" t="s">
        <v>6</v>
      </c>
      <c r="E6266" s="1"/>
    </row>
    <row r="6267" ht="14.25" customHeight="1">
      <c r="A6267" s="1">
        <v>100.0</v>
      </c>
      <c r="B6267" s="1" t="s">
        <v>2669</v>
      </c>
      <c r="C6267" s="1">
        <v>9.0</v>
      </c>
      <c r="D6267" s="2" t="s">
        <v>2858</v>
      </c>
      <c r="E6267" s="1" t="str">
        <f>IFERROR(__xludf.DUMMYFUNCTION("GOOGLETRANSLATE(D6267,""PT"",""EN"")"),"versatility is confidence")</f>
        <v>versatility is confidence</v>
      </c>
    </row>
    <row r="6268" ht="14.25" customHeight="1">
      <c r="A6268" s="1">
        <v>100.0</v>
      </c>
      <c r="B6268" s="1" t="s">
        <v>2669</v>
      </c>
      <c r="C6268" s="1">
        <v>10.0</v>
      </c>
      <c r="D6268" s="1" t="s">
        <v>6</v>
      </c>
      <c r="E6268" s="1"/>
    </row>
    <row r="6269" ht="14.25" customHeight="1">
      <c r="A6269" s="1">
        <v>100.0</v>
      </c>
      <c r="B6269" s="1" t="s">
        <v>2669</v>
      </c>
      <c r="C6269" s="1">
        <v>10.0</v>
      </c>
      <c r="D6269" s="1" t="s">
        <v>6</v>
      </c>
      <c r="E6269" s="1"/>
    </row>
    <row r="6270" ht="14.25" customHeight="1">
      <c r="A6270" s="1">
        <v>100.0</v>
      </c>
      <c r="B6270" s="1" t="s">
        <v>2669</v>
      </c>
      <c r="C6270" s="1">
        <v>9.0</v>
      </c>
      <c r="D6270" s="2" t="s">
        <v>2859</v>
      </c>
      <c r="E6270" s="1" t="str">
        <f>IFERROR(__xludf.DUMMYFUNCTION("GOOGLETRANSLATE(D6270,""PT"",""EN"")"),"It is very good. At the same time, there are other banks like Sicredi, as well as digital banks that offer similar benefits. It is, in some cases, faster care.")</f>
        <v>It is very good. At the same time, there are other banks like Sicredi, as well as digital banks that offer similar benefits. It is, in some cases, faster care.</v>
      </c>
    </row>
    <row r="6271" ht="14.25" customHeight="1">
      <c r="A6271" s="1">
        <v>66.0</v>
      </c>
      <c r="B6271" s="1" t="s">
        <v>2669</v>
      </c>
      <c r="C6271" s="1">
        <v>8.0</v>
      </c>
      <c r="D6271" s="1" t="s">
        <v>6</v>
      </c>
      <c r="E6271" s="1"/>
    </row>
    <row r="6272" ht="14.25" customHeight="1">
      <c r="A6272" s="1">
        <v>66.0</v>
      </c>
      <c r="B6272" s="1" t="s">
        <v>2669</v>
      </c>
      <c r="C6272" s="1">
        <v>8.0</v>
      </c>
      <c r="D6272" s="2" t="s">
        <v>2860</v>
      </c>
      <c r="E6272" s="1" t="str">
        <f>IFERROR(__xludf.DUMMYFUNCTION("GOOGLETRANSLATE(D6272,""PT"",""EN"")"),"It is a credit cooperative in which you also own. It has all the resources that a conventional bank has is charging lower fees.")</f>
        <v>It is a credit cooperative in which you also own. It has all the resources that a conventional bank has is charging lower fees.</v>
      </c>
    </row>
    <row r="6273" ht="14.25" customHeight="1">
      <c r="A6273" s="1">
        <v>100.0</v>
      </c>
      <c r="B6273" s="1" t="s">
        <v>2669</v>
      </c>
      <c r="C6273" s="1">
        <v>9.0</v>
      </c>
      <c r="D6273" s="1" t="s">
        <v>6</v>
      </c>
      <c r="E6273" s="1"/>
    </row>
    <row r="6274" ht="14.25" customHeight="1">
      <c r="A6274" s="1">
        <v>100.0</v>
      </c>
      <c r="B6274" s="1" t="s">
        <v>2669</v>
      </c>
      <c r="C6274" s="1">
        <v>10.0</v>
      </c>
      <c r="D6274" s="1" t="s">
        <v>2861</v>
      </c>
      <c r="E6274" s="1" t="str">
        <f>IFERROR(__xludf.DUMMYFUNCTION("GOOGLETRANSLATE(D6274,""PT"",""EN"")"),"I am very well attended.")</f>
        <v>I am very well attended.</v>
      </c>
    </row>
    <row r="6275" ht="14.25" customHeight="1">
      <c r="A6275" s="1">
        <v>100.0</v>
      </c>
      <c r="B6275" s="1" t="s">
        <v>2669</v>
      </c>
      <c r="C6275" s="1">
        <v>10.0</v>
      </c>
      <c r="D6275" s="1" t="s">
        <v>6</v>
      </c>
      <c r="E6275" s="1"/>
    </row>
    <row r="6276" ht="14.25" customHeight="1">
      <c r="A6276" s="1">
        <v>33.0</v>
      </c>
      <c r="B6276" s="1" t="s">
        <v>2669</v>
      </c>
      <c r="C6276" s="1">
        <v>1.0</v>
      </c>
      <c r="D6276" s="2" t="s">
        <v>2862</v>
      </c>
      <c r="E6276" s="1" t="str">
        <f>IFERROR(__xludf.DUMMYFUNCTION("GOOGLETRANSLATE(D6276,""PT"",""EN"")"),"I have no count with you. I have? Please see if you have any registration in my name.")</f>
        <v>I have no count with you. I have? Please see if you have any registration in my name.</v>
      </c>
    </row>
    <row r="6277" ht="14.25" customHeight="1">
      <c r="A6277" s="1">
        <v>100.0</v>
      </c>
      <c r="B6277" s="1" t="s">
        <v>2669</v>
      </c>
      <c r="C6277" s="1">
        <v>9.0</v>
      </c>
      <c r="D6277" s="1" t="s">
        <v>6</v>
      </c>
      <c r="E6277" s="1"/>
    </row>
    <row r="6278" ht="14.25" customHeight="1">
      <c r="A6278" s="1">
        <v>100.0</v>
      </c>
      <c r="B6278" s="1" t="s">
        <v>2669</v>
      </c>
      <c r="C6278" s="1">
        <v>9.0</v>
      </c>
      <c r="D6278" s="1" t="s">
        <v>6</v>
      </c>
      <c r="E6278" s="1"/>
    </row>
    <row r="6279" ht="14.25" customHeight="1">
      <c r="A6279" s="1">
        <v>100.0</v>
      </c>
      <c r="B6279" s="1" t="s">
        <v>2669</v>
      </c>
      <c r="C6279" s="1">
        <v>10.0</v>
      </c>
      <c r="D6279" s="2" t="s">
        <v>2863</v>
      </c>
      <c r="E6279" s="1" t="str">
        <f>IFERROR(__xludf.DUMMYFUNCTION("GOOGLETRANSLATE(D6279,""PT"",""EN"")"),"The bank meets all my demands quickly is human, I feel that I am part of a cooperative")</f>
        <v>The bank meets all my demands quickly is human, I feel that I am part of a cooperative</v>
      </c>
    </row>
    <row r="6280" ht="14.25" customHeight="1">
      <c r="A6280" s="1">
        <v>33.0</v>
      </c>
      <c r="B6280" s="1" t="s">
        <v>2669</v>
      </c>
      <c r="C6280" s="1">
        <v>0.0</v>
      </c>
      <c r="D6280" s="2" t="s">
        <v>2864</v>
      </c>
      <c r="E6280" s="1" t="str">
        <f>IFERROR(__xludf.DUMMYFUNCTION("GOOGLETRANSLATE(D6280,""PT"",""EN"")"),"I've been trying to get out of the cooperative for a long time is I can't. So how can I indicate for a person to join a cooperative from which he will be referred to? If you have a solution or contact where I can call or write, my email is marciapreis@gma"&amp;"il.com. Thanks")</f>
        <v>I've been trying to get out of the cooperative for a long time is I can't. So how can I indicate for a person to join a cooperative from which he will be referred to? If you have a solution or contact where I can call or write, my email is marciapreis@gmail.com. Thanks</v>
      </c>
    </row>
    <row r="6281" ht="14.25" customHeight="1">
      <c r="A6281" s="1">
        <v>100.0</v>
      </c>
      <c r="B6281" s="1" t="s">
        <v>2669</v>
      </c>
      <c r="C6281" s="1">
        <v>10.0</v>
      </c>
      <c r="D6281" s="1" t="s">
        <v>2865</v>
      </c>
      <c r="E6281" s="1" t="str">
        <f>IFERROR(__xludf.DUMMYFUNCTION("GOOGLETRANSLATE(D6281,""PT"",""EN"")"),"Attention, excellent service, agility in answers.")</f>
        <v>Attention, excellent service, agility in answers.</v>
      </c>
    </row>
    <row r="6282" ht="14.25" customHeight="1">
      <c r="A6282" s="1">
        <v>100.0</v>
      </c>
      <c r="B6282" s="1" t="s">
        <v>2669</v>
      </c>
      <c r="C6282" s="1">
        <v>10.0</v>
      </c>
      <c r="D6282" s="1" t="s">
        <v>6</v>
      </c>
      <c r="E6282" s="1"/>
    </row>
    <row r="6283" ht="14.25" customHeight="1">
      <c r="A6283" s="1">
        <v>100.0</v>
      </c>
      <c r="B6283" s="1" t="s">
        <v>2669</v>
      </c>
      <c r="C6283" s="1">
        <v>10.0</v>
      </c>
      <c r="D6283" s="1" t="s">
        <v>6</v>
      </c>
      <c r="E6283" s="1"/>
    </row>
    <row r="6284" ht="14.25" customHeight="1">
      <c r="A6284" s="1">
        <v>100.0</v>
      </c>
      <c r="B6284" s="1" t="s">
        <v>2669</v>
      </c>
      <c r="C6284" s="1">
        <v>10.0</v>
      </c>
      <c r="D6284" s="1" t="s">
        <v>6</v>
      </c>
      <c r="E6284" s="1"/>
    </row>
    <row r="6285" ht="14.25" customHeight="1">
      <c r="A6285" s="1">
        <v>66.0</v>
      </c>
      <c r="B6285" s="1" t="s">
        <v>2669</v>
      </c>
      <c r="C6285" s="1">
        <v>8.0</v>
      </c>
      <c r="D6285" s="1" t="s">
        <v>6</v>
      </c>
      <c r="E6285" s="1"/>
    </row>
    <row r="6286" ht="14.25" customHeight="1">
      <c r="A6286" s="1">
        <v>100.0</v>
      </c>
      <c r="B6286" s="1" t="s">
        <v>2669</v>
      </c>
      <c r="C6286" s="1">
        <v>10.0</v>
      </c>
      <c r="D6286" s="1" t="s">
        <v>2866</v>
      </c>
      <c r="E6286" s="1" t="str">
        <f>IFERROR(__xludf.DUMMYFUNCTION("GOOGLETRANSLATE(D6286,""PT"",""EN"")"),"Always help me when I need it is never left me in hand")</f>
        <v>Always help me when I need it is never left me in hand</v>
      </c>
    </row>
    <row r="6287" ht="14.25" customHeight="1">
      <c r="A6287" s="1">
        <v>100.0</v>
      </c>
      <c r="B6287" s="1" t="s">
        <v>2669</v>
      </c>
      <c r="C6287" s="1">
        <v>10.0</v>
      </c>
      <c r="D6287" s="1" t="s">
        <v>6</v>
      </c>
      <c r="E6287" s="1"/>
    </row>
    <row r="6288" ht="14.25" customHeight="1">
      <c r="A6288" s="1">
        <v>100.0</v>
      </c>
      <c r="B6288" s="1" t="s">
        <v>2669</v>
      </c>
      <c r="C6288" s="1">
        <v>10.0</v>
      </c>
      <c r="D6288" s="1" t="s">
        <v>6</v>
      </c>
      <c r="E6288" s="1"/>
    </row>
    <row r="6289" ht="14.25" customHeight="1">
      <c r="A6289" s="1">
        <v>100.0</v>
      </c>
      <c r="B6289" s="1" t="s">
        <v>2669</v>
      </c>
      <c r="C6289" s="1">
        <v>10.0</v>
      </c>
      <c r="D6289" s="1" t="s">
        <v>659</v>
      </c>
      <c r="E6289" s="1" t="str">
        <f>IFERROR(__xludf.DUMMYFUNCTION("GOOGLETRANSLATE(D6289,""PT"",""EN"")"),"Good service.")</f>
        <v>Good service.</v>
      </c>
    </row>
    <row r="6290" ht="14.25" customHeight="1">
      <c r="A6290" s="1">
        <v>100.0</v>
      </c>
      <c r="B6290" s="1" t="s">
        <v>2669</v>
      </c>
      <c r="C6290" s="1">
        <v>10.0</v>
      </c>
      <c r="D6290" s="2" t="s">
        <v>2867</v>
      </c>
      <c r="E6290" s="1" t="str">
        <f>IFERROR(__xludf.DUMMYFUNCTION("GOOGLETRANSLATE(D6290,""PT"",""EN"")"),"Speed ​​and efficiency.")</f>
        <v>Speed ​​and efficiency.</v>
      </c>
    </row>
    <row r="6291" ht="14.25" customHeight="1">
      <c r="A6291" s="1">
        <v>100.0</v>
      </c>
      <c r="B6291" s="1" t="s">
        <v>2669</v>
      </c>
      <c r="C6291" s="1">
        <v>10.0</v>
      </c>
      <c r="D6291" s="1" t="s">
        <v>2868</v>
      </c>
      <c r="E6291" s="1" t="str">
        <f>IFERROR(__xludf.DUMMYFUNCTION("GOOGLETRANSLATE(D6291,""PT"",""EN"")"),"Speed ​​in service.")</f>
        <v>Speed ​​in service.</v>
      </c>
    </row>
    <row r="6292" ht="14.25" customHeight="1">
      <c r="A6292" s="1">
        <v>66.0</v>
      </c>
      <c r="B6292" s="1" t="s">
        <v>2669</v>
      </c>
      <c r="C6292" s="1">
        <v>8.0</v>
      </c>
      <c r="D6292" s="1" t="s">
        <v>718</v>
      </c>
      <c r="E6292" s="1" t="str">
        <f>IFERROR(__xludf.DUMMYFUNCTION("GOOGLETRANSLATE(D6292,""PT"",""EN"")"),"agility")</f>
        <v>agility</v>
      </c>
    </row>
    <row r="6293" ht="14.25" customHeight="1">
      <c r="A6293" s="1">
        <v>33.0</v>
      </c>
      <c r="B6293" s="1" t="s">
        <v>2669</v>
      </c>
      <c r="C6293" s="1">
        <v>4.0</v>
      </c>
      <c r="D6293" s="1" t="s">
        <v>2869</v>
      </c>
      <c r="E6293" s="1" t="str">
        <f>IFERROR(__xludf.DUMMYFUNCTION("GOOGLETRANSLATE(D6293,""PT"",""EN"")"),"Interest on my cooperative are higher than all banks. Cooperative should be better than banks for customers.")</f>
        <v>Interest on my cooperative are higher than all banks. Cooperative should be better than banks for customers.</v>
      </c>
    </row>
    <row r="6294" ht="14.25" customHeight="1">
      <c r="A6294" s="1">
        <v>33.0</v>
      </c>
      <c r="B6294" s="1" t="s">
        <v>2669</v>
      </c>
      <c r="C6294" s="1">
        <v>3.0</v>
      </c>
      <c r="D6294" s="1" t="s">
        <v>6</v>
      </c>
      <c r="E6294" s="1"/>
    </row>
    <row r="6295" ht="14.25" customHeight="1">
      <c r="A6295" s="1">
        <v>33.0</v>
      </c>
      <c r="B6295" s="1" t="s">
        <v>2669</v>
      </c>
      <c r="C6295" s="1">
        <v>0.0</v>
      </c>
      <c r="D6295" s="1" t="s">
        <v>6</v>
      </c>
      <c r="E6295" s="1"/>
    </row>
    <row r="6296" ht="14.25" customHeight="1">
      <c r="A6296" s="1">
        <v>100.0</v>
      </c>
      <c r="B6296" s="1" t="s">
        <v>2669</v>
      </c>
      <c r="C6296" s="1">
        <v>10.0</v>
      </c>
      <c r="D6296" s="2" t="s">
        <v>2870</v>
      </c>
      <c r="E6296" s="1" t="str">
        <f>IFERROR(__xludf.DUMMYFUNCTION("GOOGLETRANSLATE(D6296,""PT"",""EN"")"),"Always well attended by all, especially by my manager Sâmia. Super satisfied with everything they offer is solve.")</f>
        <v>Always well attended by all, especially by my manager Sâmia. Super satisfied with everything they offer is solve.</v>
      </c>
    </row>
    <row r="6297" ht="14.25" customHeight="1">
      <c r="A6297" s="1">
        <v>66.0</v>
      </c>
      <c r="B6297" s="1" t="s">
        <v>2669</v>
      </c>
      <c r="C6297" s="1">
        <v>7.0</v>
      </c>
      <c r="D6297" s="1" t="s">
        <v>2871</v>
      </c>
      <c r="E6297" s="1" t="str">
        <f>IFERROR(__xludf.DUMMYFUNCTION("GOOGLETRANSLATE(D6297,""PT"",""EN"")"),"The delay in service")</f>
        <v>The delay in service</v>
      </c>
    </row>
    <row r="6298" ht="14.25" customHeight="1">
      <c r="A6298" s="1">
        <v>100.0</v>
      </c>
      <c r="B6298" s="1" t="s">
        <v>2669</v>
      </c>
      <c r="C6298" s="1">
        <v>10.0</v>
      </c>
      <c r="D6298" s="1" t="s">
        <v>2872</v>
      </c>
      <c r="E6298" s="1" t="str">
        <f>IFERROR(__xludf.DUMMYFUNCTION("GOOGLETRANSLATE(D6298,""PT"",""EN"")"),"Excellent service, optimal rates.")</f>
        <v>Excellent service, optimal rates.</v>
      </c>
    </row>
    <row r="6299" ht="14.25" customHeight="1">
      <c r="A6299" s="1">
        <v>100.0</v>
      </c>
      <c r="B6299" s="1" t="s">
        <v>2669</v>
      </c>
      <c r="C6299" s="1">
        <v>10.0</v>
      </c>
      <c r="D6299" s="1" t="s">
        <v>6</v>
      </c>
      <c r="E6299" s="1"/>
    </row>
    <row r="6300" ht="14.25" customHeight="1">
      <c r="A6300" s="1">
        <v>100.0</v>
      </c>
      <c r="B6300" s="1" t="s">
        <v>2669</v>
      </c>
      <c r="C6300" s="1">
        <v>10.0</v>
      </c>
      <c r="D6300" s="2" t="s">
        <v>2873</v>
      </c>
      <c r="E6300" s="1" t="str">
        <f>IFERROR(__xludf.DUMMYFUNCTION("GOOGLETRANSLATE(D6300,""PT"",""EN"")"),"I congratulate attendant Alex for his kindness objectivity is attention. Good afternoon")</f>
        <v>I congratulate attendant Alex for his kindness objectivity is attention. Good afternoon</v>
      </c>
    </row>
    <row r="6301" ht="14.25" customHeight="1">
      <c r="A6301" s="1">
        <v>66.0</v>
      </c>
      <c r="B6301" s="1" t="s">
        <v>2669</v>
      </c>
      <c r="C6301" s="1">
        <v>8.0</v>
      </c>
      <c r="D6301" s="1" t="s">
        <v>42</v>
      </c>
      <c r="E6301" s="1" t="str">
        <f>IFERROR(__xludf.DUMMYFUNCTION("GOOGLETRANSLATE(D6301,""PT"",""EN"")"),"good service")</f>
        <v>good service</v>
      </c>
    </row>
    <row r="6302" ht="14.25" customHeight="1">
      <c r="A6302" s="1">
        <v>33.0</v>
      </c>
      <c r="B6302" s="1" t="s">
        <v>2669</v>
      </c>
      <c r="C6302" s="1">
        <v>2.0</v>
      </c>
      <c r="D6302" s="2" t="s">
        <v>2874</v>
      </c>
      <c r="E6302" s="1" t="str">
        <f>IFERROR(__xludf.DUMMYFUNCTION("GOOGLETRANSLATE(D6302,""PT"",""EN"")"),"Good afternoon, the bank is leaving the desire I entered with the document is Bo, which I took a blow on 18/05/2023, to date date has no answer.")</f>
        <v>Good afternoon, the bank is leaving the desire I entered with the document is Bo, which I took a blow on 18/05/2023, to date date has no answer.</v>
      </c>
    </row>
    <row r="6303" ht="14.25" customHeight="1">
      <c r="A6303" s="1">
        <v>100.0</v>
      </c>
      <c r="B6303" s="1" t="s">
        <v>2669</v>
      </c>
      <c r="C6303" s="1">
        <v>9.0</v>
      </c>
      <c r="D6303" s="1" t="s">
        <v>115</v>
      </c>
      <c r="E6303" s="1" t="str">
        <f>IFERROR(__xludf.DUMMYFUNCTION("GOOGLETRANSLATE(D6303,""PT"",""EN"")"),"Service.")</f>
        <v>Service.</v>
      </c>
    </row>
    <row r="6304" ht="14.25" customHeight="1">
      <c r="A6304" s="1">
        <v>100.0</v>
      </c>
      <c r="B6304" s="1" t="s">
        <v>2669</v>
      </c>
      <c r="C6304" s="1">
        <v>10.0</v>
      </c>
      <c r="D6304" s="1" t="s">
        <v>6</v>
      </c>
      <c r="E6304" s="1"/>
    </row>
    <row r="6305" ht="14.25" customHeight="1">
      <c r="A6305" s="1">
        <v>100.0</v>
      </c>
      <c r="B6305" s="1" t="s">
        <v>2669</v>
      </c>
      <c r="C6305" s="1">
        <v>10.0</v>
      </c>
      <c r="D6305" s="1" t="s">
        <v>2875</v>
      </c>
      <c r="E6305" s="1" t="str">
        <f>IFERROR(__xludf.DUMMYFUNCTION("GOOGLETRANSLATE(D6305,""PT"",""EN"")"),"Good service. OK Investments.")</f>
        <v>Good service. OK Investments.</v>
      </c>
    </row>
    <row r="6306" ht="14.25" customHeight="1">
      <c r="A6306" s="1">
        <v>100.0</v>
      </c>
      <c r="B6306" s="1" t="s">
        <v>2669</v>
      </c>
      <c r="C6306" s="1">
        <v>10.0</v>
      </c>
      <c r="D6306" s="1" t="s">
        <v>6</v>
      </c>
      <c r="E6306" s="1"/>
    </row>
    <row r="6307" ht="14.25" customHeight="1">
      <c r="A6307" s="1">
        <v>100.0</v>
      </c>
      <c r="B6307" s="1" t="s">
        <v>2669</v>
      </c>
      <c r="C6307" s="1">
        <v>10.0</v>
      </c>
      <c r="D6307" s="2" t="s">
        <v>2876</v>
      </c>
      <c r="E6307" s="1" t="str">
        <f>IFERROR(__xludf.DUMMYFUNCTION("GOOGLETRANSLATE(D6307,""PT"",""EN"")"),"Reliability and agility.")</f>
        <v>Reliability and agility.</v>
      </c>
    </row>
    <row r="6308" ht="14.25" customHeight="1">
      <c r="A6308" s="1">
        <v>100.0</v>
      </c>
      <c r="B6308" s="1" t="s">
        <v>2669</v>
      </c>
      <c r="C6308" s="1">
        <v>9.0</v>
      </c>
      <c r="D6308" s="1" t="s">
        <v>6</v>
      </c>
      <c r="E6308" s="1"/>
    </row>
    <row r="6309" ht="14.25" customHeight="1">
      <c r="A6309" s="1">
        <v>100.0</v>
      </c>
      <c r="B6309" s="1" t="s">
        <v>2669</v>
      </c>
      <c r="C6309" s="1">
        <v>9.0</v>
      </c>
      <c r="D6309" s="1" t="s">
        <v>6</v>
      </c>
      <c r="E6309" s="1"/>
    </row>
    <row r="6310" ht="14.25" customHeight="1">
      <c r="A6310" s="1">
        <v>66.0</v>
      </c>
      <c r="B6310" s="1" t="s">
        <v>2669</v>
      </c>
      <c r="C6310" s="1">
        <v>8.0</v>
      </c>
      <c r="D6310" s="1" t="s">
        <v>6</v>
      </c>
      <c r="E6310" s="1"/>
    </row>
    <row r="6311" ht="14.25" customHeight="1">
      <c r="A6311" s="1">
        <v>100.0</v>
      </c>
      <c r="B6311" s="1" t="s">
        <v>2669</v>
      </c>
      <c r="C6311" s="1">
        <v>10.0</v>
      </c>
      <c r="D6311" s="1" t="s">
        <v>6</v>
      </c>
      <c r="E6311" s="1"/>
    </row>
    <row r="6312" ht="14.25" customHeight="1">
      <c r="A6312" s="1">
        <v>100.0</v>
      </c>
      <c r="B6312" s="1" t="s">
        <v>2669</v>
      </c>
      <c r="C6312" s="1">
        <v>10.0</v>
      </c>
      <c r="D6312" s="1" t="s">
        <v>2877</v>
      </c>
      <c r="E6312" s="1" t="str">
        <f>IFERROR(__xludf.DUMMYFUNCTION("GOOGLETRANSLATE(D6312,""PT"",""EN"")"),"Prestivity")</f>
        <v>Prestivity</v>
      </c>
    </row>
    <row r="6313" ht="14.25" customHeight="1">
      <c r="A6313" s="1">
        <v>100.0</v>
      </c>
      <c r="B6313" s="1" t="s">
        <v>2669</v>
      </c>
      <c r="C6313" s="1">
        <v>10.0</v>
      </c>
      <c r="D6313" s="2" t="s">
        <v>2878</v>
      </c>
      <c r="E6313" s="1" t="str">
        <f>IFERROR(__xludf.DUMMYFUNCTION("GOOGLETRANSLATE(D6313,""PT"",""EN"")"),"excellence of services provided")</f>
        <v>excellence of services provided</v>
      </c>
    </row>
    <row r="6314" ht="14.25" customHeight="1">
      <c r="A6314" s="1">
        <v>100.0</v>
      </c>
      <c r="B6314" s="1" t="s">
        <v>2669</v>
      </c>
      <c r="C6314" s="1">
        <v>10.0</v>
      </c>
      <c r="D6314" s="1" t="s">
        <v>2879</v>
      </c>
      <c r="E6314" s="1" t="str">
        <f>IFERROR(__xludf.DUMMYFUNCTION("GOOGLETRANSLATE(D6314,""PT"",""EN"")"),"The best service in all my problems")</f>
        <v>The best service in all my problems</v>
      </c>
    </row>
    <row r="6315" ht="14.25" customHeight="1">
      <c r="A6315" s="1">
        <v>66.0</v>
      </c>
      <c r="B6315" s="1" t="s">
        <v>2669</v>
      </c>
      <c r="C6315" s="1">
        <v>8.0</v>
      </c>
      <c r="D6315" s="1" t="s">
        <v>2880</v>
      </c>
      <c r="E6315" s="1" t="str">
        <f>IFERROR(__xludf.DUMMYFUNCTION("GOOGLETRANSLATE(D6315,""PT"",""EN"")"),"satisfactory")</f>
        <v>satisfactory</v>
      </c>
    </row>
    <row r="6316" ht="14.25" customHeight="1">
      <c r="A6316" s="1">
        <v>100.0</v>
      </c>
      <c r="B6316" s="1" t="s">
        <v>2669</v>
      </c>
      <c r="C6316" s="1">
        <v>10.0</v>
      </c>
      <c r="D6316" s="1" t="s">
        <v>2881</v>
      </c>
      <c r="E6316" s="1" t="str">
        <f>IFERROR(__xludf.DUMMYFUNCTION("GOOGLETRANSLATE(D6316,""PT"",""EN"")"),"Whenever I needed I was well attended by the Sicoob team")</f>
        <v>Whenever I needed I was well attended by the Sicoob team</v>
      </c>
    </row>
    <row r="6317" ht="14.25" customHeight="1">
      <c r="A6317" s="1">
        <v>100.0</v>
      </c>
      <c r="B6317" s="1" t="s">
        <v>2669</v>
      </c>
      <c r="C6317" s="1">
        <v>9.0</v>
      </c>
      <c r="D6317" s="2" t="s">
        <v>2882</v>
      </c>
      <c r="E6317" s="1" t="str">
        <f>IFERROR(__xludf.DUMMYFUNCTION("GOOGLETRANSLATE(D6317,""PT"",""EN"")"),"renowned company, competent professionals")</f>
        <v>renowned company, competent professionals</v>
      </c>
    </row>
    <row r="6318" ht="14.25" customHeight="1">
      <c r="A6318" s="1">
        <v>100.0</v>
      </c>
      <c r="B6318" s="1" t="s">
        <v>2669</v>
      </c>
      <c r="C6318" s="1">
        <v>9.0</v>
      </c>
      <c r="D6318" s="1" t="s">
        <v>6</v>
      </c>
      <c r="E6318" s="1"/>
    </row>
    <row r="6319" ht="14.25" customHeight="1">
      <c r="A6319" s="1">
        <v>66.0</v>
      </c>
      <c r="B6319" s="1" t="s">
        <v>2669</v>
      </c>
      <c r="C6319" s="1">
        <v>8.0</v>
      </c>
      <c r="D6319" s="2" t="s">
        <v>2883</v>
      </c>
      <c r="E6319" s="1" t="str">
        <f>IFERROR(__xludf.DUMMYFUNCTION("GOOGLETRANSLATE(D6319,""PT"",""EN"")"),"Could improve loan request time is to make the site the most technological/independent app")</f>
        <v>Could improve loan request time is to make the site the most technological/independent app</v>
      </c>
    </row>
    <row r="6320" ht="14.25" customHeight="1">
      <c r="A6320" s="1">
        <v>100.0</v>
      </c>
      <c r="B6320" s="1" t="s">
        <v>2669</v>
      </c>
      <c r="C6320" s="1">
        <v>9.0</v>
      </c>
      <c r="D6320" s="1" t="s">
        <v>2884</v>
      </c>
      <c r="E6320" s="1" t="str">
        <f>IFERROR(__xludf.DUMMYFUNCTION("GOOGLETRANSLATE(D6320,""PT"",""EN"")"),"I think the service is good, especially for whatsapp")</f>
        <v>I think the service is good, especially for whatsapp</v>
      </c>
    </row>
    <row r="6321" ht="14.25" customHeight="1">
      <c r="A6321" s="1">
        <v>33.0</v>
      </c>
      <c r="B6321" s="1" t="s">
        <v>2669</v>
      </c>
      <c r="C6321" s="1">
        <v>2.0</v>
      </c>
      <c r="D6321" s="1" t="s">
        <v>2885</v>
      </c>
      <c r="E6321" s="1" t="str">
        <f>IFERROR(__xludf.DUMMYFUNCTION("GOOGLETRANSLATE(D6321,""PT"",""EN"")"),"Rules changes in the middle of the game low the system credibility.")</f>
        <v>Rules changes in the middle of the game low the system credibility.</v>
      </c>
    </row>
    <row r="6322" ht="14.25" customHeight="1">
      <c r="A6322" s="1">
        <v>66.0</v>
      </c>
      <c r="B6322" s="1" t="s">
        <v>2669</v>
      </c>
      <c r="C6322" s="1">
        <v>8.0</v>
      </c>
      <c r="D6322" s="1" t="s">
        <v>2886</v>
      </c>
      <c r="E6322" s="1" t="str">
        <f>IFERROR(__xludf.DUMMYFUNCTION("GOOGLETRANSLATE(D6322,""PT"",""EN"")"),"Agility")</f>
        <v>Agility</v>
      </c>
    </row>
    <row r="6323" ht="14.25" customHeight="1">
      <c r="A6323" s="1">
        <v>100.0</v>
      </c>
      <c r="B6323" s="1" t="s">
        <v>2669</v>
      </c>
      <c r="C6323" s="1">
        <v>9.0</v>
      </c>
      <c r="D6323" s="1" t="s">
        <v>6</v>
      </c>
      <c r="E6323" s="1"/>
    </row>
    <row r="6324" ht="14.25" customHeight="1">
      <c r="A6324" s="1">
        <v>100.0</v>
      </c>
      <c r="B6324" s="1" t="s">
        <v>2669</v>
      </c>
      <c r="C6324" s="1">
        <v>10.0</v>
      </c>
      <c r="D6324" s="1" t="s">
        <v>9</v>
      </c>
      <c r="E6324" s="1" t="str">
        <f>IFERROR(__xludf.DUMMYFUNCTION("GOOGLETRANSLATE(D6324,""PT"",""EN"")"),"10")</f>
        <v>10</v>
      </c>
    </row>
    <row r="6325" ht="14.25" customHeight="1">
      <c r="A6325" s="1">
        <v>33.0</v>
      </c>
      <c r="B6325" s="1" t="s">
        <v>2669</v>
      </c>
      <c r="C6325" s="1">
        <v>6.0</v>
      </c>
      <c r="D6325" s="1" t="s">
        <v>2887</v>
      </c>
      <c r="E6325" s="1" t="str">
        <f>IFERROR(__xludf.DUMMYFUNCTION("GOOGLETRANSLATE(D6325,""PT"",""EN"")"),"Already was better")</f>
        <v>Already was better</v>
      </c>
    </row>
    <row r="6326" ht="14.25" customHeight="1">
      <c r="A6326" s="1">
        <v>33.0</v>
      </c>
      <c r="B6326" s="1" t="s">
        <v>2669</v>
      </c>
      <c r="C6326" s="1">
        <v>5.0</v>
      </c>
      <c r="D6326" s="2" t="s">
        <v>2888</v>
      </c>
      <c r="E6326" s="1" t="str">
        <f>IFERROR(__xludf.DUMMYFUNCTION("GOOGLETRANSLATE(D6326,""PT"",""EN"")"),"I indicated the bank for a relative unfortunately her experience was not as good as I mentioned for her as much. The bank offers no credit to work by increasing the bureaucracy. Finally I had no good experience.")</f>
        <v>I indicated the bank for a relative unfortunately her experience was not as good as I mentioned for her as much. The bank offers no credit to work by increasing the bureaucracy. Finally I had no good experience.</v>
      </c>
    </row>
    <row r="6327" ht="14.25" customHeight="1">
      <c r="A6327" s="1">
        <v>100.0</v>
      </c>
      <c r="B6327" s="1" t="s">
        <v>2669</v>
      </c>
      <c r="C6327" s="1">
        <v>10.0</v>
      </c>
      <c r="D6327" s="2" t="s">
        <v>2889</v>
      </c>
      <c r="E6327" s="1" t="str">
        <f>IFERROR(__xludf.DUMMYFUNCTION("GOOGLETRANSLATE(D6327,""PT"",""EN"")"),"Excellent")</f>
        <v>Excellent</v>
      </c>
    </row>
    <row r="6328" ht="14.25" customHeight="1">
      <c r="A6328" s="1">
        <v>33.0</v>
      </c>
      <c r="B6328" s="1" t="s">
        <v>2669</v>
      </c>
      <c r="C6328" s="1">
        <v>4.0</v>
      </c>
      <c r="D6328" s="1" t="s">
        <v>2890</v>
      </c>
      <c r="E6328" s="1" t="str">
        <f>IFERROR(__xludf.DUMMYFUNCTION("GOOGLETRANSLATE(D6328,""PT"",""EN"")"),"Falls short")</f>
        <v>Falls short</v>
      </c>
    </row>
    <row r="6329" ht="14.25" customHeight="1">
      <c r="A6329" s="1">
        <v>66.0</v>
      </c>
      <c r="B6329" s="1" t="s">
        <v>2669</v>
      </c>
      <c r="C6329" s="1">
        <v>8.0</v>
      </c>
      <c r="D6329" s="1" t="s">
        <v>37</v>
      </c>
      <c r="E6329" s="1" t="str">
        <f>IFERROR(__xludf.DUMMYFUNCTION("GOOGLETRANSLATE(D6329,""PT"",""EN"")"),"Great service")</f>
        <v>Great service</v>
      </c>
    </row>
    <row r="6330" ht="14.25" customHeight="1">
      <c r="A6330" s="1">
        <v>33.0</v>
      </c>
      <c r="B6330" s="1" t="s">
        <v>2669</v>
      </c>
      <c r="C6330" s="1">
        <v>1.0</v>
      </c>
      <c r="D6330" s="1" t="s">
        <v>6</v>
      </c>
      <c r="E6330" s="1"/>
    </row>
    <row r="6331" ht="14.25" customHeight="1">
      <c r="A6331" s="1">
        <v>100.0</v>
      </c>
      <c r="B6331" s="1" t="s">
        <v>2669</v>
      </c>
      <c r="C6331" s="1">
        <v>10.0</v>
      </c>
      <c r="D6331" s="1" t="s">
        <v>6</v>
      </c>
      <c r="E6331" s="1"/>
    </row>
    <row r="6332" ht="14.25" customHeight="1">
      <c r="A6332" s="1">
        <v>100.0</v>
      </c>
      <c r="B6332" s="1" t="s">
        <v>2669</v>
      </c>
      <c r="C6332" s="1">
        <v>10.0</v>
      </c>
      <c r="D6332" s="1" t="s">
        <v>6</v>
      </c>
      <c r="E6332" s="1"/>
    </row>
    <row r="6333" ht="14.25" customHeight="1">
      <c r="A6333" s="1">
        <v>100.0</v>
      </c>
      <c r="B6333" s="1" t="s">
        <v>2669</v>
      </c>
      <c r="C6333" s="1">
        <v>10.0</v>
      </c>
      <c r="D6333" s="1" t="s">
        <v>22</v>
      </c>
      <c r="E6333" s="1" t="str">
        <f>IFERROR(__xludf.DUMMYFUNCTION("GOOGLETRANSLATE(D6333,""PT"",""EN"")"),"Excellent service")</f>
        <v>Excellent service</v>
      </c>
    </row>
    <row r="6334" ht="14.25" customHeight="1">
      <c r="A6334" s="1">
        <v>100.0</v>
      </c>
      <c r="B6334" s="1" t="s">
        <v>2669</v>
      </c>
      <c r="C6334" s="1">
        <v>10.0</v>
      </c>
      <c r="D6334" s="1" t="s">
        <v>2891</v>
      </c>
      <c r="E6334" s="1" t="str">
        <f>IFERROR(__xludf.DUMMYFUNCTION("GOOGLETRANSLATE(D6334,""PT"",""EN"")"),"I am satisfied with the bank services")</f>
        <v>I am satisfied with the bank services</v>
      </c>
    </row>
    <row r="6335" ht="14.25" customHeight="1">
      <c r="A6335" s="1">
        <v>100.0</v>
      </c>
      <c r="B6335" s="1" t="s">
        <v>2669</v>
      </c>
      <c r="C6335" s="1">
        <v>10.0</v>
      </c>
      <c r="D6335" s="1" t="s">
        <v>37</v>
      </c>
      <c r="E6335" s="1" t="str">
        <f>IFERROR(__xludf.DUMMYFUNCTION("GOOGLETRANSLATE(D6335,""PT"",""EN"")"),"Great service")</f>
        <v>Great service</v>
      </c>
    </row>
    <row r="6336" ht="14.25" customHeight="1">
      <c r="A6336" s="1">
        <v>100.0</v>
      </c>
      <c r="B6336" s="1" t="s">
        <v>2669</v>
      </c>
      <c r="C6336" s="1">
        <v>9.0</v>
      </c>
      <c r="D6336" s="1" t="s">
        <v>6</v>
      </c>
      <c r="E6336" s="1"/>
    </row>
    <row r="6337" ht="14.25" customHeight="1">
      <c r="A6337" s="1">
        <v>66.0</v>
      </c>
      <c r="B6337" s="1" t="s">
        <v>2669</v>
      </c>
      <c r="C6337" s="1">
        <v>8.0</v>
      </c>
      <c r="D6337" s="1" t="s">
        <v>6</v>
      </c>
      <c r="E6337" s="1"/>
    </row>
    <row r="6338" ht="14.25" customHeight="1">
      <c r="A6338" s="1">
        <v>100.0</v>
      </c>
      <c r="B6338" s="1" t="s">
        <v>2669</v>
      </c>
      <c r="C6338" s="1">
        <v>10.0</v>
      </c>
      <c r="D6338" s="2" t="s">
        <v>2892</v>
      </c>
      <c r="E6338" s="1" t="str">
        <f>IFERROR(__xludf.DUMMYFUNCTION("GOOGLETRANSLATE(D6338,""PT"",""EN"")"),"great bank")</f>
        <v>great bank</v>
      </c>
    </row>
    <row r="6339" ht="14.25" customHeight="1">
      <c r="A6339" s="1">
        <v>100.0</v>
      </c>
      <c r="B6339" s="1" t="s">
        <v>2669</v>
      </c>
      <c r="C6339" s="1">
        <v>10.0</v>
      </c>
      <c r="D6339" s="1" t="s">
        <v>6</v>
      </c>
      <c r="E6339" s="1"/>
    </row>
    <row r="6340" ht="14.25" customHeight="1">
      <c r="A6340" s="1">
        <v>100.0</v>
      </c>
      <c r="B6340" s="1" t="s">
        <v>2669</v>
      </c>
      <c r="C6340" s="1">
        <v>10.0</v>
      </c>
      <c r="D6340" s="1" t="s">
        <v>6</v>
      </c>
      <c r="E6340" s="1"/>
    </row>
    <row r="6341" ht="14.25" customHeight="1">
      <c r="A6341" s="1">
        <v>66.0</v>
      </c>
      <c r="B6341" s="1" t="s">
        <v>2669</v>
      </c>
      <c r="C6341" s="1">
        <v>8.0</v>
      </c>
      <c r="D6341" s="2" t="s">
        <v>2893</v>
      </c>
      <c r="E6341" s="1" t="str">
        <f>IFERROR(__xludf.DUMMYFUNCTION("GOOGLETRANSLATE(D6341,""PT"",""EN"")"),"I give 08 because it is very limited to credit limits, especially with regard to the card limit. Some services are not yet available like Apple Pay.")</f>
        <v>I give 08 because it is very limited to credit limits, especially with regard to the card limit. Some services are not yet available like Apple Pay.</v>
      </c>
    </row>
    <row r="6342" ht="14.25" customHeight="1">
      <c r="A6342" s="1">
        <v>33.0</v>
      </c>
      <c r="B6342" s="1" t="s">
        <v>2669</v>
      </c>
      <c r="C6342" s="1">
        <v>0.0</v>
      </c>
      <c r="D6342" s="1" t="s">
        <v>2894</v>
      </c>
      <c r="E6342" s="1" t="str">
        <f>IFERROR(__xludf.DUMMYFUNCTION("GOOGLETRANSLATE(D6342,""PT"",""EN"")"),"Lots of bureaucracy, at Nubank we solve things simply.")</f>
        <v>Lots of bureaucracy, at Nubank we solve things simply.</v>
      </c>
    </row>
    <row r="6343" ht="14.25" customHeight="1">
      <c r="A6343" s="1">
        <v>100.0</v>
      </c>
      <c r="B6343" s="1" t="s">
        <v>2669</v>
      </c>
      <c r="C6343" s="1">
        <v>10.0</v>
      </c>
      <c r="D6343" s="1" t="s">
        <v>2895</v>
      </c>
      <c r="E6343" s="1" t="str">
        <f>IFERROR(__xludf.DUMMYFUNCTION("GOOGLETRANSLATE(D6343,""PT"",""EN"")"),"Credibility, service")</f>
        <v>Credibility, service</v>
      </c>
    </row>
    <row r="6344" ht="14.25" customHeight="1">
      <c r="A6344" s="1">
        <v>100.0</v>
      </c>
      <c r="B6344" s="1" t="s">
        <v>2669</v>
      </c>
      <c r="C6344" s="1">
        <v>9.0</v>
      </c>
      <c r="D6344" s="2" t="s">
        <v>2896</v>
      </c>
      <c r="E6344" s="1" t="str">
        <f>IFERROR(__xludf.DUMMYFUNCTION("GOOGLETRANSLATE(D6344,""PT"",""EN"")"),"quick answer")</f>
        <v>quick answer</v>
      </c>
    </row>
    <row r="6345" ht="14.25" customHeight="1">
      <c r="A6345" s="1">
        <v>33.0</v>
      </c>
      <c r="B6345" s="1" t="s">
        <v>2669</v>
      </c>
      <c r="C6345" s="1">
        <v>0.0</v>
      </c>
      <c r="D6345" s="2" t="s">
        <v>2897</v>
      </c>
      <c r="E6345" s="1" t="str">
        <f>IFERROR(__xludf.DUMMYFUNCTION("GOOGLETRANSLATE(D6345,""PT"",""EN"")"),"During every year I was an account holder, I thought it was the best bank, but I was totally mistaken, I still have you, but I will end them as soon as possible is not indicated for anyone.")</f>
        <v>During every year I was an account holder, I thought it was the best bank, but I was totally mistaken, I still have you, but I will end them as soon as possible is not indicated for anyone.</v>
      </c>
    </row>
    <row r="6346" ht="14.25" customHeight="1">
      <c r="A6346" s="1">
        <v>100.0</v>
      </c>
      <c r="B6346" s="1" t="s">
        <v>2669</v>
      </c>
      <c r="C6346" s="1">
        <v>10.0</v>
      </c>
      <c r="D6346" s="1" t="s">
        <v>6</v>
      </c>
      <c r="E6346" s="1"/>
    </row>
    <row r="6347" ht="14.25" customHeight="1">
      <c r="A6347" s="1">
        <v>100.0</v>
      </c>
      <c r="B6347" s="1" t="s">
        <v>2669</v>
      </c>
      <c r="C6347" s="1">
        <v>10.0</v>
      </c>
      <c r="D6347" s="2" t="s">
        <v>2898</v>
      </c>
      <c r="E6347" s="1" t="str">
        <f>IFERROR(__xludf.DUMMYFUNCTION("GOOGLETRANSLATE(D6347,""PT"",""EN"")"),"Confidence, promptness in attendance, education of attendants is efficiency in solving the problems.")</f>
        <v>Confidence, promptness in attendance, education of attendants is efficiency in solving the problems.</v>
      </c>
    </row>
    <row r="6348" ht="14.25" customHeight="1">
      <c r="A6348" s="1">
        <v>100.0</v>
      </c>
      <c r="B6348" s="1" t="s">
        <v>2669</v>
      </c>
      <c r="C6348" s="1">
        <v>10.0</v>
      </c>
      <c r="D6348" s="1" t="s">
        <v>9</v>
      </c>
      <c r="E6348" s="1" t="str">
        <f>IFERROR(__xludf.DUMMYFUNCTION("GOOGLETRANSLATE(D6348,""PT"",""EN"")"),"10")</f>
        <v>10</v>
      </c>
    </row>
    <row r="6349" ht="14.25" customHeight="1">
      <c r="A6349" s="1">
        <v>66.0</v>
      </c>
      <c r="B6349" s="1" t="s">
        <v>2669</v>
      </c>
      <c r="C6349" s="1">
        <v>7.0</v>
      </c>
      <c r="D6349" s="1" t="s">
        <v>6</v>
      </c>
      <c r="E6349" s="1"/>
    </row>
    <row r="6350" ht="14.25" customHeight="1">
      <c r="A6350" s="1">
        <v>100.0</v>
      </c>
      <c r="B6350" s="1" t="s">
        <v>2669</v>
      </c>
      <c r="C6350" s="1">
        <v>10.0</v>
      </c>
      <c r="D6350" s="1" t="s">
        <v>6</v>
      </c>
      <c r="E6350" s="1"/>
    </row>
    <row r="6351" ht="14.25" customHeight="1">
      <c r="A6351" s="1">
        <v>33.0</v>
      </c>
      <c r="B6351" s="1" t="s">
        <v>2669</v>
      </c>
      <c r="C6351" s="1">
        <v>6.0</v>
      </c>
      <c r="D6351" s="1" t="s">
        <v>6</v>
      </c>
      <c r="E6351" s="1"/>
    </row>
    <row r="6352" ht="14.25" customHeight="1">
      <c r="A6352" s="1">
        <v>66.0</v>
      </c>
      <c r="B6352" s="1" t="s">
        <v>2669</v>
      </c>
      <c r="C6352" s="1">
        <v>7.0</v>
      </c>
      <c r="D6352" s="1" t="s">
        <v>6</v>
      </c>
      <c r="E6352" s="1"/>
    </row>
    <row r="6353" ht="14.25" customHeight="1">
      <c r="A6353" s="1">
        <v>33.0</v>
      </c>
      <c r="B6353" s="1" t="s">
        <v>2669</v>
      </c>
      <c r="C6353" s="1">
        <v>5.0</v>
      </c>
      <c r="D6353" s="2" t="s">
        <v>423</v>
      </c>
      <c r="E6353" s="1" t="str">
        <f>IFERROR(__xludf.DUMMYFUNCTION("GOOGLETRANSLATE(D6353,""PT"",""EN"")"),"terrible")</f>
        <v>terrible</v>
      </c>
    </row>
    <row r="6354" ht="14.25" customHeight="1">
      <c r="A6354" s="1">
        <v>66.0</v>
      </c>
      <c r="B6354" s="1" t="s">
        <v>2669</v>
      </c>
      <c r="C6354" s="1">
        <v>8.0</v>
      </c>
      <c r="D6354" s="1" t="s">
        <v>85</v>
      </c>
      <c r="E6354" s="1" t="str">
        <f>IFERROR(__xludf.DUMMYFUNCTION("GOOGLETRANSLATE(D6354,""PT"",""EN"")"),"Service")</f>
        <v>Service</v>
      </c>
    </row>
    <row r="6355" ht="14.25" customHeight="1">
      <c r="A6355" s="1">
        <v>100.0</v>
      </c>
      <c r="B6355" s="1" t="s">
        <v>2669</v>
      </c>
      <c r="C6355" s="1">
        <v>10.0</v>
      </c>
      <c r="D6355" s="1" t="s">
        <v>6</v>
      </c>
      <c r="E6355" s="1"/>
    </row>
    <row r="6356" ht="14.25" customHeight="1">
      <c r="A6356" s="1">
        <v>100.0</v>
      </c>
      <c r="B6356" s="1" t="s">
        <v>2669</v>
      </c>
      <c r="C6356" s="1">
        <v>9.0</v>
      </c>
      <c r="D6356" s="1" t="s">
        <v>6</v>
      </c>
      <c r="E6356" s="1"/>
    </row>
    <row r="6357" ht="14.25" customHeight="1">
      <c r="A6357" s="1">
        <v>100.0</v>
      </c>
      <c r="B6357" s="1" t="s">
        <v>2669</v>
      </c>
      <c r="C6357" s="1">
        <v>10.0</v>
      </c>
      <c r="D6357" s="1" t="s">
        <v>6</v>
      </c>
      <c r="E6357" s="1"/>
    </row>
    <row r="6358" ht="14.25" customHeight="1">
      <c r="A6358" s="1">
        <v>100.0</v>
      </c>
      <c r="B6358" s="1" t="s">
        <v>2669</v>
      </c>
      <c r="C6358" s="1">
        <v>9.0</v>
      </c>
      <c r="D6358" s="1" t="s">
        <v>2899</v>
      </c>
      <c r="E6358" s="1" t="str">
        <f>IFERROR(__xludf.DUMMYFUNCTION("GOOGLETRANSLATE(D6358,""PT"",""EN"")"),"Nine")</f>
        <v>Nine</v>
      </c>
    </row>
    <row r="6359" ht="14.25" customHeight="1">
      <c r="A6359" s="1">
        <v>100.0</v>
      </c>
      <c r="B6359" s="1" t="s">
        <v>2669</v>
      </c>
      <c r="C6359" s="1">
        <v>10.0</v>
      </c>
      <c r="D6359" s="1" t="s">
        <v>2900</v>
      </c>
      <c r="E6359" s="1" t="str">
        <f>IFERROR(__xludf.DUMMYFUNCTION("GOOGLETRANSLATE(D6359,""PT"",""EN"")"),"I was always well attended.")</f>
        <v>I was always well attended.</v>
      </c>
    </row>
    <row r="6360" ht="14.25" customHeight="1">
      <c r="A6360" s="1">
        <v>100.0</v>
      </c>
      <c r="B6360" s="1" t="s">
        <v>2669</v>
      </c>
      <c r="C6360" s="1">
        <v>10.0</v>
      </c>
      <c r="D6360" s="1" t="s">
        <v>6</v>
      </c>
      <c r="E6360" s="1"/>
    </row>
    <row r="6361" ht="14.25" customHeight="1">
      <c r="A6361" s="1">
        <v>100.0</v>
      </c>
      <c r="B6361" s="1" t="s">
        <v>2669</v>
      </c>
      <c r="C6361" s="1">
        <v>9.0</v>
      </c>
      <c r="D6361" s="1" t="s">
        <v>6</v>
      </c>
      <c r="E6361" s="1"/>
    </row>
    <row r="6362" ht="14.25" customHeight="1">
      <c r="A6362" s="1">
        <v>100.0</v>
      </c>
      <c r="B6362" s="1" t="s">
        <v>2669</v>
      </c>
      <c r="C6362" s="1">
        <v>10.0</v>
      </c>
      <c r="D6362" s="1" t="s">
        <v>6</v>
      </c>
      <c r="E6362" s="1"/>
    </row>
    <row r="6363" ht="14.25" customHeight="1">
      <c r="A6363" s="1">
        <v>100.0</v>
      </c>
      <c r="B6363" s="1" t="s">
        <v>2669</v>
      </c>
      <c r="C6363" s="1">
        <v>10.0</v>
      </c>
      <c r="D6363" s="1" t="s">
        <v>2901</v>
      </c>
      <c r="E6363" s="1" t="str">
        <f>IFERROR(__xludf.DUMMYFUNCTION("GOOGLETRANSLATE(D6363,""PT"",""EN"")"),"Excellent treatment for the client")</f>
        <v>Excellent treatment for the client</v>
      </c>
    </row>
    <row r="6364" ht="14.25" customHeight="1">
      <c r="A6364" s="1">
        <v>33.0</v>
      </c>
      <c r="B6364" s="1" t="s">
        <v>2669</v>
      </c>
      <c r="C6364" s="1">
        <v>1.0</v>
      </c>
      <c r="D6364" s="1" t="s">
        <v>2902</v>
      </c>
      <c r="E6364" s="1" t="str">
        <f>IFERROR(__xludf.DUMMYFUNCTION("GOOGLETRANSLATE(D6364,""PT"",""EN"")"),"Lack of debt negotiation, the institution prefers to radicalize.")</f>
        <v>Lack of debt negotiation, the institution prefers to radicalize.</v>
      </c>
    </row>
    <row r="6365" ht="14.25" customHeight="1">
      <c r="A6365" s="1">
        <v>100.0</v>
      </c>
      <c r="B6365" s="1" t="s">
        <v>2669</v>
      </c>
      <c r="C6365" s="1">
        <v>10.0</v>
      </c>
      <c r="D6365" s="2" t="s">
        <v>2903</v>
      </c>
      <c r="E6365" s="1" t="str">
        <f>IFERROR(__xludf.DUMMYFUNCTION("GOOGLETRANSLATE(D6365,""PT"",""EN"")"),"Responsibility is competence.")</f>
        <v>Responsibility is competence.</v>
      </c>
    </row>
    <row r="6366" ht="14.25" customHeight="1">
      <c r="A6366" s="1">
        <v>100.0</v>
      </c>
      <c r="B6366" s="1" t="s">
        <v>2669</v>
      </c>
      <c r="C6366" s="1">
        <v>9.0</v>
      </c>
      <c r="D6366" s="2" t="s">
        <v>2904</v>
      </c>
      <c r="E6366" s="1" t="str">
        <f>IFERROR(__xludf.DUMMYFUNCTION("GOOGLETRANSLATE(D6366,""PT"",""EN"")"),"The quality of is speed in service. In addition to the sympathetic form of the attendant during the service.")</f>
        <v>The quality of is speed in service. In addition to the sympathetic form of the attendant during the service.</v>
      </c>
    </row>
    <row r="6367" ht="14.25" customHeight="1">
      <c r="A6367" s="1">
        <v>100.0</v>
      </c>
      <c r="B6367" s="1" t="s">
        <v>2669</v>
      </c>
      <c r="C6367" s="1">
        <v>9.0</v>
      </c>
      <c r="D6367" s="1" t="s">
        <v>6</v>
      </c>
      <c r="E6367" s="1"/>
    </row>
    <row r="6368" ht="14.25" customHeight="1">
      <c r="A6368" s="1">
        <v>100.0</v>
      </c>
      <c r="B6368" s="1" t="s">
        <v>2669</v>
      </c>
      <c r="C6368" s="1">
        <v>10.0</v>
      </c>
      <c r="D6368" s="1" t="s">
        <v>37</v>
      </c>
      <c r="E6368" s="1" t="str">
        <f>IFERROR(__xludf.DUMMYFUNCTION("GOOGLETRANSLATE(D6368,""PT"",""EN"")"),"Great service")</f>
        <v>Great service</v>
      </c>
    </row>
    <row r="6369" ht="14.25" customHeight="1">
      <c r="A6369" s="1">
        <v>100.0</v>
      </c>
      <c r="B6369" s="1" t="s">
        <v>2669</v>
      </c>
      <c r="C6369" s="1">
        <v>10.0</v>
      </c>
      <c r="D6369" s="1" t="s">
        <v>6</v>
      </c>
      <c r="E6369" s="1"/>
    </row>
    <row r="6370" ht="14.25" customHeight="1">
      <c r="A6370" s="1">
        <v>100.0</v>
      </c>
      <c r="B6370" s="1" t="s">
        <v>2669</v>
      </c>
      <c r="C6370" s="1">
        <v>10.0</v>
      </c>
      <c r="D6370" s="2" t="s">
        <v>2905</v>
      </c>
      <c r="E6370" s="1" t="str">
        <f>IFERROR(__xludf.DUMMYFUNCTION("GOOGLETRANSLATE(D6370,""PT"",""EN"")"),"due to the competence of cooperative employees are fast is resolving in a timely manner that agent needs")</f>
        <v>due to the competence of cooperative employees are fast is resolving in a timely manner that agent needs</v>
      </c>
    </row>
    <row r="6371" ht="14.25" customHeight="1">
      <c r="A6371" s="1">
        <v>100.0</v>
      </c>
      <c r="B6371" s="1" t="s">
        <v>2669</v>
      </c>
      <c r="C6371" s="1">
        <v>10.0</v>
      </c>
      <c r="D6371" s="1" t="s">
        <v>2906</v>
      </c>
      <c r="E6371" s="1" t="str">
        <f>IFERROR(__xludf.DUMMYFUNCTION("GOOGLETRANSLATE(D6371,""PT"",""EN"")"),"Service, both face -to -face and service channels.")</f>
        <v>Service, both face -to -face and service channels.</v>
      </c>
    </row>
    <row r="6372" ht="14.25" customHeight="1">
      <c r="A6372" s="1">
        <v>33.0</v>
      </c>
      <c r="B6372" s="1" t="s">
        <v>2669</v>
      </c>
      <c r="C6372" s="1">
        <v>0.0</v>
      </c>
      <c r="D6372" s="2" t="s">
        <v>2907</v>
      </c>
      <c r="E6372" s="1" t="str">
        <f>IFERROR(__xludf.DUMMYFUNCTION("GOOGLETRANSLATE(D6372,""PT"",""EN"")"),"I have an application on Sicoob Embrapa. I can't get the money back.")</f>
        <v>I have an application on Sicoob Embrapa. I can't get the money back.</v>
      </c>
    </row>
    <row r="6373" ht="14.25" customHeight="1">
      <c r="A6373" s="1">
        <v>33.0</v>
      </c>
      <c r="B6373" s="1" t="s">
        <v>2669</v>
      </c>
      <c r="C6373" s="1">
        <v>0.0</v>
      </c>
      <c r="D6373" s="2" t="s">
        <v>2908</v>
      </c>
      <c r="E6373" s="1" t="str">
        <f>IFERROR(__xludf.DUMMYFUNCTION("GOOGLETRANSLATE(D6373,""PT"",""EN"")"),"Do not give credit, much less loan I use this institution for 4 years. Never added to me at all (obs: my name is always was clean)")</f>
        <v>Do not give credit, much less loan I use this institution for 4 years. Never added to me at all (obs: my name is always was clean)</v>
      </c>
    </row>
    <row r="6374" ht="14.25" customHeight="1">
      <c r="A6374" s="1">
        <v>66.0</v>
      </c>
      <c r="B6374" s="1" t="s">
        <v>2669</v>
      </c>
      <c r="C6374" s="1">
        <v>8.0</v>
      </c>
      <c r="D6374" s="1" t="s">
        <v>6</v>
      </c>
      <c r="E6374" s="1"/>
    </row>
    <row r="6375" ht="14.25" customHeight="1">
      <c r="A6375" s="1">
        <v>100.0</v>
      </c>
      <c r="B6375" s="1" t="s">
        <v>2669</v>
      </c>
      <c r="C6375" s="1">
        <v>10.0</v>
      </c>
      <c r="D6375" s="1" t="s">
        <v>6</v>
      </c>
      <c r="E6375" s="1"/>
    </row>
    <row r="6376" ht="14.25" customHeight="1">
      <c r="A6376" s="1">
        <v>33.0</v>
      </c>
      <c r="B6376" s="1" t="s">
        <v>2669</v>
      </c>
      <c r="C6376" s="1">
        <v>6.0</v>
      </c>
      <c r="D6376" s="1" t="s">
        <v>2909</v>
      </c>
      <c r="E6376" s="1" t="str">
        <f>IFERROR(__xludf.DUMMYFUNCTION("GOOGLETRANSLATE(D6376,""PT"",""EN"")"),"Should improve in the agility of care")</f>
        <v>Should improve in the agility of care</v>
      </c>
    </row>
    <row r="6377" ht="14.25" customHeight="1">
      <c r="A6377" s="1">
        <v>100.0</v>
      </c>
      <c r="B6377" s="1" t="s">
        <v>2669</v>
      </c>
      <c r="C6377" s="1">
        <v>10.0</v>
      </c>
      <c r="D6377" s="1" t="s">
        <v>6</v>
      </c>
      <c r="E6377" s="1"/>
    </row>
    <row r="6378" ht="14.25" customHeight="1">
      <c r="A6378" s="1">
        <v>100.0</v>
      </c>
      <c r="B6378" s="1" t="s">
        <v>2669</v>
      </c>
      <c r="C6378" s="1">
        <v>10.0</v>
      </c>
      <c r="D6378" s="2" t="s">
        <v>2910</v>
      </c>
      <c r="E6378" s="1" t="str">
        <f>IFERROR(__xludf.DUMMYFUNCTION("GOOGLETRANSLATE(D6378,""PT"",""EN"")"),"I know the system, the renewal of OQs, will be fundamental to our survival, I have said that we need to invest in the formation of children before they arrive in adulthood, I defended my thesis in the MBA Strategic Management in cooperative where I delive"&amp;"red my TCC, which ´Planar Now to reap later.")</f>
        <v>I know the system, the renewal of OQs, will be fundamental to our survival, I have said that we need to invest in the formation of children before they arrive in adulthood, I defended my thesis in the MBA Strategic Management in cooperative where I delivered my TCC, which ´Planar Now to reap later.</v>
      </c>
    </row>
    <row r="6379" ht="14.25" customHeight="1">
      <c r="A6379" s="1">
        <v>33.0</v>
      </c>
      <c r="B6379" s="1" t="s">
        <v>2669</v>
      </c>
      <c r="C6379" s="1">
        <v>5.0</v>
      </c>
      <c r="D6379" s="1" t="s">
        <v>6</v>
      </c>
      <c r="E6379" s="1"/>
    </row>
    <row r="6380" ht="14.25" customHeight="1">
      <c r="A6380" s="1">
        <v>33.0</v>
      </c>
      <c r="B6380" s="1" t="s">
        <v>2669</v>
      </c>
      <c r="C6380" s="1">
        <v>0.0</v>
      </c>
      <c r="D6380" s="1" t="s">
        <v>6</v>
      </c>
      <c r="E6380" s="1"/>
    </row>
    <row r="6381" ht="14.25" customHeight="1">
      <c r="A6381" s="1">
        <v>100.0</v>
      </c>
      <c r="B6381" s="1" t="s">
        <v>2669</v>
      </c>
      <c r="C6381" s="1">
        <v>10.0</v>
      </c>
      <c r="D6381" s="1" t="s">
        <v>6</v>
      </c>
      <c r="E6381" s="1"/>
    </row>
    <row r="6382" ht="14.25" customHeight="1">
      <c r="A6382" s="1">
        <v>100.0</v>
      </c>
      <c r="B6382" s="1" t="s">
        <v>2669</v>
      </c>
      <c r="C6382" s="1">
        <v>10.0</v>
      </c>
      <c r="D6382" s="1" t="s">
        <v>2911</v>
      </c>
      <c r="E6382" s="1" t="str">
        <f>IFERROR(__xludf.DUMMYFUNCTION("GOOGLETRANSLATE(D6382,""PT"",""EN"")"),"Excellent institution")</f>
        <v>Excellent institution</v>
      </c>
    </row>
    <row r="6383" ht="14.25" customHeight="1">
      <c r="A6383" s="1">
        <v>100.0</v>
      </c>
      <c r="B6383" s="1" t="s">
        <v>2669</v>
      </c>
      <c r="C6383" s="1">
        <v>10.0</v>
      </c>
      <c r="D6383" s="1" t="s">
        <v>9</v>
      </c>
      <c r="E6383" s="1" t="str">
        <f>IFERROR(__xludf.DUMMYFUNCTION("GOOGLETRANSLATE(D6383,""PT"",""EN"")"),"10")</f>
        <v>10</v>
      </c>
    </row>
    <row r="6384" ht="14.25" customHeight="1">
      <c r="A6384" s="1">
        <v>33.0</v>
      </c>
      <c r="B6384" s="1" t="s">
        <v>2669</v>
      </c>
      <c r="C6384" s="1">
        <v>4.0</v>
      </c>
      <c r="D6384" s="1" t="s">
        <v>6</v>
      </c>
      <c r="E6384" s="1"/>
    </row>
    <row r="6385" ht="14.25" customHeight="1">
      <c r="A6385" s="1">
        <v>100.0</v>
      </c>
      <c r="B6385" s="1" t="s">
        <v>2669</v>
      </c>
      <c r="C6385" s="1">
        <v>10.0</v>
      </c>
      <c r="D6385" s="1" t="s">
        <v>2912</v>
      </c>
      <c r="E6385" s="1" t="str">
        <f>IFERROR(__xludf.DUMMYFUNCTION("GOOGLETRANSLATE(D6385,""PT"",""EN"")"),"Good morning, the reason is whenever I needed, I was well attended!")</f>
        <v>Good morning, the reason is whenever I needed, I was well attended!</v>
      </c>
    </row>
    <row r="6386" ht="14.25" customHeight="1">
      <c r="A6386" s="1">
        <v>33.0</v>
      </c>
      <c r="B6386" s="1" t="s">
        <v>2669</v>
      </c>
      <c r="C6386" s="1">
        <v>2.0</v>
      </c>
      <c r="D6386" s="2" t="s">
        <v>2913</v>
      </c>
      <c r="E6386" s="1" t="str">
        <f>IFERROR(__xludf.DUMMYFUNCTION("GOOGLETRANSLATE(D6386,""PT"",""EN"")"),"CRITERIES FOR RELEASE OF ASSOCIATE VALUES HAS IN THE CAPITAL ACCOUNT.")</f>
        <v>CRITERIES FOR RELEASE OF ASSOCIATE VALUES HAS IN THE CAPITAL ACCOUNT.</v>
      </c>
    </row>
    <row r="6387" ht="14.25" customHeight="1">
      <c r="A6387" s="1">
        <v>100.0</v>
      </c>
      <c r="B6387" s="1" t="s">
        <v>2669</v>
      </c>
      <c r="C6387" s="1">
        <v>10.0</v>
      </c>
      <c r="D6387" s="1" t="s">
        <v>192</v>
      </c>
      <c r="E6387" s="1" t="str">
        <f>IFERROR(__xludf.DUMMYFUNCTION("GOOGLETRANSLATE(D6387,""PT"",""EN"")"),"Great")</f>
        <v>Great</v>
      </c>
    </row>
    <row r="6388" ht="14.25" customHeight="1">
      <c r="A6388" s="1">
        <v>33.0</v>
      </c>
      <c r="B6388" s="1" t="s">
        <v>2669</v>
      </c>
      <c r="C6388" s="1">
        <v>5.0</v>
      </c>
      <c r="D6388" s="1" t="s">
        <v>6</v>
      </c>
      <c r="E6388" s="1"/>
    </row>
    <row r="6389" ht="14.25" customHeight="1">
      <c r="A6389" s="1">
        <v>100.0</v>
      </c>
      <c r="B6389" s="1" t="s">
        <v>2669</v>
      </c>
      <c r="C6389" s="1">
        <v>10.0</v>
      </c>
      <c r="D6389" s="1" t="s">
        <v>6</v>
      </c>
      <c r="E6389" s="1"/>
    </row>
    <row r="6390" ht="14.25" customHeight="1">
      <c r="A6390" s="1">
        <v>100.0</v>
      </c>
      <c r="B6390" s="1" t="s">
        <v>2669</v>
      </c>
      <c r="C6390" s="1">
        <v>9.0</v>
      </c>
      <c r="D6390" s="1" t="s">
        <v>2914</v>
      </c>
      <c r="E6390" s="1" t="str">
        <f>IFERROR(__xludf.DUMMYFUNCTION("GOOGLETRANSLATE(D6390,""PT"",""EN"")"),"Almost everything very good, only telephone service should improve")</f>
        <v>Almost everything very good, only telephone service should improve</v>
      </c>
    </row>
    <row r="6391" ht="14.25" customHeight="1">
      <c r="A6391" s="1">
        <v>66.0</v>
      </c>
      <c r="B6391" s="1" t="s">
        <v>2669</v>
      </c>
      <c r="C6391" s="1">
        <v>8.0</v>
      </c>
      <c r="D6391" s="1" t="s">
        <v>6</v>
      </c>
      <c r="E6391" s="1"/>
    </row>
    <row r="6392" ht="14.25" customHeight="1">
      <c r="A6392" s="1">
        <v>100.0</v>
      </c>
      <c r="B6392" s="1" t="s">
        <v>2669</v>
      </c>
      <c r="C6392" s="1">
        <v>10.0</v>
      </c>
      <c r="D6392" s="1" t="s">
        <v>2915</v>
      </c>
      <c r="E6392" s="1" t="str">
        <f>IFERROR(__xludf.DUMMYFUNCTION("GOOGLETRANSLATE(D6392,""PT"",""EN"")"),"The service is the promptness in problem solving.")</f>
        <v>The service is the promptness in problem solving.</v>
      </c>
    </row>
    <row r="6393" ht="14.25" customHeight="1">
      <c r="A6393" s="1">
        <v>66.0</v>
      </c>
      <c r="B6393" s="1" t="s">
        <v>2669</v>
      </c>
      <c r="C6393" s="1">
        <v>8.0</v>
      </c>
      <c r="D6393" s="1" t="s">
        <v>67</v>
      </c>
      <c r="E6393" s="1"/>
    </row>
    <row r="6394" ht="14.25" customHeight="1">
      <c r="A6394" s="1">
        <v>33.0</v>
      </c>
      <c r="B6394" s="1" t="s">
        <v>2669</v>
      </c>
      <c r="C6394" s="1">
        <v>3.0</v>
      </c>
      <c r="D6394" s="2" t="s">
        <v>2916</v>
      </c>
      <c r="E6394" s="1" t="str">
        <f>IFERROR(__xludf.DUMMYFUNCTION("GOOGLETRANSLATE(D6394,""PT"",""EN"")"),"I'm not satisfied")</f>
        <v>I'm not satisfied</v>
      </c>
    </row>
    <row r="6395" ht="14.25" customHeight="1">
      <c r="A6395" s="1">
        <v>33.0</v>
      </c>
      <c r="B6395" s="1" t="s">
        <v>2669</v>
      </c>
      <c r="C6395" s="1">
        <v>6.0</v>
      </c>
      <c r="D6395" s="1" t="s">
        <v>2917</v>
      </c>
      <c r="E6395" s="1" t="str">
        <f>IFERROR(__xludf.DUMMYFUNCTION("GOOGLETRANSLATE(D6395,""PT"",""EN"")"),"The grade 6")</f>
        <v>The grade 6</v>
      </c>
    </row>
    <row r="6396" ht="14.25" customHeight="1">
      <c r="A6396" s="1">
        <v>100.0</v>
      </c>
      <c r="B6396" s="1" t="s">
        <v>2669</v>
      </c>
      <c r="C6396" s="1">
        <v>10.0</v>
      </c>
      <c r="D6396" s="1" t="s">
        <v>6</v>
      </c>
      <c r="E6396" s="1"/>
    </row>
    <row r="6397" ht="14.25" customHeight="1">
      <c r="A6397" s="1">
        <v>100.0</v>
      </c>
      <c r="B6397" s="1" t="s">
        <v>2669</v>
      </c>
      <c r="C6397" s="1">
        <v>9.0</v>
      </c>
      <c r="D6397" s="1" t="s">
        <v>2918</v>
      </c>
      <c r="E6397" s="1" t="str">
        <f>IFERROR(__xludf.DUMMYFUNCTION("GOOGLETRANSLATE(D6397,""PT"",""EN"")"),"Employees serve well")</f>
        <v>Employees serve well</v>
      </c>
    </row>
    <row r="6398" ht="14.25" customHeight="1">
      <c r="A6398" s="1">
        <v>100.0</v>
      </c>
      <c r="B6398" s="1" t="s">
        <v>2669</v>
      </c>
      <c r="C6398" s="1">
        <v>9.0</v>
      </c>
      <c r="D6398" s="2" t="s">
        <v>2919</v>
      </c>
      <c r="E6398" s="1" t="str">
        <f>IFERROR(__xludf.DUMMYFUNCTION("GOOGLETRANSLATE(D6398,""PT"",""EN"")"),"At least at the agency where I have an account, the service girls are very attentive and seek to speed up the solution to the customer. I just don't give a grade 10 because the service of most attendants on the agency's general phone needs to be at the sa"&amp;"me level of service as the agency's girls. The service is a little robotic ... it seems that they respond by reading an instruction manual.")</f>
        <v>At least at the agency where I have an account, the service girls are very attentive and seek to speed up the solution to the customer. I just don't give a grade 10 because the service of most attendants on the agency's general phone needs to be at the same level of service as the agency's girls. The service is a little robotic ... it seems that they respond by reading an instruction manual.</v>
      </c>
    </row>
    <row r="6399" ht="14.25" customHeight="1">
      <c r="A6399" s="1">
        <v>100.0</v>
      </c>
      <c r="B6399" s="1" t="s">
        <v>2669</v>
      </c>
      <c r="C6399" s="1">
        <v>10.0</v>
      </c>
      <c r="D6399" s="1" t="s">
        <v>6</v>
      </c>
      <c r="E6399" s="1"/>
    </row>
    <row r="6400" ht="14.25" customHeight="1">
      <c r="A6400" s="1">
        <v>100.0</v>
      </c>
      <c r="B6400" s="1" t="s">
        <v>2669</v>
      </c>
      <c r="C6400" s="1">
        <v>10.0</v>
      </c>
      <c r="D6400" s="1" t="s">
        <v>6</v>
      </c>
      <c r="E6400" s="1"/>
    </row>
    <row r="6401" ht="14.25" customHeight="1">
      <c r="A6401" s="1">
        <v>33.0</v>
      </c>
      <c r="B6401" s="1" t="s">
        <v>2669</v>
      </c>
      <c r="C6401" s="1">
        <v>1.0</v>
      </c>
      <c r="D6401" s="1" t="s">
        <v>2176</v>
      </c>
      <c r="E6401" s="1" t="str">
        <f>IFERROR(__xludf.DUMMYFUNCTION("GOOGLETRANSLATE(D6401,""PT"",""EN"")"),"Bad")</f>
        <v>Bad</v>
      </c>
    </row>
    <row r="6402" ht="14.25" customHeight="1">
      <c r="A6402" s="1">
        <v>100.0</v>
      </c>
      <c r="B6402" s="1" t="s">
        <v>2669</v>
      </c>
      <c r="C6402" s="1">
        <v>10.0</v>
      </c>
      <c r="D6402" s="1" t="s">
        <v>6</v>
      </c>
      <c r="E6402" s="1"/>
    </row>
    <row r="6403" ht="14.25" customHeight="1">
      <c r="A6403" s="1">
        <v>100.0</v>
      </c>
      <c r="B6403" s="1" t="s">
        <v>2669</v>
      </c>
      <c r="C6403" s="1">
        <v>10.0</v>
      </c>
      <c r="D6403" s="1" t="s">
        <v>2920</v>
      </c>
      <c r="E6403" s="1" t="str">
        <f>IFERROR(__xludf.DUMMYFUNCTION("GOOGLETRANSLATE(D6403,""PT"",""EN"")"),"Gusti a lot of sicoob")</f>
        <v>Gusti a lot of sicoob</v>
      </c>
    </row>
    <row r="6404" ht="14.25" customHeight="1">
      <c r="A6404" s="1">
        <v>100.0</v>
      </c>
      <c r="B6404" s="1" t="s">
        <v>2669</v>
      </c>
      <c r="C6404" s="1">
        <v>10.0</v>
      </c>
      <c r="D6404" s="1" t="s">
        <v>2921</v>
      </c>
      <c r="E6404" s="1" t="str">
        <f>IFERROR(__xludf.DUMMYFUNCTION("GOOGLETRANSLATE(D6404,""PT"",""EN"")"),"Show 👏🏾")</f>
        <v>Show 👏🏾</v>
      </c>
    </row>
    <row r="6405" ht="14.25" customHeight="1">
      <c r="A6405" s="1">
        <v>100.0</v>
      </c>
      <c r="B6405" s="1" t="s">
        <v>2669</v>
      </c>
      <c r="C6405" s="1">
        <v>10.0</v>
      </c>
      <c r="D6405" s="1" t="s">
        <v>6</v>
      </c>
      <c r="E6405" s="1"/>
    </row>
    <row r="6406" ht="14.25" customHeight="1">
      <c r="A6406" s="1">
        <v>66.0</v>
      </c>
      <c r="B6406" s="1" t="s">
        <v>2669</v>
      </c>
      <c r="C6406" s="1">
        <v>7.0</v>
      </c>
      <c r="D6406" s="2" t="s">
        <v>2922</v>
      </c>
      <c r="E6406" s="1" t="str">
        <f>IFERROR(__xludf.DUMMYFUNCTION("GOOGLETRANSLATE(D6406,""PT"",""EN"")"),"The delay to meet is to analyze loan proposals went from 3 business days to almost two weeks")</f>
        <v>The delay to meet is to analyze loan proposals went from 3 business days to almost two weeks</v>
      </c>
    </row>
    <row r="6407" ht="14.25" customHeight="1">
      <c r="A6407" s="1">
        <v>66.0</v>
      </c>
      <c r="B6407" s="1" t="s">
        <v>2669</v>
      </c>
      <c r="C6407" s="1">
        <v>8.0</v>
      </c>
      <c r="D6407" s="1" t="s">
        <v>6</v>
      </c>
      <c r="E6407" s="1"/>
    </row>
    <row r="6408" ht="14.25" customHeight="1">
      <c r="A6408" s="1">
        <v>100.0</v>
      </c>
      <c r="B6408" s="1" t="s">
        <v>2669</v>
      </c>
      <c r="C6408" s="1">
        <v>9.0</v>
      </c>
      <c r="D6408" s="1" t="s">
        <v>6</v>
      </c>
      <c r="E6408" s="1"/>
    </row>
    <row r="6409" ht="14.25" customHeight="1">
      <c r="A6409" s="1">
        <v>33.0</v>
      </c>
      <c r="B6409" s="1" t="s">
        <v>2669</v>
      </c>
      <c r="C6409" s="1">
        <v>4.0</v>
      </c>
      <c r="D6409" s="1" t="s">
        <v>6</v>
      </c>
      <c r="E6409" s="1"/>
    </row>
    <row r="6410" ht="14.25" customHeight="1">
      <c r="A6410" s="1">
        <v>100.0</v>
      </c>
      <c r="B6410" s="1" t="s">
        <v>2669</v>
      </c>
      <c r="C6410" s="1">
        <v>10.0</v>
      </c>
      <c r="D6410" s="1" t="s">
        <v>6</v>
      </c>
      <c r="E6410" s="1"/>
    </row>
    <row r="6411" ht="14.25" customHeight="1">
      <c r="A6411" s="1">
        <v>33.0</v>
      </c>
      <c r="B6411" s="1" t="s">
        <v>2669</v>
      </c>
      <c r="C6411" s="1">
        <v>0.0</v>
      </c>
      <c r="D6411" s="1" t="s">
        <v>6</v>
      </c>
      <c r="E6411" s="1"/>
    </row>
    <row r="6412" ht="14.25" customHeight="1">
      <c r="A6412" s="1">
        <v>33.0</v>
      </c>
      <c r="B6412" s="1" t="s">
        <v>2669</v>
      </c>
      <c r="C6412" s="1">
        <v>5.0</v>
      </c>
      <c r="D6412" s="2" t="s">
        <v>2923</v>
      </c>
      <c r="E6412" s="1" t="str">
        <f>IFERROR(__xludf.DUMMYFUNCTION("GOOGLETRANSLATE(D6412,""PT"",""EN"")"),"Sicoob has no integration between agencies is the service is always very slow. Sometimes, to get simple information, I spend hours on WhatsApp. To request a payroll loan, you must wait for days for an analysis. So, therefore, I would think long before you"&amp;" indicate Sicoob.")</f>
        <v>Sicoob has no integration between agencies is the service is always very slow. Sometimes, to get simple information, I spend hours on WhatsApp. To request a payroll loan, you must wait for days for an analysis. So, therefore, I would think long before you indicate Sicoob.</v>
      </c>
    </row>
    <row r="6413" ht="14.25" customHeight="1">
      <c r="A6413" s="1">
        <v>100.0</v>
      </c>
      <c r="B6413" s="1" t="s">
        <v>2669</v>
      </c>
      <c r="C6413" s="1">
        <v>10.0</v>
      </c>
      <c r="D6413" s="1" t="s">
        <v>604</v>
      </c>
      <c r="E6413" s="1" t="str">
        <f>IFERROR(__xludf.DUMMYFUNCTION("GOOGLETRANSLATE(D6413,""PT"",""EN"")"),"Special service")</f>
        <v>Special service</v>
      </c>
    </row>
    <row r="6414" ht="14.25" customHeight="1">
      <c r="A6414" s="1">
        <v>66.0</v>
      </c>
      <c r="B6414" s="1" t="s">
        <v>2669</v>
      </c>
      <c r="C6414" s="1">
        <v>8.0</v>
      </c>
      <c r="D6414" s="2" t="s">
        <v>2924</v>
      </c>
      <c r="E6414" s="1" t="str">
        <f>IFERROR(__xludf.DUMMYFUNCTION("GOOGLETRANSLATE(D6414,""PT"",""EN"")"),"It just is not 10 because it still takes a while in the return of demands.")</f>
        <v>It just is not 10 because it still takes a while in the return of demands.</v>
      </c>
    </row>
    <row r="6415" ht="14.25" customHeight="1">
      <c r="A6415" s="1">
        <v>33.0</v>
      </c>
      <c r="B6415" s="1" t="s">
        <v>2669</v>
      </c>
      <c r="C6415" s="1">
        <v>6.0</v>
      </c>
      <c r="D6415" s="1" t="s">
        <v>2925</v>
      </c>
      <c r="E6415" s="1" t="str">
        <f>IFERROR(__xludf.DUMMYFUNCTION("GOOGLETRANSLATE(D6415,""PT"",""EN"")"),"Services are degraded")</f>
        <v>Services are degraded</v>
      </c>
    </row>
    <row r="6416" ht="14.25" customHeight="1">
      <c r="A6416" s="1">
        <v>100.0</v>
      </c>
      <c r="B6416" s="1" t="s">
        <v>2669</v>
      </c>
      <c r="C6416" s="1">
        <v>10.0</v>
      </c>
      <c r="D6416" s="2" t="s">
        <v>2926</v>
      </c>
      <c r="E6416" s="1" t="str">
        <f>IFERROR(__xludf.DUMMYFUNCTION("GOOGLETRANSLATE(D6416,""PT"",""EN"")"),"It is a great bank for your attention and efficiency, besides the education of your employees")</f>
        <v>It is a great bank for your attention and efficiency, besides the education of your employees</v>
      </c>
    </row>
    <row r="6417" ht="14.25" customHeight="1">
      <c r="A6417" s="1">
        <v>100.0</v>
      </c>
      <c r="B6417" s="1" t="s">
        <v>2669</v>
      </c>
      <c r="C6417" s="1">
        <v>10.0</v>
      </c>
      <c r="D6417" s="2" t="s">
        <v>2927</v>
      </c>
      <c r="E6417" s="1" t="str">
        <f>IFERROR(__xludf.DUMMYFUNCTION("GOOGLETRANSLATE(D6417,""PT"",""EN"")"),"Ease, practicality and differentiated service.")</f>
        <v>Ease, practicality and differentiated service.</v>
      </c>
    </row>
    <row r="6418" ht="14.25" customHeight="1">
      <c r="A6418" s="1">
        <v>100.0</v>
      </c>
      <c r="B6418" s="1" t="s">
        <v>2669</v>
      </c>
      <c r="C6418" s="1">
        <v>10.0</v>
      </c>
      <c r="D6418" s="1" t="s">
        <v>6</v>
      </c>
      <c r="E6418" s="1"/>
    </row>
    <row r="6419" ht="14.25" customHeight="1">
      <c r="A6419" s="1">
        <v>100.0</v>
      </c>
      <c r="B6419" s="1" t="s">
        <v>2669</v>
      </c>
      <c r="C6419" s="1">
        <v>9.0</v>
      </c>
      <c r="D6419" s="1" t="s">
        <v>2928</v>
      </c>
      <c r="E6419" s="1" t="str">
        <f>IFERROR(__xludf.DUMMYFUNCTION("GOOGLETRANSLATE(D6419,""PT"",""EN"")"),"Good services provided.")</f>
        <v>Good services provided.</v>
      </c>
    </row>
    <row r="6420" ht="14.25" customHeight="1">
      <c r="A6420" s="1">
        <v>33.0</v>
      </c>
      <c r="B6420" s="1" t="s">
        <v>2669</v>
      </c>
      <c r="C6420" s="1">
        <v>0.0</v>
      </c>
      <c r="D6420" s="2" t="s">
        <v>2929</v>
      </c>
      <c r="E6420" s="1" t="str">
        <f>IFERROR(__xludf.DUMMYFUNCTION("GOOGLETRANSLATE(D6420,""PT"",""EN"")"),"I'm not a customer, as I can indicate something I don't know ...")</f>
        <v>I'm not a customer, as I can indicate something I don't know ...</v>
      </c>
    </row>
    <row r="6421" ht="14.25" customHeight="1">
      <c r="A6421" s="1">
        <v>66.0</v>
      </c>
      <c r="B6421" s="1" t="s">
        <v>2669</v>
      </c>
      <c r="C6421" s="1">
        <v>8.0</v>
      </c>
      <c r="D6421" s="1" t="s">
        <v>6</v>
      </c>
      <c r="E6421" s="1"/>
    </row>
    <row r="6422" ht="14.25" customHeight="1">
      <c r="A6422" s="1">
        <v>100.0</v>
      </c>
      <c r="B6422" s="1" t="s">
        <v>2669</v>
      </c>
      <c r="C6422" s="1">
        <v>10.0</v>
      </c>
      <c r="D6422" s="1" t="s">
        <v>2930</v>
      </c>
      <c r="E6422" s="1" t="str">
        <f>IFERROR(__xludf.DUMMYFUNCTION("GOOGLETRANSLATE(D6422,""PT"",""EN"")"),"I am very well attended")</f>
        <v>I am very well attended</v>
      </c>
    </row>
    <row r="6423" ht="14.25" customHeight="1">
      <c r="A6423" s="1">
        <v>100.0</v>
      </c>
      <c r="B6423" s="1" t="s">
        <v>2669</v>
      </c>
      <c r="C6423" s="1">
        <v>10.0</v>
      </c>
      <c r="D6423" s="1" t="s">
        <v>2931</v>
      </c>
      <c r="E6423" s="1" t="str">
        <f>IFERROR(__xludf.DUMMYFUNCTION("GOOGLETRANSLATE(D6423,""PT"",""EN"")"),"Efficiency in problem solving.")</f>
        <v>Efficiency in problem solving.</v>
      </c>
    </row>
    <row r="6424" ht="14.25" customHeight="1">
      <c r="A6424" s="1">
        <v>100.0</v>
      </c>
      <c r="B6424" s="1" t="s">
        <v>2669</v>
      </c>
      <c r="C6424" s="1">
        <v>10.0</v>
      </c>
      <c r="D6424" s="1" t="s">
        <v>6</v>
      </c>
      <c r="E6424" s="1"/>
    </row>
    <row r="6425" ht="14.25" customHeight="1">
      <c r="A6425" s="1">
        <v>100.0</v>
      </c>
      <c r="B6425" s="1" t="s">
        <v>2669</v>
      </c>
      <c r="C6425" s="1">
        <v>10.0</v>
      </c>
      <c r="D6425" s="1" t="s">
        <v>6</v>
      </c>
      <c r="E6425" s="1"/>
    </row>
    <row r="6426" ht="14.25" customHeight="1">
      <c r="A6426" s="1">
        <v>33.0</v>
      </c>
      <c r="B6426" s="1" t="s">
        <v>2669</v>
      </c>
      <c r="C6426" s="1">
        <v>4.0</v>
      </c>
      <c r="D6426" s="1" t="s">
        <v>2932</v>
      </c>
      <c r="E6426" s="1" t="str">
        <f>IFERROR(__xludf.DUMMYFUNCTION("GOOGLETRANSLATE(D6426,""PT"",""EN"")"),"Little Relationship")</f>
        <v>Little Relationship</v>
      </c>
    </row>
    <row r="6427" ht="14.25" customHeight="1">
      <c r="A6427" s="1">
        <v>100.0</v>
      </c>
      <c r="B6427" s="1" t="s">
        <v>2669</v>
      </c>
      <c r="C6427" s="1">
        <v>10.0</v>
      </c>
      <c r="D6427" s="1" t="s">
        <v>2933</v>
      </c>
      <c r="E6427" s="1" t="str">
        <f>IFERROR(__xludf.DUMMYFUNCTION("GOOGLETRANSLATE(D6427,""PT"",""EN"")"),"The service, some services I use, 1 and others. I just find the card center, too complicated to be served by a human attendant.")</f>
        <v>The service, some services I use, 1 and others. I just find the card center, too complicated to be served by a human attendant.</v>
      </c>
    </row>
    <row r="6428" ht="14.25" customHeight="1">
      <c r="A6428" s="1">
        <v>33.0</v>
      </c>
      <c r="B6428" s="1" t="s">
        <v>2669</v>
      </c>
      <c r="C6428" s="1">
        <v>3.0</v>
      </c>
      <c r="D6428" s="2" t="s">
        <v>2934</v>
      </c>
      <c r="E6428" s="1" t="str">
        <f>IFERROR(__xludf.DUMMYFUNCTION("GOOGLETRANSLATE(D6428,""PT"",""EN"")"),"There is no advantage to be cooperated. Cooperative only has obligations is not entitled to anything, not even using your capital account at an emergency time.")</f>
        <v>There is no advantage to be cooperated. Cooperative only has obligations is not entitled to anything, not even using your capital account at an emergency time.</v>
      </c>
    </row>
    <row r="6429" ht="14.25" customHeight="1">
      <c r="A6429" s="1">
        <v>100.0</v>
      </c>
      <c r="B6429" s="1" t="s">
        <v>2669</v>
      </c>
      <c r="C6429" s="1">
        <v>9.0</v>
      </c>
      <c r="D6429" s="1" t="s">
        <v>6</v>
      </c>
      <c r="E6429" s="1"/>
    </row>
    <row r="6430" ht="14.25" customHeight="1">
      <c r="A6430" s="1">
        <v>100.0</v>
      </c>
      <c r="B6430" s="1" t="s">
        <v>2669</v>
      </c>
      <c r="C6430" s="1">
        <v>10.0</v>
      </c>
      <c r="D6430" s="1" t="s">
        <v>6</v>
      </c>
      <c r="E6430" s="1"/>
    </row>
    <row r="6431" ht="14.25" customHeight="1">
      <c r="A6431" s="1">
        <v>100.0</v>
      </c>
      <c r="B6431" s="1" t="s">
        <v>2669</v>
      </c>
      <c r="C6431" s="1">
        <v>10.0</v>
      </c>
      <c r="D6431" s="2" t="s">
        <v>2935</v>
      </c>
      <c r="E6431" s="1" t="str">
        <f>IFERROR(__xludf.DUMMYFUNCTION("GOOGLETRANSLATE(D6431,""PT"",""EN"")"),"The application is safe and efficient")</f>
        <v>The application is safe and efficient</v>
      </c>
    </row>
    <row r="6432" ht="14.25" customHeight="1">
      <c r="A6432" s="1">
        <v>33.0</v>
      </c>
      <c r="B6432" s="1" t="s">
        <v>2669</v>
      </c>
      <c r="C6432" s="1">
        <v>0.0</v>
      </c>
      <c r="D6432" s="1" t="s">
        <v>2936</v>
      </c>
      <c r="E6432" s="1" t="str">
        <f>IFERROR(__xludf.DUMMYFUNCTION("GOOGLETRANSLATE(D6432,""PT"",""EN"")"),"Large failures in the process of real estate financing!")</f>
        <v>Large failures in the process of real estate financing!</v>
      </c>
    </row>
    <row r="6433" ht="14.25" customHeight="1">
      <c r="A6433" s="1">
        <v>100.0</v>
      </c>
      <c r="B6433" s="1" t="s">
        <v>2669</v>
      </c>
      <c r="C6433" s="1">
        <v>10.0</v>
      </c>
      <c r="D6433" s="1" t="s">
        <v>2937</v>
      </c>
      <c r="E6433" s="1" t="str">
        <f>IFERROR(__xludf.DUMMYFUNCTION("GOOGLETRANSLATE(D6433,""PT"",""EN"")"),"I love the cooperative system")</f>
        <v>I love the cooperative system</v>
      </c>
    </row>
    <row r="6434" ht="14.25" customHeight="1">
      <c r="A6434" s="1">
        <v>33.0</v>
      </c>
      <c r="B6434" s="1" t="s">
        <v>2669</v>
      </c>
      <c r="C6434" s="1">
        <v>1.0</v>
      </c>
      <c r="D6434" s="2" t="s">
        <v>2938</v>
      </c>
      <c r="E6434" s="1" t="str">
        <f>IFERROR(__xludf.DUMMYFUNCTION("GOOGLETRANSLATE(D6434,""PT"",""EN"")"),"Very difficult to move the app gives no useless boundary even for me")</f>
        <v>Very difficult to move the app gives no useless boundary even for me</v>
      </c>
    </row>
    <row r="6435" ht="14.25" customHeight="1">
      <c r="A6435" s="1">
        <v>100.0</v>
      </c>
      <c r="B6435" s="1" t="s">
        <v>2669</v>
      </c>
      <c r="C6435" s="1">
        <v>10.0</v>
      </c>
      <c r="D6435" s="1" t="s">
        <v>9</v>
      </c>
      <c r="E6435" s="1" t="str">
        <f>IFERROR(__xludf.DUMMYFUNCTION("GOOGLETRANSLATE(D6435,""PT"",""EN"")"),"10")</f>
        <v>10</v>
      </c>
    </row>
    <row r="6436" ht="14.25" customHeight="1">
      <c r="A6436" s="1">
        <v>100.0</v>
      </c>
      <c r="B6436" s="1" t="s">
        <v>2669</v>
      </c>
      <c r="C6436" s="1">
        <v>10.0</v>
      </c>
      <c r="D6436" s="1" t="s">
        <v>166</v>
      </c>
      <c r="E6436" s="1" t="str">
        <f>IFERROR(__xludf.DUMMYFUNCTION("GOOGLETRANSLATE(D6436,""PT"",""EN"")"),"Excellent service.")</f>
        <v>Excellent service.</v>
      </c>
    </row>
    <row r="6437" ht="14.25" customHeight="1">
      <c r="A6437" s="1">
        <v>33.0</v>
      </c>
      <c r="B6437" s="1" t="s">
        <v>2669</v>
      </c>
      <c r="C6437" s="1">
        <v>2.0</v>
      </c>
      <c r="D6437" s="2" t="s">
        <v>2939</v>
      </c>
      <c r="E6437" s="1" t="str">
        <f>IFERROR(__xludf.DUMMYFUNCTION("GOOGLETRANSLATE(D6437,""PT"",""EN"")"),"Without communication there is no business!")</f>
        <v>Without communication there is no business!</v>
      </c>
    </row>
    <row r="6438" ht="14.25" customHeight="1">
      <c r="A6438" s="1">
        <v>100.0</v>
      </c>
      <c r="B6438" s="1" t="s">
        <v>2669</v>
      </c>
      <c r="C6438" s="1">
        <v>10.0</v>
      </c>
      <c r="D6438" s="1" t="s">
        <v>6</v>
      </c>
      <c r="E6438" s="1"/>
    </row>
    <row r="6439" ht="14.25" customHeight="1">
      <c r="A6439" s="1">
        <v>66.0</v>
      </c>
      <c r="B6439" s="1" t="s">
        <v>2669</v>
      </c>
      <c r="C6439" s="1">
        <v>8.0</v>
      </c>
      <c r="D6439" s="2" t="s">
        <v>2940</v>
      </c>
      <c r="E6439" s="1" t="str">
        <f>IFERROR(__xludf.DUMMYFUNCTION("GOOGLETRANSLATE(D6439,""PT"",""EN"")"),"Limited in credit operations is credit card limits. Some services are not yet available as Apple Pay is also automatic application of the CDI checking account. Bureaucracies that prevent the growth of cooperatives, such as supervisory audits that only wor"&amp;"k in Sicoob, because in other IFs is taking into account the relationship time. A lot of unnecessary bureaucracy.")</f>
        <v>Limited in credit operations is credit card limits. Some services are not yet available as Apple Pay is also automatic application of the CDI checking account. Bureaucracies that prevent the growth of cooperatives, such as supervisory audits that only work in Sicoob, because in other IFs is taking into account the relationship time. A lot of unnecessary bureaucracy.</v>
      </c>
    </row>
    <row r="6440" ht="14.25" customHeight="1">
      <c r="A6440" s="1">
        <v>100.0</v>
      </c>
      <c r="B6440" s="1" t="s">
        <v>2669</v>
      </c>
      <c r="C6440" s="1">
        <v>10.0</v>
      </c>
      <c r="D6440" s="1" t="s">
        <v>6</v>
      </c>
      <c r="E6440" s="1"/>
    </row>
    <row r="6441" ht="14.25" customHeight="1">
      <c r="A6441" s="1">
        <v>100.0</v>
      </c>
      <c r="B6441" s="1" t="s">
        <v>2669</v>
      </c>
      <c r="C6441" s="1">
        <v>10.0</v>
      </c>
      <c r="D6441" s="1" t="s">
        <v>2941</v>
      </c>
      <c r="E6441" s="1" t="str">
        <f>IFERROR(__xludf.DUMMYFUNCTION("GOOGLETRANSLATE(D6441,""PT"",""EN"")"),"It is a very reliable bank.")</f>
        <v>It is a very reliable bank.</v>
      </c>
    </row>
    <row r="6442" ht="14.25" customHeight="1">
      <c r="A6442" s="1">
        <v>66.0</v>
      </c>
      <c r="B6442" s="1" t="s">
        <v>2669</v>
      </c>
      <c r="C6442" s="1">
        <v>7.0</v>
      </c>
      <c r="D6442" s="2" t="s">
        <v>2942</v>
      </c>
      <c r="E6442" s="1" t="str">
        <f>IFERROR(__xludf.DUMMYFUNCTION("GOOGLETRANSLATE(D6442,""PT"",""EN"")"),"I believe it is taste of cooperativism, however, Sicoob is more for a bank than cooperative.")</f>
        <v>I believe it is taste of cooperativism, however, Sicoob is more for a bank than cooperative.</v>
      </c>
    </row>
    <row r="6443" ht="14.25" customHeight="1">
      <c r="A6443" s="1">
        <v>66.0</v>
      </c>
      <c r="B6443" s="1" t="s">
        <v>2669</v>
      </c>
      <c r="C6443" s="1">
        <v>8.0</v>
      </c>
      <c r="D6443" s="1" t="s">
        <v>6</v>
      </c>
      <c r="E6443" s="1"/>
    </row>
    <row r="6444" ht="14.25" customHeight="1">
      <c r="A6444" s="1">
        <v>33.0</v>
      </c>
      <c r="B6444" s="1" t="s">
        <v>2669</v>
      </c>
      <c r="C6444" s="1">
        <v>1.0</v>
      </c>
      <c r="D6444" s="2" t="s">
        <v>2943</v>
      </c>
      <c r="E6444" s="1" t="str">
        <f>IFERROR(__xludf.DUMMYFUNCTION("GOOGLETRANSLATE(D6444,""PT"",""EN"")"),"Distance from the customer.")</f>
        <v>Distance from the customer.</v>
      </c>
    </row>
    <row r="6445" ht="14.25" customHeight="1">
      <c r="A6445" s="1">
        <v>100.0</v>
      </c>
      <c r="B6445" s="1" t="s">
        <v>2669</v>
      </c>
      <c r="C6445" s="1">
        <v>10.0</v>
      </c>
      <c r="D6445" s="1" t="s">
        <v>6</v>
      </c>
      <c r="E6445" s="1"/>
    </row>
    <row r="6446" ht="14.25" customHeight="1">
      <c r="A6446" s="1">
        <v>100.0</v>
      </c>
      <c r="B6446" s="1" t="s">
        <v>2669</v>
      </c>
      <c r="C6446" s="1">
        <v>9.0</v>
      </c>
      <c r="D6446" s="1" t="s">
        <v>6</v>
      </c>
      <c r="E6446" s="1"/>
    </row>
    <row r="6447" ht="14.25" customHeight="1">
      <c r="A6447" s="1">
        <v>100.0</v>
      </c>
      <c r="B6447" s="1" t="s">
        <v>2669</v>
      </c>
      <c r="C6447" s="1">
        <v>9.0</v>
      </c>
      <c r="D6447" s="1" t="s">
        <v>2944</v>
      </c>
      <c r="E6447" s="1" t="str">
        <f>IFERROR(__xludf.DUMMYFUNCTION("GOOGLETRANSLATE(D6447,""PT"",""EN"")"),"The fact that I have an agency in my work.")</f>
        <v>The fact that I have an agency in my work.</v>
      </c>
    </row>
    <row r="6448" ht="14.25" customHeight="1">
      <c r="A6448" s="1">
        <v>33.0</v>
      </c>
      <c r="B6448" s="1" t="s">
        <v>2669</v>
      </c>
      <c r="C6448" s="1">
        <v>5.0</v>
      </c>
      <c r="D6448" s="2" t="s">
        <v>2945</v>
      </c>
      <c r="E6448" s="1" t="str">
        <f>IFERROR(__xludf.DUMMYFUNCTION("GOOGLETRANSLATE(D6448,""PT"",""EN"")"),"Many things although the appropriate complaints are done, they are not resolved. Twice I tried to rescue the savings to checking account, I couldn't because it was Saturday. This does not happen in other banks.")</f>
        <v>Many things although the appropriate complaints are done, they are not resolved. Twice I tried to rescue the savings to checking account, I couldn't because it was Saturday. This does not happen in other banks.</v>
      </c>
    </row>
    <row r="6449" ht="14.25" customHeight="1">
      <c r="A6449" s="1">
        <v>100.0</v>
      </c>
      <c r="B6449" s="1" t="s">
        <v>2669</v>
      </c>
      <c r="C6449" s="1">
        <v>10.0</v>
      </c>
      <c r="D6449" s="1" t="s">
        <v>6</v>
      </c>
      <c r="E6449" s="1"/>
    </row>
    <row r="6450" ht="14.25" customHeight="1">
      <c r="A6450" s="1">
        <v>33.0</v>
      </c>
      <c r="B6450" s="1" t="s">
        <v>2669</v>
      </c>
      <c r="C6450" s="1">
        <v>0.0</v>
      </c>
      <c r="D6450" s="1" t="s">
        <v>6</v>
      </c>
      <c r="E6450" s="1"/>
    </row>
    <row r="6451" ht="14.25" customHeight="1">
      <c r="A6451" s="1">
        <v>66.0</v>
      </c>
      <c r="B6451" s="1" t="s">
        <v>2669</v>
      </c>
      <c r="C6451" s="1">
        <v>7.0</v>
      </c>
      <c r="D6451" s="1" t="s">
        <v>6</v>
      </c>
      <c r="E6451" s="1"/>
    </row>
    <row r="6452" ht="14.25" customHeight="1">
      <c r="A6452" s="1">
        <v>33.0</v>
      </c>
      <c r="B6452" s="1" t="s">
        <v>2669</v>
      </c>
      <c r="C6452" s="1">
        <v>0.0</v>
      </c>
      <c r="D6452" s="1" t="s">
        <v>6</v>
      </c>
      <c r="E6452" s="1"/>
    </row>
    <row r="6453" ht="14.25" customHeight="1">
      <c r="A6453" s="1">
        <v>66.0</v>
      </c>
      <c r="B6453" s="1" t="s">
        <v>2669</v>
      </c>
      <c r="C6453" s="1">
        <v>8.0</v>
      </c>
      <c r="D6453" s="2" t="s">
        <v>2946</v>
      </c>
      <c r="E6453" s="1" t="str">
        <f>IFERROR(__xludf.DUMMYFUNCTION("GOOGLETRANSLATE(D6453,""PT"",""EN"")"),"Without abusive rates, more money withdrawal points on species.")</f>
        <v>Without abusive rates, more money withdrawal points on species.</v>
      </c>
    </row>
    <row r="6454" ht="14.25" customHeight="1">
      <c r="A6454" s="1">
        <v>66.0</v>
      </c>
      <c r="B6454" s="1" t="s">
        <v>2669</v>
      </c>
      <c r="C6454" s="1">
        <v>8.0</v>
      </c>
      <c r="D6454" s="1" t="s">
        <v>6</v>
      </c>
      <c r="E6454" s="1"/>
    </row>
    <row r="6455" ht="14.25" customHeight="1">
      <c r="A6455" s="1">
        <v>33.0</v>
      </c>
      <c r="B6455" s="1" t="s">
        <v>2669</v>
      </c>
      <c r="C6455" s="1">
        <v>4.0</v>
      </c>
      <c r="D6455" s="2" t="s">
        <v>2947</v>
      </c>
      <c r="E6455" s="1" t="str">
        <f>IFERROR(__xludf.DUMMYFUNCTION("GOOGLETRANSLATE(D6455,""PT"",""EN"")"),"The disadvantages are not clearly communicated.")</f>
        <v>The disadvantages are not clearly communicated.</v>
      </c>
    </row>
    <row r="6456" ht="14.25" customHeight="1">
      <c r="A6456" s="1">
        <v>100.0</v>
      </c>
      <c r="B6456" s="1" t="s">
        <v>2669</v>
      </c>
      <c r="C6456" s="1">
        <v>10.0</v>
      </c>
      <c r="D6456" s="2" t="s">
        <v>2948</v>
      </c>
      <c r="E6456" s="1" t="str">
        <f>IFERROR(__xludf.DUMMYFUNCTION("GOOGLETRANSLATE(D6456,""PT"",""EN"")"),"because the institution is reliable attentive and helpful employees")</f>
        <v>because the institution is reliable attentive and helpful employees</v>
      </c>
    </row>
    <row r="6457" ht="14.25" customHeight="1">
      <c r="A6457" s="1">
        <v>100.0</v>
      </c>
      <c r="B6457" s="1" t="s">
        <v>2669</v>
      </c>
      <c r="C6457" s="1">
        <v>10.0</v>
      </c>
      <c r="D6457" s="2" t="s">
        <v>2949</v>
      </c>
      <c r="E6457" s="1" t="str">
        <f>IFERROR(__xludf.DUMMYFUNCTION("GOOGLETRANSLATE(D6457,""PT"",""EN"")"),"Agility, transparency and competence in service.")</f>
        <v>Agility, transparency and competence in service.</v>
      </c>
    </row>
    <row r="6458" ht="14.25" customHeight="1">
      <c r="A6458" s="1">
        <v>100.0</v>
      </c>
      <c r="B6458" s="1" t="s">
        <v>2669</v>
      </c>
      <c r="C6458" s="1">
        <v>10.0</v>
      </c>
      <c r="D6458" s="1" t="s">
        <v>2950</v>
      </c>
      <c r="E6458" s="1" t="str">
        <f>IFERROR(__xludf.DUMMYFUNCTION("GOOGLETRANSLATE(D6458,""PT"",""EN"")"),"Service quality")</f>
        <v>Service quality</v>
      </c>
    </row>
    <row r="6459" ht="14.25" customHeight="1">
      <c r="A6459" s="1">
        <v>66.0</v>
      </c>
      <c r="B6459" s="1" t="s">
        <v>2669</v>
      </c>
      <c r="C6459" s="1">
        <v>8.0</v>
      </c>
      <c r="D6459" s="1" t="s">
        <v>2951</v>
      </c>
      <c r="E6459" s="1" t="str">
        <f>IFERROR(__xludf.DUMMYFUNCTION("GOOGLETRANSLATE(D6459,""PT"",""EN"")"),"Service, fees")</f>
        <v>Service, fees</v>
      </c>
    </row>
    <row r="6460" ht="14.25" customHeight="1">
      <c r="A6460" s="1">
        <v>100.0</v>
      </c>
      <c r="B6460" s="1" t="s">
        <v>2669</v>
      </c>
      <c r="C6460" s="1">
        <v>10.0</v>
      </c>
      <c r="D6460" s="1" t="s">
        <v>6</v>
      </c>
      <c r="E6460" s="1"/>
    </row>
    <row r="6461" ht="14.25" customHeight="1">
      <c r="A6461" s="1">
        <v>100.0</v>
      </c>
      <c r="B6461" s="1" t="s">
        <v>2669</v>
      </c>
      <c r="C6461" s="1">
        <v>10.0</v>
      </c>
      <c r="D6461" s="2" t="s">
        <v>2952</v>
      </c>
      <c r="E6461" s="1" t="str">
        <f>IFERROR(__xludf.DUMMYFUNCTION("GOOGLETRANSLATE(D6461,""PT"",""EN"")"),"The manager Aline serves me very well is always very helpful ... Congratulations to our cooperative by the employee who we have")</f>
        <v>The manager Aline serves me very well is always very helpful ... Congratulations to our cooperative by the employee who we have</v>
      </c>
    </row>
    <row r="6462" ht="14.25" customHeight="1">
      <c r="A6462" s="1">
        <v>100.0</v>
      </c>
      <c r="B6462" s="1" t="s">
        <v>2669</v>
      </c>
      <c r="C6462" s="1">
        <v>10.0</v>
      </c>
      <c r="D6462" s="1" t="s">
        <v>6</v>
      </c>
      <c r="E6462" s="1"/>
    </row>
    <row r="6463" ht="14.25" customHeight="1">
      <c r="A6463" s="1">
        <v>100.0</v>
      </c>
      <c r="B6463" s="1" t="s">
        <v>2669</v>
      </c>
      <c r="C6463" s="1">
        <v>10.0</v>
      </c>
      <c r="D6463" s="1" t="s">
        <v>6</v>
      </c>
      <c r="E6463" s="1"/>
    </row>
    <row r="6464" ht="14.25" customHeight="1">
      <c r="A6464" s="1">
        <v>33.0</v>
      </c>
      <c r="B6464" s="1" t="s">
        <v>2669</v>
      </c>
      <c r="C6464" s="1">
        <v>5.0</v>
      </c>
      <c r="D6464" s="2" t="s">
        <v>2953</v>
      </c>
      <c r="E6464" s="1" t="str">
        <f>IFERROR(__xludf.DUMMYFUNCTION("GOOGLETRANSLATE(D6464,""PT"",""EN"")"),"I see no benefit, only paid is I receive nothing return. I want to cancel my account")</f>
        <v>I see no benefit, only paid is I receive nothing return. I want to cancel my account</v>
      </c>
    </row>
    <row r="6465" ht="14.25" customHeight="1">
      <c r="A6465" s="1">
        <v>100.0</v>
      </c>
      <c r="B6465" s="1" t="s">
        <v>2669</v>
      </c>
      <c r="C6465" s="1">
        <v>10.0</v>
      </c>
      <c r="D6465" s="1" t="s">
        <v>6</v>
      </c>
      <c r="E6465" s="1"/>
    </row>
    <row r="6466" ht="14.25" customHeight="1">
      <c r="A6466" s="1">
        <v>33.0</v>
      </c>
      <c r="B6466" s="1" t="s">
        <v>2669</v>
      </c>
      <c r="C6466" s="1">
        <v>0.0</v>
      </c>
      <c r="D6466" s="1" t="s">
        <v>6</v>
      </c>
      <c r="E6466" s="1"/>
    </row>
    <row r="6467" ht="14.25" customHeight="1">
      <c r="A6467" s="1">
        <v>100.0</v>
      </c>
      <c r="B6467" s="1" t="s">
        <v>2669</v>
      </c>
      <c r="C6467" s="1">
        <v>10.0</v>
      </c>
      <c r="D6467" s="1" t="s">
        <v>2954</v>
      </c>
      <c r="E6467" s="1" t="str">
        <f>IFERROR(__xludf.DUMMYFUNCTION("GOOGLETRANSLATE(D6467,""PT"",""EN"")"),"A great service, good rates already have consortium there was wonderful.")</f>
        <v>A great service, good rates already have consortium there was wonderful.</v>
      </c>
    </row>
    <row r="6468" ht="14.25" customHeight="1">
      <c r="A6468" s="1">
        <v>100.0</v>
      </c>
      <c r="B6468" s="1" t="s">
        <v>2669</v>
      </c>
      <c r="C6468" s="1">
        <v>10.0</v>
      </c>
      <c r="D6468" s="2" t="s">
        <v>2955</v>
      </c>
      <c r="E6468" s="1" t="str">
        <f>IFERROR(__xludf.DUMMYFUNCTION("GOOGLETRANSLATE(D6468,""PT"",""EN"")"),"Sicoob's service is personalized is fast.")</f>
        <v>Sicoob's service is personalized is fast.</v>
      </c>
    </row>
    <row r="6469" ht="14.25" customHeight="1">
      <c r="A6469" s="1">
        <v>100.0</v>
      </c>
      <c r="B6469" s="1" t="s">
        <v>2669</v>
      </c>
      <c r="C6469" s="1">
        <v>10.0</v>
      </c>
      <c r="D6469" s="1" t="s">
        <v>2956</v>
      </c>
      <c r="E6469" s="1" t="str">
        <f>IFERROR(__xludf.DUMMYFUNCTION("GOOGLETRANSLATE(D6469,""PT"",""EN"")"),"Excellence service")</f>
        <v>Excellence service</v>
      </c>
    </row>
    <row r="6470" ht="14.25" customHeight="1">
      <c r="A6470" s="1">
        <v>100.0</v>
      </c>
      <c r="B6470" s="1" t="s">
        <v>2669</v>
      </c>
      <c r="C6470" s="1">
        <v>10.0</v>
      </c>
      <c r="D6470" s="1" t="s">
        <v>6</v>
      </c>
      <c r="E6470" s="1"/>
    </row>
    <row r="6471" ht="14.25" customHeight="1">
      <c r="A6471" s="1">
        <v>100.0</v>
      </c>
      <c r="B6471" s="1" t="s">
        <v>2669</v>
      </c>
      <c r="C6471" s="1">
        <v>9.0</v>
      </c>
      <c r="D6471" s="1" t="s">
        <v>6</v>
      </c>
      <c r="E6471" s="1"/>
    </row>
    <row r="6472" ht="14.25" customHeight="1">
      <c r="A6472" s="1">
        <v>66.0</v>
      </c>
      <c r="B6472" s="1" t="s">
        <v>2669</v>
      </c>
      <c r="C6472" s="1">
        <v>8.0</v>
      </c>
      <c r="D6472" s="2" t="s">
        <v>2957</v>
      </c>
      <c r="E6472" s="1" t="str">
        <f>IFERROR(__xludf.DUMMYFUNCTION("GOOGLETRANSLATE(D6472,""PT"",""EN"")"),"I believe Sicoob fulfills its role is a note 8 is fair.")</f>
        <v>I believe Sicoob fulfills its role is a note 8 is fair.</v>
      </c>
    </row>
    <row r="6473" ht="14.25" customHeight="1">
      <c r="A6473" s="1">
        <v>100.0</v>
      </c>
      <c r="B6473" s="1" t="s">
        <v>2669</v>
      </c>
      <c r="C6473" s="1">
        <v>10.0</v>
      </c>
      <c r="D6473" s="1" t="s">
        <v>6</v>
      </c>
      <c r="E6473" s="1"/>
    </row>
    <row r="6474" ht="14.25" customHeight="1">
      <c r="A6474" s="1">
        <v>100.0</v>
      </c>
      <c r="B6474" s="1" t="s">
        <v>2669</v>
      </c>
      <c r="C6474" s="1">
        <v>10.0</v>
      </c>
      <c r="D6474" s="1" t="s">
        <v>6</v>
      </c>
      <c r="E6474" s="1"/>
    </row>
    <row r="6475" ht="14.25" customHeight="1">
      <c r="A6475" s="1">
        <v>66.0</v>
      </c>
      <c r="B6475" s="1" t="s">
        <v>2669</v>
      </c>
      <c r="C6475" s="1">
        <v>8.0</v>
      </c>
      <c r="D6475" s="1" t="s">
        <v>6</v>
      </c>
      <c r="E6475" s="1"/>
    </row>
    <row r="6476" ht="14.25" customHeight="1">
      <c r="A6476" s="1">
        <v>100.0</v>
      </c>
      <c r="B6476" s="1" t="s">
        <v>2669</v>
      </c>
      <c r="C6476" s="1">
        <v>10.0</v>
      </c>
      <c r="D6476" s="1" t="s">
        <v>6</v>
      </c>
      <c r="E6476" s="1"/>
    </row>
    <row r="6477" ht="14.25" customHeight="1">
      <c r="A6477" s="1">
        <v>33.0</v>
      </c>
      <c r="B6477" s="1" t="s">
        <v>2669</v>
      </c>
      <c r="C6477" s="1">
        <v>0.0</v>
      </c>
      <c r="D6477" s="1" t="s">
        <v>1265</v>
      </c>
      <c r="E6477" s="1" t="str">
        <f>IFERROR(__xludf.DUMMYFUNCTION("GOOGLETRANSLATE(D6477,""PT"",""EN"")"),"Worse bank")</f>
        <v>Worse bank</v>
      </c>
    </row>
    <row r="6478" ht="14.25" customHeight="1">
      <c r="A6478" s="1">
        <v>100.0</v>
      </c>
      <c r="B6478" s="1" t="s">
        <v>2669</v>
      </c>
      <c r="C6478" s="1">
        <v>10.0</v>
      </c>
      <c r="D6478" s="1" t="s">
        <v>6</v>
      </c>
      <c r="E6478" s="1"/>
    </row>
    <row r="6479" ht="14.25" customHeight="1">
      <c r="A6479" s="1">
        <v>33.0</v>
      </c>
      <c r="B6479" s="1" t="s">
        <v>2669</v>
      </c>
      <c r="C6479" s="1">
        <v>5.0</v>
      </c>
      <c r="D6479" s="2" t="s">
        <v>2958</v>
      </c>
      <c r="E6479" s="1" t="str">
        <f>IFERROR(__xludf.DUMMYFUNCTION("GOOGLETRANSLATE(D6479,""PT"",""EN"")"),"I do not move in my account, so I know little about the operation of Sicoob but, I really like the brand presentation.")</f>
        <v>I do not move in my account, so I know little about the operation of Sicoob but, I really like the brand presentation.</v>
      </c>
    </row>
    <row r="6480" ht="14.25" customHeight="1">
      <c r="A6480" s="1">
        <v>100.0</v>
      </c>
      <c r="B6480" s="1" t="s">
        <v>2669</v>
      </c>
      <c r="C6480" s="1">
        <v>10.0</v>
      </c>
      <c r="D6480" s="1" t="s">
        <v>6</v>
      </c>
      <c r="E6480" s="1"/>
    </row>
    <row r="6481" ht="14.25" customHeight="1">
      <c r="A6481" s="1">
        <v>33.0</v>
      </c>
      <c r="B6481" s="1" t="s">
        <v>2669</v>
      </c>
      <c r="C6481" s="1">
        <v>0.0</v>
      </c>
      <c r="D6481" s="1" t="s">
        <v>6</v>
      </c>
      <c r="E6481" s="1"/>
    </row>
    <row r="6482" ht="14.25" customHeight="1">
      <c r="A6482" s="1">
        <v>100.0</v>
      </c>
      <c r="B6482" s="1" t="s">
        <v>2669</v>
      </c>
      <c r="C6482" s="1">
        <v>10.0</v>
      </c>
      <c r="D6482" s="1" t="s">
        <v>2959</v>
      </c>
      <c r="E6482" s="1" t="str">
        <f>IFERROR(__xludf.DUMMYFUNCTION("GOOGLETRANSLATE(D6482,""PT"",""EN"")"),"Reliability is all you need.")</f>
        <v>Reliability is all you need.</v>
      </c>
    </row>
    <row r="6483" ht="14.25" customHeight="1">
      <c r="A6483" s="1">
        <v>100.0</v>
      </c>
      <c r="B6483" s="1" t="s">
        <v>2669</v>
      </c>
      <c r="C6483" s="1">
        <v>10.0</v>
      </c>
      <c r="D6483" s="1" t="s">
        <v>2960</v>
      </c>
      <c r="E6483" s="1" t="str">
        <f>IFERROR(__xludf.DUMMYFUNCTION("GOOGLETRANSLATE(D6483,""PT"",""EN"")"),"agility in operations")</f>
        <v>agility in operations</v>
      </c>
    </row>
    <row r="6484" ht="14.25" customHeight="1">
      <c r="A6484" s="1">
        <v>100.0</v>
      </c>
      <c r="B6484" s="1" t="s">
        <v>2669</v>
      </c>
      <c r="C6484" s="1">
        <v>10.0</v>
      </c>
      <c r="D6484" s="1" t="s">
        <v>2961</v>
      </c>
      <c r="E6484" s="1" t="str">
        <f>IFERROR(__xludf.DUMMYFUNCTION("GOOGLETRANSLATE(D6484,""PT"",""EN"")"),"Unsteady")</f>
        <v>Unsteady</v>
      </c>
    </row>
    <row r="6485" ht="14.25" customHeight="1">
      <c r="A6485" s="1">
        <v>100.0</v>
      </c>
      <c r="B6485" s="1" t="s">
        <v>2669</v>
      </c>
      <c r="C6485" s="1">
        <v>10.0</v>
      </c>
      <c r="D6485" s="1" t="s">
        <v>2962</v>
      </c>
      <c r="E6485" s="1" t="str">
        <f>IFERROR(__xludf.DUMMYFUNCTION("GOOGLETRANSLATE(D6485,""PT"",""EN"")"),"A good service!")</f>
        <v>A good service!</v>
      </c>
    </row>
    <row r="6486" ht="14.25" customHeight="1">
      <c r="A6486" s="1">
        <v>100.0</v>
      </c>
      <c r="B6486" s="1" t="s">
        <v>2669</v>
      </c>
      <c r="C6486" s="1">
        <v>10.0</v>
      </c>
      <c r="D6486" s="1" t="s">
        <v>9</v>
      </c>
      <c r="E6486" s="1" t="str">
        <f>IFERROR(__xludf.DUMMYFUNCTION("GOOGLETRANSLATE(D6486,""PT"",""EN"")"),"10")</f>
        <v>10</v>
      </c>
    </row>
    <row r="6487" ht="14.25" customHeight="1">
      <c r="A6487" s="1">
        <v>100.0</v>
      </c>
      <c r="B6487" s="1" t="s">
        <v>2669</v>
      </c>
      <c r="C6487" s="1">
        <v>10.0</v>
      </c>
      <c r="D6487" s="2" t="s">
        <v>2963</v>
      </c>
      <c r="E6487" s="1" t="str">
        <f>IFERROR(__xludf.DUMMYFUNCTION("GOOGLETRANSLATE(D6487,""PT"",""EN"")"),"The services are really performed in series is efficient. Great service, including non -face -to -face form.")</f>
        <v>The services are really performed in series is efficient. Great service, including non -face -to -face form.</v>
      </c>
    </row>
    <row r="6488" ht="14.25" customHeight="1">
      <c r="A6488" s="1">
        <v>100.0</v>
      </c>
      <c r="B6488" s="1" t="s">
        <v>2669</v>
      </c>
      <c r="C6488" s="1">
        <v>9.0</v>
      </c>
      <c r="D6488" s="2" t="s">
        <v>2964</v>
      </c>
      <c r="E6488" s="1" t="str">
        <f>IFERROR(__xludf.DUMMYFUNCTION("GOOGLETRANSLATE(D6488,""PT"",""EN"")"),"Care and seriousness")</f>
        <v>Care and seriousness</v>
      </c>
    </row>
    <row r="6489" ht="14.25" customHeight="1">
      <c r="A6489" s="1">
        <v>100.0</v>
      </c>
      <c r="B6489" s="1" t="s">
        <v>2669</v>
      </c>
      <c r="C6489" s="1">
        <v>10.0</v>
      </c>
      <c r="D6489" s="1" t="s">
        <v>6</v>
      </c>
      <c r="E6489" s="1"/>
    </row>
    <row r="6490" ht="14.25" customHeight="1">
      <c r="A6490" s="1">
        <v>100.0</v>
      </c>
      <c r="B6490" s="1" t="s">
        <v>2669</v>
      </c>
      <c r="C6490" s="1">
        <v>10.0</v>
      </c>
      <c r="D6490" s="1" t="s">
        <v>6</v>
      </c>
      <c r="E6490" s="1"/>
    </row>
    <row r="6491" ht="14.25" customHeight="1">
      <c r="A6491" s="1">
        <v>100.0</v>
      </c>
      <c r="B6491" s="1" t="s">
        <v>2669</v>
      </c>
      <c r="C6491" s="1">
        <v>10.0</v>
      </c>
      <c r="D6491" s="1" t="s">
        <v>6</v>
      </c>
      <c r="E6491" s="1"/>
    </row>
    <row r="6492" ht="14.25" customHeight="1">
      <c r="A6492" s="1">
        <v>100.0</v>
      </c>
      <c r="B6492" s="1" t="s">
        <v>2669</v>
      </c>
      <c r="C6492" s="1">
        <v>10.0</v>
      </c>
      <c r="D6492" s="1" t="s">
        <v>6</v>
      </c>
      <c r="E6492" s="1"/>
    </row>
    <row r="6493" ht="14.25" customHeight="1">
      <c r="A6493" s="1">
        <v>100.0</v>
      </c>
      <c r="B6493" s="1" t="s">
        <v>2669</v>
      </c>
      <c r="C6493" s="1">
        <v>10.0</v>
      </c>
      <c r="D6493" s="1" t="s">
        <v>2965</v>
      </c>
      <c r="E6493" s="1" t="str">
        <f>IFERROR(__xludf.DUMMYFUNCTION("GOOGLETRANSLATE(D6493,""PT"",""EN"")"),"It's because Sicoob is 10")</f>
        <v>It's because Sicoob is 10</v>
      </c>
    </row>
    <row r="6494" ht="14.25" customHeight="1">
      <c r="A6494" s="1">
        <v>100.0</v>
      </c>
      <c r="B6494" s="1" t="s">
        <v>2669</v>
      </c>
      <c r="C6494" s="1">
        <v>10.0</v>
      </c>
      <c r="D6494" s="1" t="s">
        <v>6</v>
      </c>
      <c r="E6494" s="1"/>
    </row>
    <row r="6495" ht="14.25" customHeight="1">
      <c r="A6495" s="1">
        <v>100.0</v>
      </c>
      <c r="B6495" s="1" t="s">
        <v>2669</v>
      </c>
      <c r="C6495" s="1">
        <v>9.0</v>
      </c>
      <c r="D6495" s="1" t="s">
        <v>6</v>
      </c>
      <c r="E6495" s="1"/>
    </row>
    <row r="6496" ht="14.25" customHeight="1">
      <c r="A6496" s="1">
        <v>100.0</v>
      </c>
      <c r="B6496" s="1" t="s">
        <v>2669</v>
      </c>
      <c r="C6496" s="1">
        <v>9.0</v>
      </c>
      <c r="D6496" s="2" t="s">
        <v>2966</v>
      </c>
      <c r="E6496" s="1" t="str">
        <f>IFERROR(__xludf.DUMMYFUNCTION("GOOGLETRANSLATE(D6496,""PT"",""EN"")"),"I just did not mark the grade 10, because there was a lot of bureaucracy in releasing the payroll contract is with that there was a lot of delay.")</f>
        <v>I just did not mark the grade 10, because there was a lot of bureaucracy in releasing the payroll contract is with that there was a lot of delay.</v>
      </c>
    </row>
    <row r="6497" ht="14.25" customHeight="1">
      <c r="A6497" s="1">
        <v>100.0</v>
      </c>
      <c r="B6497" s="1" t="s">
        <v>2669</v>
      </c>
      <c r="C6497" s="1">
        <v>9.0</v>
      </c>
      <c r="D6497" s="1" t="s">
        <v>2967</v>
      </c>
      <c r="E6497" s="1" t="str">
        <f>IFERROR(__xludf.DUMMYFUNCTION("GOOGLETRANSLATE(D6497,""PT"",""EN"")"),"For being a cooperative.")</f>
        <v>For being a cooperative.</v>
      </c>
    </row>
    <row r="6498" ht="14.25" customHeight="1">
      <c r="A6498" s="1">
        <v>100.0</v>
      </c>
      <c r="B6498" s="1" t="s">
        <v>2669</v>
      </c>
      <c r="C6498" s="1">
        <v>10.0</v>
      </c>
      <c r="D6498" s="1" t="s">
        <v>6</v>
      </c>
      <c r="E6498" s="1"/>
    </row>
    <row r="6499" ht="14.25" customHeight="1">
      <c r="A6499" s="1">
        <v>33.0</v>
      </c>
      <c r="B6499" s="1" t="s">
        <v>2669</v>
      </c>
      <c r="C6499" s="1">
        <v>0.0</v>
      </c>
      <c r="D6499" s="1" t="s">
        <v>6</v>
      </c>
      <c r="E6499" s="1"/>
    </row>
    <row r="6500" ht="14.25" customHeight="1">
      <c r="A6500" s="1">
        <v>100.0</v>
      </c>
      <c r="B6500" s="1" t="s">
        <v>2669</v>
      </c>
      <c r="C6500" s="1">
        <v>10.0</v>
      </c>
      <c r="D6500" s="1" t="s">
        <v>6</v>
      </c>
      <c r="E6500" s="1"/>
    </row>
    <row r="6501" ht="14.25" customHeight="1">
      <c r="A6501" s="1">
        <v>100.0</v>
      </c>
      <c r="B6501" s="1" t="s">
        <v>2669</v>
      </c>
      <c r="C6501" s="1">
        <v>10.0</v>
      </c>
      <c r="D6501" s="1" t="s">
        <v>6</v>
      </c>
      <c r="E6501" s="1"/>
    </row>
    <row r="6502" ht="14.25" customHeight="1">
      <c r="A6502" s="1">
        <v>100.0</v>
      </c>
      <c r="B6502" s="1" t="s">
        <v>2669</v>
      </c>
      <c r="C6502" s="1">
        <v>9.0</v>
      </c>
      <c r="D6502" s="2" t="s">
        <v>2968</v>
      </c>
      <c r="E6502" s="1" t="str">
        <f>IFERROR(__xludf.DUMMYFUNCTION("GOOGLETRANSLATE(D6502,""PT"",""EN"")"),"I was very well attended is my grade 9 is because I think there is always room to improve")</f>
        <v>I was very well attended is my grade 9 is because I think there is always room to improve</v>
      </c>
    </row>
    <row r="6503" ht="14.25" customHeight="1">
      <c r="A6503" s="1">
        <v>33.0</v>
      </c>
      <c r="B6503" s="1" t="s">
        <v>2969</v>
      </c>
      <c r="C6503" s="1">
        <v>0.0</v>
      </c>
      <c r="D6503" s="2" t="s">
        <v>2970</v>
      </c>
      <c r="E6503" s="1" t="str">
        <f>IFERROR(__xludf.DUMMYFUNCTION("GOOGLETRANSLATE(D6503,""PT"",""EN"")"),"I was fooled by former manager Aline Sicoob Credfaz here in Brasilia is just lost my time is gasoline with this unit that is in the Bandeirantes core DF")</f>
        <v>I was fooled by former manager Aline Sicoob Credfaz here in Brasilia is just lost my time is gasoline with this unit that is in the Bandeirantes core DF</v>
      </c>
    </row>
    <row r="6504" ht="14.25" customHeight="1">
      <c r="A6504" s="1">
        <v>100.0</v>
      </c>
      <c r="B6504" s="1" t="s">
        <v>2969</v>
      </c>
      <c r="C6504" s="1">
        <v>10.0</v>
      </c>
      <c r="D6504" s="1" t="s">
        <v>6</v>
      </c>
      <c r="E6504" s="1"/>
    </row>
    <row r="6505" ht="14.25" customHeight="1">
      <c r="A6505" s="1">
        <v>100.0</v>
      </c>
      <c r="B6505" s="1" t="s">
        <v>2969</v>
      </c>
      <c r="C6505" s="1">
        <v>9.0</v>
      </c>
      <c r="D6505" s="2" t="s">
        <v>2971</v>
      </c>
      <c r="E6505" s="1" t="str">
        <f>IFERROR(__xludf.DUMMYFUNCTION("GOOGLETRANSLATE(D6505,""PT"",""EN"")"),"I have been associated for many years is very pleased.")</f>
        <v>I have been associated for many years is very pleased.</v>
      </c>
    </row>
    <row r="6506" ht="14.25" customHeight="1">
      <c r="A6506" s="1">
        <v>100.0</v>
      </c>
      <c r="B6506" s="1" t="s">
        <v>2969</v>
      </c>
      <c r="C6506" s="1">
        <v>9.0</v>
      </c>
      <c r="D6506" s="1" t="s">
        <v>6</v>
      </c>
      <c r="E6506" s="1"/>
    </row>
    <row r="6507" ht="14.25" customHeight="1">
      <c r="A6507" s="1">
        <v>66.0</v>
      </c>
      <c r="B6507" s="1" t="s">
        <v>2969</v>
      </c>
      <c r="C6507" s="1">
        <v>7.0</v>
      </c>
      <c r="D6507" s="1" t="s">
        <v>6</v>
      </c>
      <c r="E6507" s="1"/>
    </row>
    <row r="6508" ht="14.25" customHeight="1">
      <c r="A6508" s="1">
        <v>33.0</v>
      </c>
      <c r="B6508" s="1" t="s">
        <v>2969</v>
      </c>
      <c r="C6508" s="1">
        <v>5.0</v>
      </c>
      <c r="D6508" s="2" t="s">
        <v>2972</v>
      </c>
      <c r="E6508" s="1" t="str">
        <f>IFERROR(__xludf.DUMMYFUNCTION("GOOGLETRANSLATE(D6508,""PT"",""EN"")"),"I was not answered as I expected")</f>
        <v>I was not answered as I expected</v>
      </c>
    </row>
    <row r="6509" ht="14.25" customHeight="1">
      <c r="A6509" s="1">
        <v>66.0</v>
      </c>
      <c r="B6509" s="1" t="s">
        <v>2969</v>
      </c>
      <c r="C6509" s="1">
        <v>7.0</v>
      </c>
      <c r="D6509" s="1" t="s">
        <v>6</v>
      </c>
      <c r="E6509" s="1"/>
    </row>
    <row r="6510" ht="14.25" customHeight="1">
      <c r="A6510" s="1">
        <v>100.0</v>
      </c>
      <c r="B6510" s="1" t="s">
        <v>2969</v>
      </c>
      <c r="C6510" s="1">
        <v>10.0</v>
      </c>
      <c r="D6510" s="1" t="s">
        <v>6</v>
      </c>
      <c r="E6510" s="1"/>
    </row>
    <row r="6511" ht="14.25" customHeight="1">
      <c r="A6511" s="1">
        <v>33.0</v>
      </c>
      <c r="B6511" s="1" t="s">
        <v>2969</v>
      </c>
      <c r="C6511" s="1">
        <v>0.0</v>
      </c>
      <c r="D6511" s="1" t="s">
        <v>6</v>
      </c>
      <c r="E6511" s="1"/>
    </row>
    <row r="6512" ht="14.25" customHeight="1">
      <c r="A6512" s="1">
        <v>33.0</v>
      </c>
      <c r="B6512" s="1" t="s">
        <v>2969</v>
      </c>
      <c r="C6512" s="1">
        <v>0.0</v>
      </c>
      <c r="D6512" s="2" t="s">
        <v>2973</v>
      </c>
      <c r="E6512" s="1" t="str">
        <f>IFERROR(__xludf.DUMMYFUNCTION("GOOGLETRANSLATE(D6512,""PT"",""EN"")"),"An account of zero benefits for those who are individual")</f>
        <v>An account of zero benefits for those who are individual</v>
      </c>
    </row>
    <row r="6513" ht="14.25" customHeight="1">
      <c r="A6513" s="1">
        <v>100.0</v>
      </c>
      <c r="B6513" s="1" t="s">
        <v>2969</v>
      </c>
      <c r="C6513" s="1">
        <v>9.0</v>
      </c>
      <c r="D6513" s="1" t="s">
        <v>2974</v>
      </c>
      <c r="E6513" s="1" t="str">
        <f>IFERROR(__xludf.DUMMYFUNCTION("GOOGLETRANSLATE(D6513,""PT"",""EN"")"),"Personalized service, good products")</f>
        <v>Personalized service, good products</v>
      </c>
    </row>
    <row r="6514" ht="14.25" customHeight="1">
      <c r="A6514" s="1">
        <v>100.0</v>
      </c>
      <c r="B6514" s="1" t="s">
        <v>2969</v>
      </c>
      <c r="C6514" s="1">
        <v>10.0</v>
      </c>
      <c r="D6514" s="1" t="s">
        <v>6</v>
      </c>
      <c r="E6514" s="1"/>
    </row>
    <row r="6515" ht="14.25" customHeight="1">
      <c r="A6515" s="1">
        <v>100.0</v>
      </c>
      <c r="B6515" s="1" t="s">
        <v>2969</v>
      </c>
      <c r="C6515" s="1">
        <v>9.0</v>
      </c>
      <c r="D6515" s="1" t="s">
        <v>6</v>
      </c>
      <c r="E6515" s="1"/>
    </row>
    <row r="6516" ht="14.25" customHeight="1">
      <c r="A6516" s="1">
        <v>100.0</v>
      </c>
      <c r="B6516" s="1" t="s">
        <v>2969</v>
      </c>
      <c r="C6516" s="1">
        <v>10.0</v>
      </c>
      <c r="D6516" s="1" t="s">
        <v>6</v>
      </c>
      <c r="E6516" s="1"/>
    </row>
    <row r="6517" ht="14.25" customHeight="1">
      <c r="A6517" s="1">
        <v>100.0</v>
      </c>
      <c r="B6517" s="1" t="s">
        <v>2969</v>
      </c>
      <c r="C6517" s="1">
        <v>10.0</v>
      </c>
      <c r="D6517" s="1" t="s">
        <v>2975</v>
      </c>
      <c r="E6517" s="1" t="str">
        <f>IFERROR(__xludf.DUMMYFUNCTION("GOOGLETRANSLATE(D6517,""PT"",""EN"")"),"VIP service for all moments")</f>
        <v>VIP service for all moments</v>
      </c>
    </row>
    <row r="6518" ht="14.25" customHeight="1">
      <c r="A6518" s="1">
        <v>66.0</v>
      </c>
      <c r="B6518" s="1" t="s">
        <v>2969</v>
      </c>
      <c r="C6518" s="1">
        <v>7.0</v>
      </c>
      <c r="D6518" s="1" t="s">
        <v>6</v>
      </c>
      <c r="E6518" s="1"/>
    </row>
    <row r="6519" ht="14.25" customHeight="1">
      <c r="A6519" s="1">
        <v>66.0</v>
      </c>
      <c r="B6519" s="1" t="s">
        <v>2969</v>
      </c>
      <c r="C6519" s="1">
        <v>8.0</v>
      </c>
      <c r="D6519" s="2" t="s">
        <v>2976</v>
      </c>
      <c r="E6519" s="1" t="str">
        <f>IFERROR(__xludf.DUMMYFUNCTION("GOOGLETRANSLATE(D6519,""PT"",""EN"")"),"I don't know if it's just for civil servant")</f>
        <v>I don't know if it's just for civil servant</v>
      </c>
    </row>
    <row r="6520" ht="14.25" customHeight="1">
      <c r="A6520" s="1">
        <v>100.0</v>
      </c>
      <c r="B6520" s="1" t="s">
        <v>2969</v>
      </c>
      <c r="C6520" s="1">
        <v>10.0</v>
      </c>
      <c r="D6520" s="1" t="s">
        <v>6</v>
      </c>
      <c r="E6520" s="1"/>
    </row>
    <row r="6521" ht="14.25" customHeight="1">
      <c r="A6521" s="1">
        <v>66.0</v>
      </c>
      <c r="B6521" s="1" t="s">
        <v>2969</v>
      </c>
      <c r="C6521" s="1">
        <v>8.0</v>
      </c>
      <c r="D6521" s="1" t="s">
        <v>6</v>
      </c>
      <c r="E6521" s="1"/>
    </row>
    <row r="6522" ht="14.25" customHeight="1">
      <c r="A6522" s="1">
        <v>33.0</v>
      </c>
      <c r="B6522" s="1" t="s">
        <v>2969</v>
      </c>
      <c r="C6522" s="1">
        <v>6.0</v>
      </c>
      <c r="D6522" s="2" t="s">
        <v>2977</v>
      </c>
      <c r="E6522" s="1" t="str">
        <f>IFERROR(__xludf.DUMMYFUNCTION("GOOGLETRANSLATE(D6522,""PT"",""EN"")"),"Motorcycle insurance quote is there was no position of the attendant.")</f>
        <v>Motorcycle insurance quote is there was no position of the attendant.</v>
      </c>
    </row>
    <row r="6523" ht="14.25" customHeight="1">
      <c r="A6523" s="1">
        <v>100.0</v>
      </c>
      <c r="B6523" s="1" t="s">
        <v>2969</v>
      </c>
      <c r="C6523" s="1">
        <v>10.0</v>
      </c>
      <c r="D6523" s="1" t="s">
        <v>6</v>
      </c>
      <c r="E6523" s="1"/>
    </row>
    <row r="6524" ht="14.25" customHeight="1">
      <c r="A6524" s="1">
        <v>100.0</v>
      </c>
      <c r="B6524" s="1" t="s">
        <v>2969</v>
      </c>
      <c r="C6524" s="1">
        <v>10.0</v>
      </c>
      <c r="D6524" s="1" t="s">
        <v>6</v>
      </c>
      <c r="E6524" s="1"/>
    </row>
    <row r="6525" ht="14.25" customHeight="1">
      <c r="A6525" s="1">
        <v>100.0</v>
      </c>
      <c r="B6525" s="1" t="s">
        <v>2969</v>
      </c>
      <c r="C6525" s="1">
        <v>9.0</v>
      </c>
      <c r="D6525" s="1" t="s">
        <v>2978</v>
      </c>
      <c r="E6525" s="1" t="str">
        <f>IFERROR(__xludf.DUMMYFUNCTION("GOOGLETRANSLATE(D6525,""PT"",""EN"")"),"Service is customer attention")</f>
        <v>Service is customer attention</v>
      </c>
    </row>
    <row r="6526" ht="14.25" customHeight="1">
      <c r="A6526" s="1">
        <v>100.0</v>
      </c>
      <c r="B6526" s="1" t="s">
        <v>2969</v>
      </c>
      <c r="C6526" s="1">
        <v>9.0</v>
      </c>
      <c r="D6526" s="1" t="s">
        <v>2979</v>
      </c>
      <c r="E6526" s="1" t="str">
        <f>IFERROR(__xludf.DUMMYFUNCTION("GOOGLETRANSLATE(D6526,""PT"",""EN"")"),"Service by the staff of the headquarters of São Paulo.")</f>
        <v>Service by the staff of the headquarters of São Paulo.</v>
      </c>
    </row>
    <row r="6527" ht="14.25" customHeight="1">
      <c r="A6527" s="1">
        <v>100.0</v>
      </c>
      <c r="B6527" s="1" t="s">
        <v>2969</v>
      </c>
      <c r="C6527" s="1">
        <v>10.0</v>
      </c>
      <c r="D6527" s="1" t="s">
        <v>67</v>
      </c>
      <c r="E6527" s="1"/>
    </row>
    <row r="6528" ht="14.25" customHeight="1">
      <c r="A6528" s="1">
        <v>100.0</v>
      </c>
      <c r="B6528" s="1" t="s">
        <v>2969</v>
      </c>
      <c r="C6528" s="1">
        <v>10.0</v>
      </c>
      <c r="D6528" s="1" t="s">
        <v>67</v>
      </c>
      <c r="E6528" s="1"/>
    </row>
    <row r="6529" ht="14.25" customHeight="1">
      <c r="A6529" s="1">
        <v>100.0</v>
      </c>
      <c r="B6529" s="1" t="s">
        <v>2969</v>
      </c>
      <c r="C6529" s="1">
        <v>10.0</v>
      </c>
      <c r="D6529" s="2" t="s">
        <v>2980</v>
      </c>
      <c r="E6529" s="1" t="str">
        <f>IFERROR(__xludf.DUMMYFUNCTION("GOOGLETRANSLATE(D6529,""PT"",""EN"")"),"Congratulations on your professionalism and competence!")</f>
        <v>Congratulations on your professionalism and competence!</v>
      </c>
    </row>
    <row r="6530" ht="14.25" customHeight="1">
      <c r="A6530" s="1">
        <v>100.0</v>
      </c>
      <c r="B6530" s="1" t="s">
        <v>2969</v>
      </c>
      <c r="C6530" s="1">
        <v>10.0</v>
      </c>
      <c r="D6530" s="1" t="s">
        <v>6</v>
      </c>
      <c r="E6530" s="1"/>
    </row>
    <row r="6531" ht="14.25" customHeight="1">
      <c r="A6531" s="1">
        <v>100.0</v>
      </c>
      <c r="B6531" s="1" t="s">
        <v>2969</v>
      </c>
      <c r="C6531" s="1">
        <v>10.0</v>
      </c>
      <c r="D6531" s="1" t="s">
        <v>2981</v>
      </c>
      <c r="E6531" s="1" t="str">
        <f>IFERROR(__xludf.DUMMYFUNCTION("GOOGLETRANSLATE(D6531,""PT"",""EN"")"),"I was always very well treated by employees.")</f>
        <v>I was always very well treated by employees.</v>
      </c>
    </row>
    <row r="6532" ht="14.25" customHeight="1">
      <c r="A6532" s="1">
        <v>33.0</v>
      </c>
      <c r="B6532" s="1" t="s">
        <v>2969</v>
      </c>
      <c r="C6532" s="1">
        <v>0.0</v>
      </c>
      <c r="D6532" s="2" t="s">
        <v>2982</v>
      </c>
      <c r="E6532" s="1" t="str">
        <f>IFERROR(__xludf.DUMMYFUNCTION("GOOGLETRANSLATE(D6532,""PT"",""EN"")"),"When I needed the most I took a no. A value that I have the right that belongs to me.")</f>
        <v>When I needed the most I took a no. A value that I have the right that belongs to me.</v>
      </c>
    </row>
    <row r="6533" ht="14.25" customHeight="1">
      <c r="A6533" s="1">
        <v>100.0</v>
      </c>
      <c r="B6533" s="1" t="s">
        <v>2969</v>
      </c>
      <c r="C6533" s="1">
        <v>10.0</v>
      </c>
      <c r="D6533" s="1" t="s">
        <v>6</v>
      </c>
      <c r="E6533" s="1"/>
    </row>
    <row r="6534" ht="14.25" customHeight="1">
      <c r="A6534" s="1">
        <v>100.0</v>
      </c>
      <c r="B6534" s="1" t="s">
        <v>2969</v>
      </c>
      <c r="C6534" s="1">
        <v>10.0</v>
      </c>
      <c r="D6534" s="1" t="s">
        <v>6</v>
      </c>
      <c r="E6534" s="1"/>
    </row>
    <row r="6535" ht="14.25" customHeight="1">
      <c r="A6535" s="1">
        <v>100.0</v>
      </c>
      <c r="B6535" s="1" t="s">
        <v>2969</v>
      </c>
      <c r="C6535" s="1">
        <v>10.0</v>
      </c>
      <c r="D6535" s="1" t="s">
        <v>166</v>
      </c>
      <c r="E6535" s="1" t="str">
        <f>IFERROR(__xludf.DUMMYFUNCTION("GOOGLETRANSLATE(D6535,""PT"",""EN"")"),"Excellent service.")</f>
        <v>Excellent service.</v>
      </c>
    </row>
    <row r="6536" ht="14.25" customHeight="1">
      <c r="A6536" s="1">
        <v>100.0</v>
      </c>
      <c r="B6536" s="1" t="s">
        <v>2969</v>
      </c>
      <c r="C6536" s="1">
        <v>10.0</v>
      </c>
      <c r="D6536" s="1" t="s">
        <v>2983</v>
      </c>
      <c r="E6536" s="1" t="str">
        <f>IFERROR(__xludf.DUMMYFUNCTION("GOOGLETRANSLATE(D6536,""PT"",""EN"")"),"Everything to your satisfaction!")</f>
        <v>Everything to your satisfaction!</v>
      </c>
    </row>
    <row r="6537" ht="14.25" customHeight="1">
      <c r="A6537" s="1">
        <v>100.0</v>
      </c>
      <c r="B6537" s="1" t="s">
        <v>2969</v>
      </c>
      <c r="C6537" s="1">
        <v>10.0</v>
      </c>
      <c r="D6537" s="1" t="s">
        <v>6</v>
      </c>
      <c r="E6537" s="1"/>
    </row>
    <row r="6538" ht="14.25" customHeight="1">
      <c r="A6538" s="1">
        <v>100.0</v>
      </c>
      <c r="B6538" s="1" t="s">
        <v>2969</v>
      </c>
      <c r="C6538" s="1">
        <v>10.0</v>
      </c>
      <c r="D6538" s="1" t="s">
        <v>2984</v>
      </c>
      <c r="E6538" s="1" t="str">
        <f>IFERROR(__xludf.DUMMYFUNCTION("GOOGLETRANSLATE(D6538,""PT"",""EN"")"),"System facilities, app, among others.")</f>
        <v>System facilities, app, among others.</v>
      </c>
    </row>
    <row r="6539" ht="14.25" customHeight="1">
      <c r="A6539" s="1">
        <v>100.0</v>
      </c>
      <c r="B6539" s="1" t="s">
        <v>2969</v>
      </c>
      <c r="C6539" s="1">
        <v>10.0</v>
      </c>
      <c r="D6539" s="1" t="s">
        <v>62</v>
      </c>
      <c r="E6539" s="1" t="str">
        <f>IFERROR(__xludf.DUMMYFUNCTION("GOOGLETRANSLATE(D6539,""PT"",""EN"")"),"Good service")</f>
        <v>Good service</v>
      </c>
    </row>
    <row r="6540" ht="14.25" customHeight="1">
      <c r="A6540" s="1">
        <v>100.0</v>
      </c>
      <c r="B6540" s="1" t="s">
        <v>2969</v>
      </c>
      <c r="C6540" s="1">
        <v>10.0</v>
      </c>
      <c r="D6540" s="1" t="s">
        <v>6</v>
      </c>
      <c r="E6540" s="1"/>
    </row>
    <row r="6541" ht="14.25" customHeight="1">
      <c r="A6541" s="1">
        <v>100.0</v>
      </c>
      <c r="B6541" s="1" t="s">
        <v>2969</v>
      </c>
      <c r="C6541" s="1">
        <v>9.0</v>
      </c>
      <c r="D6541" s="2" t="s">
        <v>2985</v>
      </c>
      <c r="E6541" s="1" t="str">
        <f>IFERROR(__xludf.DUMMYFUNCTION("GOOGLETRANSLATE(D6541,""PT"",""EN"")"),"Because I have some difficulty accessing certain procedures in the services via app. I find it a little complex.")</f>
        <v>Because I have some difficulty accessing certain procedures in the services via app. I find it a little complex.</v>
      </c>
    </row>
    <row r="6542" ht="14.25" customHeight="1">
      <c r="A6542" s="1">
        <v>66.0</v>
      </c>
      <c r="B6542" s="1" t="s">
        <v>2969</v>
      </c>
      <c r="C6542" s="1">
        <v>8.0</v>
      </c>
      <c r="D6542" s="1" t="s">
        <v>6</v>
      </c>
      <c r="E6542" s="1"/>
    </row>
    <row r="6543" ht="14.25" customHeight="1">
      <c r="A6543" s="1">
        <v>100.0</v>
      </c>
      <c r="B6543" s="1" t="s">
        <v>2969</v>
      </c>
      <c r="C6543" s="1">
        <v>10.0</v>
      </c>
      <c r="D6543" s="2" t="s">
        <v>2986</v>
      </c>
      <c r="E6543" s="1" t="str">
        <f>IFERROR(__xludf.DUMMYFUNCTION("GOOGLETRANSLATE(D6543,""PT"",""EN"")"),"The good service, kind is quickly! Lower interest on the market, not to mention that the cooperative has participation in the leftovers!")</f>
        <v>The good service, kind is quickly! Lower interest on the market, not to mention that the cooperative has participation in the leftovers!</v>
      </c>
    </row>
    <row r="6544" ht="14.25" customHeight="1">
      <c r="A6544" s="1">
        <v>33.0</v>
      </c>
      <c r="B6544" s="1" t="s">
        <v>2969</v>
      </c>
      <c r="C6544" s="1">
        <v>1.0</v>
      </c>
      <c r="D6544" s="1" t="s">
        <v>6</v>
      </c>
      <c r="E6544" s="1"/>
    </row>
    <row r="6545" ht="14.25" customHeight="1">
      <c r="A6545" s="1">
        <v>100.0</v>
      </c>
      <c r="B6545" s="1" t="s">
        <v>2969</v>
      </c>
      <c r="C6545" s="1">
        <v>9.0</v>
      </c>
      <c r="D6545" s="1" t="s">
        <v>6</v>
      </c>
      <c r="E6545" s="1"/>
    </row>
    <row r="6546" ht="14.25" customHeight="1">
      <c r="A6546" s="1">
        <v>100.0</v>
      </c>
      <c r="B6546" s="1" t="s">
        <v>2969</v>
      </c>
      <c r="C6546" s="1">
        <v>10.0</v>
      </c>
      <c r="D6546" s="1" t="s">
        <v>6</v>
      </c>
      <c r="E6546" s="1"/>
    </row>
    <row r="6547" ht="14.25" customHeight="1">
      <c r="A6547" s="1">
        <v>100.0</v>
      </c>
      <c r="B6547" s="1" t="s">
        <v>2969</v>
      </c>
      <c r="C6547" s="1">
        <v>10.0</v>
      </c>
      <c r="D6547" s="2" t="s">
        <v>2987</v>
      </c>
      <c r="E6547" s="1" t="str">
        <f>IFERROR(__xludf.DUMMYFUNCTION("GOOGLETRANSLATE(D6547,""PT"",""EN"")"),"Good afternoon, it's a great bank")</f>
        <v>Good afternoon, it's a great bank</v>
      </c>
    </row>
    <row r="6548" ht="14.25" customHeight="1">
      <c r="A6548" s="1">
        <v>66.0</v>
      </c>
      <c r="B6548" s="1" t="s">
        <v>2969</v>
      </c>
      <c r="C6548" s="1">
        <v>8.0</v>
      </c>
      <c r="D6548" s="2" t="s">
        <v>2988</v>
      </c>
      <c r="E6548" s="1" t="str">
        <f>IFERROR(__xludf.DUMMYFUNCTION("GOOGLETRANSLATE(D6548,""PT"",""EN"")"),"Good service")</f>
        <v>Good service</v>
      </c>
    </row>
    <row r="6549" ht="14.25" customHeight="1">
      <c r="A6549" s="1">
        <v>33.0</v>
      </c>
      <c r="B6549" s="1" t="s">
        <v>2969</v>
      </c>
      <c r="C6549" s="1">
        <v>3.0</v>
      </c>
      <c r="D6549" s="1" t="s">
        <v>2989</v>
      </c>
      <c r="E6549" s="1" t="str">
        <f>IFERROR(__xludf.DUMMYFUNCTION("GOOGLETRANSLATE(D6549,""PT"",""EN"")"),"Lack of commitment to helping the cooperative")</f>
        <v>Lack of commitment to helping the cooperative</v>
      </c>
    </row>
    <row r="6550" ht="14.25" customHeight="1">
      <c r="A6550" s="1">
        <v>100.0</v>
      </c>
      <c r="B6550" s="1" t="s">
        <v>2969</v>
      </c>
      <c r="C6550" s="1">
        <v>10.0</v>
      </c>
      <c r="D6550" s="1" t="s">
        <v>6</v>
      </c>
      <c r="E6550" s="1"/>
    </row>
    <row r="6551" ht="14.25" customHeight="1">
      <c r="A6551" s="1">
        <v>100.0</v>
      </c>
      <c r="B6551" s="1" t="s">
        <v>2969</v>
      </c>
      <c r="C6551" s="1">
        <v>10.0</v>
      </c>
      <c r="D6551" s="1" t="s">
        <v>6</v>
      </c>
      <c r="E6551" s="1"/>
    </row>
    <row r="6552" ht="14.25" customHeight="1">
      <c r="A6552" s="1">
        <v>66.0</v>
      </c>
      <c r="B6552" s="1" t="s">
        <v>2969</v>
      </c>
      <c r="C6552" s="1">
        <v>7.0</v>
      </c>
      <c r="D6552" s="2" t="s">
        <v>2990</v>
      </c>
      <c r="E6552" s="1" t="str">
        <f>IFERROR(__xludf.DUMMYFUNCTION("GOOGLETRANSLATE(D6552,""PT"",""EN"")"),"Difficulty in obtaining credits")</f>
        <v>Difficulty in obtaining credits</v>
      </c>
    </row>
    <row r="6553" ht="14.25" customHeight="1">
      <c r="A6553" s="1">
        <v>100.0</v>
      </c>
      <c r="B6553" s="1" t="s">
        <v>2969</v>
      </c>
      <c r="C6553" s="1">
        <v>10.0</v>
      </c>
      <c r="D6553" s="1" t="s">
        <v>6</v>
      </c>
      <c r="E6553" s="1"/>
    </row>
    <row r="6554" ht="14.25" customHeight="1">
      <c r="A6554" s="1">
        <v>66.0</v>
      </c>
      <c r="B6554" s="1" t="s">
        <v>2969</v>
      </c>
      <c r="C6554" s="1">
        <v>8.0</v>
      </c>
      <c r="D6554" s="1" t="s">
        <v>62</v>
      </c>
      <c r="E6554" s="1" t="str">
        <f>IFERROR(__xludf.DUMMYFUNCTION("GOOGLETRANSLATE(D6554,""PT"",""EN"")"),"Good service")</f>
        <v>Good service</v>
      </c>
    </row>
    <row r="6555" ht="14.25" customHeight="1">
      <c r="A6555" s="1">
        <v>100.0</v>
      </c>
      <c r="B6555" s="1" t="s">
        <v>2969</v>
      </c>
      <c r="C6555" s="1">
        <v>10.0</v>
      </c>
      <c r="D6555" s="2" t="s">
        <v>2991</v>
      </c>
      <c r="E6555" s="1" t="str">
        <f>IFERROR(__xludf.DUMMYFUNCTION("GOOGLETRANSLATE(D6555,""PT"",""EN"")"),"Competence, kindness and speed when fulfilling requests")</f>
        <v>Competence, kindness and speed when fulfilling requests</v>
      </c>
    </row>
    <row r="6556" ht="14.25" customHeight="1">
      <c r="A6556" s="1">
        <v>33.0</v>
      </c>
      <c r="B6556" s="1" t="s">
        <v>2969</v>
      </c>
      <c r="C6556" s="1">
        <v>0.0</v>
      </c>
      <c r="D6556" s="2" t="s">
        <v>2992</v>
      </c>
      <c r="E6556" s="1" t="str">
        <f>IFERROR(__xludf.DUMMYFUNCTION("GOOGLETRANSLATE(D6556,""PT"",""EN"")"),"It has no good service, it is no good and help with credit is even with credit card.")</f>
        <v>It has no good service, it is no good and help with credit is even with credit card.</v>
      </c>
    </row>
    <row r="6557" ht="14.25" customHeight="1">
      <c r="A6557" s="1">
        <v>100.0</v>
      </c>
      <c r="B6557" s="1" t="s">
        <v>2969</v>
      </c>
      <c r="C6557" s="1">
        <v>10.0</v>
      </c>
      <c r="D6557" s="1" t="s">
        <v>2993</v>
      </c>
      <c r="E6557" s="1" t="str">
        <f>IFERROR(__xludf.DUMMYFUNCTION("GOOGLETRANSLATE(D6557,""PT"",""EN"")"),"Sicobe is 10")</f>
        <v>Sicobe is 10</v>
      </c>
    </row>
    <row r="6558" ht="14.25" customHeight="1">
      <c r="A6558" s="1">
        <v>100.0</v>
      </c>
      <c r="B6558" s="1" t="s">
        <v>2969</v>
      </c>
      <c r="C6558" s="1">
        <v>10.0</v>
      </c>
      <c r="D6558" s="1" t="s">
        <v>9</v>
      </c>
      <c r="E6558" s="1" t="str">
        <f>IFERROR(__xludf.DUMMYFUNCTION("GOOGLETRANSLATE(D6558,""PT"",""EN"")"),"10")</f>
        <v>10</v>
      </c>
    </row>
    <row r="6559" ht="14.25" customHeight="1">
      <c r="A6559" s="1">
        <v>33.0</v>
      </c>
      <c r="B6559" s="1" t="s">
        <v>2969</v>
      </c>
      <c r="C6559" s="1">
        <v>0.0</v>
      </c>
      <c r="D6559" s="2" t="s">
        <v>2994</v>
      </c>
      <c r="E6559" s="1" t="str">
        <f>IFERROR(__xludf.DUMMYFUNCTION("GOOGLETRANSLATE(D6559,""PT"",""EN"")"),"High interest charged is the use of the Price table, in personal credit!")</f>
        <v>High interest charged is the use of the Price table, in personal credit!</v>
      </c>
    </row>
    <row r="6560" ht="14.25" customHeight="1">
      <c r="A6560" s="1">
        <v>33.0</v>
      </c>
      <c r="B6560" s="1" t="s">
        <v>2969</v>
      </c>
      <c r="C6560" s="1">
        <v>6.0</v>
      </c>
      <c r="D6560" s="1" t="s">
        <v>2995</v>
      </c>
      <c r="E6560" s="1" t="str">
        <f>IFERROR(__xludf.DUMMYFUNCTION("GOOGLETRANSLATE(D6560,""PT"",""EN"")"),"I find the application very complicated")</f>
        <v>I find the application very complicated</v>
      </c>
    </row>
    <row r="6561" ht="14.25" customHeight="1">
      <c r="A6561" s="1">
        <v>100.0</v>
      </c>
      <c r="B6561" s="1" t="s">
        <v>2969</v>
      </c>
      <c r="C6561" s="1">
        <v>10.0</v>
      </c>
      <c r="D6561" s="1" t="s">
        <v>2996</v>
      </c>
      <c r="E6561" s="1" t="str">
        <f>IFERROR(__xludf.DUMMYFUNCTION("GOOGLETRANSLATE(D6561,""PT"",""EN"")"),"For the trust that inspires me")</f>
        <v>For the trust that inspires me</v>
      </c>
    </row>
    <row r="6562" ht="14.25" customHeight="1">
      <c r="A6562" s="1">
        <v>100.0</v>
      </c>
      <c r="B6562" s="1" t="s">
        <v>2969</v>
      </c>
      <c r="C6562" s="1">
        <v>10.0</v>
      </c>
      <c r="D6562" s="1" t="s">
        <v>1010</v>
      </c>
      <c r="E6562" s="1" t="str">
        <f>IFERROR(__xludf.DUMMYFUNCTION("GOOGLETRANSLATE(D6562,""PT"",""EN"")"),"Excellent bank")</f>
        <v>Excellent bank</v>
      </c>
    </row>
    <row r="6563" ht="14.25" customHeight="1">
      <c r="A6563" s="1">
        <v>33.0</v>
      </c>
      <c r="B6563" s="1" t="s">
        <v>2969</v>
      </c>
      <c r="C6563" s="1">
        <v>0.0</v>
      </c>
      <c r="D6563" s="1" t="s">
        <v>6</v>
      </c>
      <c r="E6563" s="1"/>
    </row>
    <row r="6564" ht="14.25" customHeight="1">
      <c r="A6564" s="1">
        <v>66.0</v>
      </c>
      <c r="B6564" s="1" t="s">
        <v>2969</v>
      </c>
      <c r="C6564" s="1">
        <v>8.0</v>
      </c>
      <c r="D6564" s="1" t="s">
        <v>6</v>
      </c>
      <c r="E6564" s="1"/>
    </row>
    <row r="6565" ht="14.25" customHeight="1">
      <c r="A6565" s="1">
        <v>33.0</v>
      </c>
      <c r="B6565" s="1" t="s">
        <v>2969</v>
      </c>
      <c r="C6565" s="1">
        <v>5.0</v>
      </c>
      <c r="D6565" s="1" t="s">
        <v>6</v>
      </c>
      <c r="E6565" s="1"/>
    </row>
    <row r="6566" ht="14.25" customHeight="1">
      <c r="A6566" s="1">
        <v>100.0</v>
      </c>
      <c r="B6566" s="1" t="s">
        <v>2969</v>
      </c>
      <c r="C6566" s="1">
        <v>10.0</v>
      </c>
      <c r="D6566" s="2" t="s">
        <v>2997</v>
      </c>
      <c r="E6566" s="1" t="str">
        <f>IFERROR(__xludf.DUMMYFUNCTION("GOOGLETRANSLATE(D6566,""PT"",""EN"")"),"Because everything I need, I can with Sicoob.")</f>
        <v>Because everything I need, I can with Sicoob.</v>
      </c>
    </row>
    <row r="6567" ht="14.25" customHeight="1">
      <c r="A6567" s="1">
        <v>100.0</v>
      </c>
      <c r="B6567" s="1" t="s">
        <v>2969</v>
      </c>
      <c r="C6567" s="1">
        <v>10.0</v>
      </c>
      <c r="D6567" s="1" t="s">
        <v>6</v>
      </c>
      <c r="E6567" s="1"/>
    </row>
    <row r="6568" ht="14.25" customHeight="1">
      <c r="A6568" s="1">
        <v>100.0</v>
      </c>
      <c r="B6568" s="1" t="s">
        <v>2969</v>
      </c>
      <c r="C6568" s="1">
        <v>10.0</v>
      </c>
      <c r="D6568" s="1" t="s">
        <v>2998</v>
      </c>
      <c r="E6568" s="1" t="str">
        <f>IFERROR(__xludf.DUMMYFUNCTION("GOOGLETRANSLATE(D6568,""PT"",""EN"")"),"It is a team that welcomes its members well")</f>
        <v>It is a team that welcomes its members well</v>
      </c>
    </row>
    <row r="6569" ht="14.25" customHeight="1">
      <c r="A6569" s="1">
        <v>100.0</v>
      </c>
      <c r="B6569" s="1" t="s">
        <v>2969</v>
      </c>
      <c r="C6569" s="1">
        <v>9.0</v>
      </c>
      <c r="D6569" s="1" t="s">
        <v>2999</v>
      </c>
      <c r="E6569" s="1" t="str">
        <f>IFERROR(__xludf.DUMMYFUNCTION("GOOGLETRANSLATE(D6569,""PT"",""EN"")"),"Safe system")</f>
        <v>Safe system</v>
      </c>
    </row>
    <row r="6570" ht="14.25" customHeight="1">
      <c r="A6570" s="1">
        <v>100.0</v>
      </c>
      <c r="B6570" s="1" t="s">
        <v>2969</v>
      </c>
      <c r="C6570" s="1">
        <v>10.0</v>
      </c>
      <c r="D6570" s="1" t="s">
        <v>2956</v>
      </c>
      <c r="E6570" s="1" t="str">
        <f>IFERROR(__xludf.DUMMYFUNCTION("GOOGLETRANSLATE(D6570,""PT"",""EN"")"),"Excellence service")</f>
        <v>Excellence service</v>
      </c>
    </row>
    <row r="6571" ht="14.25" customHeight="1">
      <c r="A6571" s="1">
        <v>100.0</v>
      </c>
      <c r="B6571" s="1" t="s">
        <v>2969</v>
      </c>
      <c r="C6571" s="1">
        <v>10.0</v>
      </c>
      <c r="D6571" s="2" t="s">
        <v>3000</v>
      </c>
      <c r="E6571" s="1" t="str">
        <f>IFERROR(__xludf.DUMMYFUNCTION("GOOGLETRANSLATE(D6571,""PT"",""EN"")"),"The tradition of years as cooperative is the transparency of annual accounts, always resulting in very convenient leftovers !!!")</f>
        <v>The tradition of years as cooperative is the transparency of annual accounts, always resulting in very convenient leftovers !!!</v>
      </c>
    </row>
    <row r="6572" ht="14.25" customHeight="1">
      <c r="A6572" s="1">
        <v>100.0</v>
      </c>
      <c r="B6572" s="1" t="s">
        <v>2969</v>
      </c>
      <c r="C6572" s="1">
        <v>10.0</v>
      </c>
      <c r="D6572" s="1" t="s">
        <v>37</v>
      </c>
      <c r="E6572" s="1" t="str">
        <f>IFERROR(__xludf.DUMMYFUNCTION("GOOGLETRANSLATE(D6572,""PT"",""EN"")"),"Great service")</f>
        <v>Great service</v>
      </c>
    </row>
    <row r="6573" ht="14.25" customHeight="1">
      <c r="A6573" s="1">
        <v>33.0</v>
      </c>
      <c r="B6573" s="1" t="s">
        <v>2969</v>
      </c>
      <c r="C6573" s="1">
        <v>2.0</v>
      </c>
      <c r="D6573" s="1" t="s">
        <v>6</v>
      </c>
      <c r="E6573" s="1"/>
    </row>
    <row r="6574" ht="14.25" customHeight="1">
      <c r="A6574" s="1">
        <v>100.0</v>
      </c>
      <c r="B6574" s="1" t="s">
        <v>2969</v>
      </c>
      <c r="C6574" s="1">
        <v>10.0</v>
      </c>
      <c r="D6574" s="1" t="s">
        <v>3001</v>
      </c>
      <c r="E6574" s="1" t="str">
        <f>IFERROR(__xludf.DUMMYFUNCTION("GOOGLETRANSLATE(D6574,""PT"",""EN"")"),"I never had problems with the bank")</f>
        <v>I never had problems with the bank</v>
      </c>
    </row>
    <row r="6575" ht="14.25" customHeight="1">
      <c r="A6575" s="1">
        <v>100.0</v>
      </c>
      <c r="B6575" s="1" t="s">
        <v>2969</v>
      </c>
      <c r="C6575" s="1">
        <v>9.0</v>
      </c>
      <c r="D6575" s="2" t="s">
        <v>3002</v>
      </c>
      <c r="E6575" s="1" t="str">
        <f>IFERROR(__xludf.DUMMYFUNCTION("GOOGLETRANSLATE(D6575,""PT"",""EN"")"),"Attention and cordiality in care is correction in controls")</f>
        <v>Attention and cordiality in care is correction in controls</v>
      </c>
    </row>
    <row r="6576" ht="14.25" customHeight="1">
      <c r="A6576" s="1">
        <v>33.0</v>
      </c>
      <c r="B6576" s="1" t="s">
        <v>2969</v>
      </c>
      <c r="C6576" s="1">
        <v>0.0</v>
      </c>
      <c r="D6576" s="1" t="s">
        <v>6</v>
      </c>
      <c r="E6576" s="1"/>
    </row>
    <row r="6577" ht="14.25" customHeight="1">
      <c r="A6577" s="1">
        <v>100.0</v>
      </c>
      <c r="B6577" s="1" t="s">
        <v>2969</v>
      </c>
      <c r="C6577" s="1">
        <v>10.0</v>
      </c>
      <c r="D6577" s="1" t="s">
        <v>6</v>
      </c>
      <c r="E6577" s="1"/>
    </row>
    <row r="6578" ht="14.25" customHeight="1">
      <c r="A6578" s="1">
        <v>66.0</v>
      </c>
      <c r="B6578" s="1" t="s">
        <v>2969</v>
      </c>
      <c r="C6578" s="1">
        <v>7.0</v>
      </c>
      <c r="D6578" s="2" t="s">
        <v>3003</v>
      </c>
      <c r="E6578" s="1" t="str">
        <f>IFERROR(__xludf.DUMMYFUNCTION("GOOGLETRANSLATE(D6578,""PT"",""EN"")"),"Many services could be delivered directly to the app, such as payroll credit.")</f>
        <v>Many services could be delivered directly to the app, such as payroll credit.</v>
      </c>
    </row>
    <row r="6579" ht="14.25" customHeight="1">
      <c r="A6579" s="1">
        <v>33.0</v>
      </c>
      <c r="B6579" s="1" t="s">
        <v>2969</v>
      </c>
      <c r="C6579" s="1">
        <v>3.0</v>
      </c>
      <c r="D6579" s="1" t="s">
        <v>6</v>
      </c>
      <c r="E6579" s="1"/>
    </row>
    <row r="6580" ht="14.25" customHeight="1">
      <c r="A6580" s="1">
        <v>100.0</v>
      </c>
      <c r="B6580" s="1" t="s">
        <v>2969</v>
      </c>
      <c r="C6580" s="1">
        <v>10.0</v>
      </c>
      <c r="D6580" s="1" t="s">
        <v>3004</v>
      </c>
      <c r="E6580" s="1" t="str">
        <f>IFERROR(__xludf.DUMMYFUNCTION("GOOGLETRANSLATE(D6580,""PT"",""EN"")"),"Great app")</f>
        <v>Great app</v>
      </c>
    </row>
    <row r="6581" ht="14.25" customHeight="1">
      <c r="A6581" s="1">
        <v>100.0</v>
      </c>
      <c r="B6581" s="1" t="s">
        <v>2969</v>
      </c>
      <c r="C6581" s="1">
        <v>10.0</v>
      </c>
      <c r="D6581" s="2" t="s">
        <v>3005</v>
      </c>
      <c r="E6581" s="1" t="str">
        <f>IFERROR(__xludf.DUMMYFUNCTION("GOOGLETRANSLATE(D6581,""PT"",""EN"")"),"It helped me when I needed it most whenever I need it, I can always count.")</f>
        <v>It helped me when I needed it most whenever I need it, I can always count.</v>
      </c>
    </row>
    <row r="6582" ht="14.25" customHeight="1">
      <c r="A6582" s="1">
        <v>100.0</v>
      </c>
      <c r="B6582" s="1" t="s">
        <v>2969</v>
      </c>
      <c r="C6582" s="1">
        <v>9.0</v>
      </c>
      <c r="D6582" s="2" t="s">
        <v>3006</v>
      </c>
      <c r="E6582" s="1" t="str">
        <f>IFERROR(__xludf.DUMMYFUNCTION("GOOGLETRANSLATE(D6582,""PT"",""EN"")"),"Currently little work with Sicoob but always showed me a trusted institution")</f>
        <v>Currently little work with Sicoob but always showed me a trusted institution</v>
      </c>
    </row>
    <row r="6583" ht="14.25" customHeight="1">
      <c r="A6583" s="1">
        <v>100.0</v>
      </c>
      <c r="B6583" s="1" t="s">
        <v>2969</v>
      </c>
      <c r="C6583" s="1">
        <v>10.0</v>
      </c>
      <c r="D6583" s="1" t="s">
        <v>37</v>
      </c>
      <c r="E6583" s="1" t="str">
        <f>IFERROR(__xludf.DUMMYFUNCTION("GOOGLETRANSLATE(D6583,""PT"",""EN"")"),"Great service")</f>
        <v>Great service</v>
      </c>
    </row>
    <row r="6584" ht="14.25" customHeight="1">
      <c r="A6584" s="1">
        <v>100.0</v>
      </c>
      <c r="B6584" s="1" t="s">
        <v>2969</v>
      </c>
      <c r="C6584" s="1">
        <v>9.0</v>
      </c>
      <c r="D6584" s="1" t="s">
        <v>6</v>
      </c>
      <c r="E6584" s="1"/>
    </row>
    <row r="6585" ht="14.25" customHeight="1">
      <c r="A6585" s="1">
        <v>100.0</v>
      </c>
      <c r="B6585" s="1" t="s">
        <v>2969</v>
      </c>
      <c r="C6585" s="1">
        <v>10.0</v>
      </c>
      <c r="D6585" s="1" t="s">
        <v>3007</v>
      </c>
      <c r="E6585" s="1" t="str">
        <f>IFERROR(__xludf.DUMMYFUNCTION("GOOGLETRANSLATE(D6585,""PT"",""EN"")"),"I really like Sicoob Credfaz")</f>
        <v>I really like Sicoob Credfaz</v>
      </c>
    </row>
    <row r="6586" ht="14.25" customHeight="1">
      <c r="A6586" s="1">
        <v>100.0</v>
      </c>
      <c r="B6586" s="1" t="s">
        <v>2969</v>
      </c>
      <c r="C6586" s="1">
        <v>10.0</v>
      </c>
      <c r="D6586" s="2" t="s">
        <v>3008</v>
      </c>
      <c r="E6586" s="1" t="str">
        <f>IFERROR(__xludf.DUMMYFUNCTION("GOOGLETRANSLATE(D6586,""PT"",""EN"")"),"I was always well attended, it is the interest compatible with my budget, more lately I lost my card is already paid more I have not had back.😢😢😢😢")</f>
        <v>I was always well attended, it is the interest compatible with my budget, more lately I lost my card is already paid more I have not had back.😢😢😢😢</v>
      </c>
    </row>
    <row r="6587" ht="14.25" customHeight="1">
      <c r="A6587" s="1">
        <v>33.0</v>
      </c>
      <c r="B6587" s="1" t="s">
        <v>2969</v>
      </c>
      <c r="C6587" s="1">
        <v>2.0</v>
      </c>
      <c r="D6587" s="2" t="s">
        <v>3009</v>
      </c>
      <c r="E6587" s="1" t="str">
        <f>IFERROR(__xludf.DUMMYFUNCTION("GOOGLETRANSLATE(D6587,""PT"",""EN"")"),"Credit line weak even with excellent movement is receiving payment by the bank itself")</f>
        <v>Credit line weak even with excellent movement is receiving payment by the bank itself</v>
      </c>
    </row>
    <row r="6588" ht="14.25" customHeight="1">
      <c r="A6588" s="1">
        <v>100.0</v>
      </c>
      <c r="B6588" s="1" t="s">
        <v>2969</v>
      </c>
      <c r="C6588" s="1">
        <v>10.0</v>
      </c>
      <c r="D6588" s="2" t="s">
        <v>3010</v>
      </c>
      <c r="E6588" s="1" t="str">
        <f>IFERROR(__xludf.DUMMYFUNCTION("GOOGLETRANSLATE(D6588,""PT"",""EN"")"),"Excellence in service, highlighting Luan's good service and agility.")</f>
        <v>Excellence in service, highlighting Luan's good service and agility.</v>
      </c>
    </row>
    <row r="6589" ht="14.25" customHeight="1">
      <c r="A6589" s="1">
        <v>33.0</v>
      </c>
      <c r="B6589" s="1" t="s">
        <v>2969</v>
      </c>
      <c r="C6589" s="1">
        <v>4.0</v>
      </c>
      <c r="D6589" s="2" t="s">
        <v>3011</v>
      </c>
      <c r="E6589" s="1" t="str">
        <f>IFERROR(__xludf.DUMMYFUNCTION("GOOGLETRANSLATE(D6589,""PT"",""EN"")"),"The interest rate is great compared to other banks, but the service the company leaves much to be desired, I migrated to Sicoob with the intention of playing all the company's movements is so far I could not implement revenues, Sicoob is a lot of bureaucr"&amp;"acy to Something very simple.")</f>
        <v>The interest rate is great compared to other banks, but the service the company leaves much to be desired, I migrated to Sicoob with the intention of playing all the company's movements is so far I could not implement revenues, Sicoob is a lot of bureaucracy to Something very simple.</v>
      </c>
    </row>
    <row r="6590" ht="14.25" customHeight="1">
      <c r="A6590" s="1">
        <v>100.0</v>
      </c>
      <c r="B6590" s="1" t="s">
        <v>2969</v>
      </c>
      <c r="C6590" s="1">
        <v>10.0</v>
      </c>
      <c r="D6590" s="1" t="s">
        <v>6</v>
      </c>
      <c r="E6590" s="1"/>
    </row>
    <row r="6591" ht="14.25" customHeight="1">
      <c r="A6591" s="1">
        <v>100.0</v>
      </c>
      <c r="B6591" s="1" t="s">
        <v>2969</v>
      </c>
      <c r="C6591" s="1">
        <v>10.0</v>
      </c>
      <c r="D6591" s="1" t="s">
        <v>6</v>
      </c>
      <c r="E6591" s="1"/>
    </row>
    <row r="6592" ht="14.25" customHeight="1">
      <c r="A6592" s="1">
        <v>100.0</v>
      </c>
      <c r="B6592" s="1" t="s">
        <v>2969</v>
      </c>
      <c r="C6592" s="1">
        <v>10.0</v>
      </c>
      <c r="D6592" s="2" t="s">
        <v>3012</v>
      </c>
      <c r="E6592" s="1" t="str">
        <f>IFERROR(__xludf.DUMMYFUNCTION("GOOGLETRANSLATE(D6592,""PT"",""EN"")"),"objectivity in face -to -face care")</f>
        <v>objectivity in face -to -face care</v>
      </c>
    </row>
    <row r="6593" ht="14.25" customHeight="1">
      <c r="A6593" s="1">
        <v>100.0</v>
      </c>
      <c r="B6593" s="1" t="s">
        <v>2969</v>
      </c>
      <c r="C6593" s="1">
        <v>10.0</v>
      </c>
      <c r="D6593" s="1" t="s">
        <v>3013</v>
      </c>
      <c r="E6593" s="1" t="str">
        <f>IFERROR(__xludf.DUMMYFUNCTION("GOOGLETRANSLATE(D6593,""PT"",""EN"")"),"Fast service!")</f>
        <v>Fast service!</v>
      </c>
    </row>
    <row r="6594" ht="14.25" customHeight="1">
      <c r="A6594" s="1">
        <v>100.0</v>
      </c>
      <c r="B6594" s="1" t="s">
        <v>2969</v>
      </c>
      <c r="C6594" s="1">
        <v>10.0</v>
      </c>
      <c r="D6594" s="1" t="s">
        <v>6</v>
      </c>
      <c r="E6594" s="1"/>
    </row>
    <row r="6595" ht="14.25" customHeight="1">
      <c r="A6595" s="1">
        <v>100.0</v>
      </c>
      <c r="B6595" s="1" t="s">
        <v>2969</v>
      </c>
      <c r="C6595" s="1">
        <v>10.0</v>
      </c>
      <c r="D6595" s="1" t="s">
        <v>3014</v>
      </c>
      <c r="E6595" s="1" t="str">
        <f>IFERROR(__xludf.DUMMYFUNCTION("GOOGLETRANSLATE(D6595,""PT"",""EN"")"),"Minor interest, transparency.")</f>
        <v>Minor interest, transparency.</v>
      </c>
    </row>
    <row r="6596" ht="14.25" customHeight="1">
      <c r="A6596" s="1">
        <v>100.0</v>
      </c>
      <c r="B6596" s="1" t="s">
        <v>2969</v>
      </c>
      <c r="C6596" s="1">
        <v>10.0</v>
      </c>
      <c r="D6596" s="1" t="s">
        <v>6</v>
      </c>
      <c r="E6596" s="1"/>
    </row>
    <row r="6597" ht="14.25" customHeight="1">
      <c r="A6597" s="1">
        <v>100.0</v>
      </c>
      <c r="B6597" s="1" t="s">
        <v>2969</v>
      </c>
      <c r="C6597" s="1">
        <v>10.0</v>
      </c>
      <c r="D6597" s="1" t="s">
        <v>6</v>
      </c>
      <c r="E6597" s="1"/>
    </row>
    <row r="6598" ht="14.25" customHeight="1">
      <c r="A6598" s="1">
        <v>33.0</v>
      </c>
      <c r="B6598" s="1" t="s">
        <v>2969</v>
      </c>
      <c r="C6598" s="1">
        <v>0.0</v>
      </c>
      <c r="D6598" s="1" t="s">
        <v>6</v>
      </c>
      <c r="E6598" s="1"/>
    </row>
    <row r="6599" ht="14.25" customHeight="1">
      <c r="A6599" s="1">
        <v>100.0</v>
      </c>
      <c r="B6599" s="1" t="s">
        <v>2969</v>
      </c>
      <c r="C6599" s="1">
        <v>10.0</v>
      </c>
      <c r="D6599" s="1" t="s">
        <v>3015</v>
      </c>
      <c r="E6599" s="1" t="str">
        <f>IFERROR(__xludf.DUMMYFUNCTION("GOOGLETRANSLATE(D6599,""PT"",""EN"")"),"cooperative activity, integration of people")</f>
        <v>cooperative activity, integration of people</v>
      </c>
    </row>
    <row r="6600" ht="14.25" customHeight="1">
      <c r="A6600" s="1">
        <v>100.0</v>
      </c>
      <c r="B6600" s="1" t="s">
        <v>2969</v>
      </c>
      <c r="C6600" s="1">
        <v>10.0</v>
      </c>
      <c r="D6600" s="2" t="s">
        <v>3016</v>
      </c>
      <c r="E6600" s="1" t="str">
        <f>IFERROR(__xludf.DUMMYFUNCTION("GOOGLETRANSLATE(D6600,""PT"",""EN"")"),"Satisfaction, good service, and good friendships work with Sicoob since you were born, I am one of the first members of Credfaz. I was always well attended, it is always able to solve the desired one.")</f>
        <v>Satisfaction, good service, and good friendships work with Sicoob since you were born, I am one of the first members of Credfaz. I was always well attended, it is always able to solve the desired one.</v>
      </c>
    </row>
    <row r="6601" ht="14.25" customHeight="1">
      <c r="A6601" s="1">
        <v>100.0</v>
      </c>
      <c r="B6601" s="1" t="s">
        <v>2969</v>
      </c>
      <c r="C6601" s="1">
        <v>10.0</v>
      </c>
      <c r="D6601" s="1" t="s">
        <v>388</v>
      </c>
      <c r="E6601" s="1" t="str">
        <f>IFERROR(__xludf.DUMMYFUNCTION("GOOGLETRANSLATE(D6601,""PT"",""EN"")"),"8")</f>
        <v>8</v>
      </c>
    </row>
    <row r="6602" ht="14.25" customHeight="1">
      <c r="A6602" s="1">
        <v>100.0</v>
      </c>
      <c r="B6602" s="1" t="s">
        <v>2969</v>
      </c>
      <c r="C6602" s="1">
        <v>10.0</v>
      </c>
      <c r="D6602" s="1" t="s">
        <v>6</v>
      </c>
      <c r="E6602" s="1"/>
    </row>
    <row r="6603" ht="14.25" customHeight="1">
      <c r="A6603" s="1">
        <v>100.0</v>
      </c>
      <c r="B6603" s="1" t="s">
        <v>2969</v>
      </c>
      <c r="C6603" s="1">
        <v>10.0</v>
      </c>
      <c r="D6603" s="1" t="s">
        <v>3017</v>
      </c>
      <c r="E6603" s="1" t="str">
        <f>IFERROR(__xludf.DUMMYFUNCTION("GOOGLETRANSLATE(D6603,""PT"",""EN"")"),"Very satisfied")</f>
        <v>Very satisfied</v>
      </c>
    </row>
    <row r="6604" ht="14.25" customHeight="1">
      <c r="A6604" s="1">
        <v>33.0</v>
      </c>
      <c r="B6604" s="1" t="s">
        <v>2969</v>
      </c>
      <c r="C6604" s="1">
        <v>4.0</v>
      </c>
      <c r="D6604" s="1" t="s">
        <v>6</v>
      </c>
      <c r="E6604" s="1"/>
    </row>
    <row r="6605" ht="14.25" customHeight="1">
      <c r="A6605" s="1">
        <v>100.0</v>
      </c>
      <c r="B6605" s="1" t="s">
        <v>2969</v>
      </c>
      <c r="C6605" s="1">
        <v>10.0</v>
      </c>
      <c r="D6605" s="1" t="s">
        <v>6</v>
      </c>
      <c r="E6605" s="1"/>
    </row>
    <row r="6606" ht="14.25" customHeight="1">
      <c r="A6606" s="1">
        <v>66.0</v>
      </c>
      <c r="B6606" s="1" t="s">
        <v>2969</v>
      </c>
      <c r="C6606" s="1">
        <v>8.0</v>
      </c>
      <c r="D6606" s="2" t="s">
        <v>3018</v>
      </c>
      <c r="E6606" s="1" t="str">
        <f>IFERROR(__xludf.DUMMYFUNCTION("GOOGLETRANSLATE(D6606,""PT"",""EN"")"),"I tried to make a payment with the card is was down")</f>
        <v>I tried to make a payment with the card is was down</v>
      </c>
    </row>
    <row r="6607" ht="14.25" customHeight="1">
      <c r="A6607" s="1">
        <v>33.0</v>
      </c>
      <c r="B6607" s="1" t="s">
        <v>2969</v>
      </c>
      <c r="C6607" s="1">
        <v>0.0</v>
      </c>
      <c r="D6607" s="2" t="s">
        <v>3019</v>
      </c>
      <c r="E6607" s="1" t="str">
        <f>IFERROR(__xludf.DUMMYFUNCTION("GOOGLETRANSLATE(D6607,""PT"",""EN"")"),"Very bureaucratic cooperative is very lacking respect for the cooperative! I never want to know this cooperative again! Horrible! I do not indicate to anyone.")</f>
        <v>Very bureaucratic cooperative is very lacking respect for the cooperative! I never want to know this cooperative again! Horrible! I do not indicate to anyone.</v>
      </c>
    </row>
    <row r="6608" ht="14.25" customHeight="1">
      <c r="A6608" s="1">
        <v>33.0</v>
      </c>
      <c r="B6608" s="1" t="s">
        <v>2969</v>
      </c>
      <c r="C6608" s="1">
        <v>0.0</v>
      </c>
      <c r="D6608" s="1" t="s">
        <v>6</v>
      </c>
      <c r="E6608" s="1"/>
    </row>
    <row r="6609" ht="14.25" customHeight="1">
      <c r="A6609" s="1">
        <v>100.0</v>
      </c>
      <c r="B6609" s="1" t="s">
        <v>2969</v>
      </c>
      <c r="C6609" s="1">
        <v>10.0</v>
      </c>
      <c r="D6609" s="1" t="s">
        <v>6</v>
      </c>
      <c r="E6609" s="1"/>
    </row>
    <row r="6610" ht="14.25" customHeight="1">
      <c r="A6610" s="1">
        <v>33.0</v>
      </c>
      <c r="B6610" s="1" t="s">
        <v>2969</v>
      </c>
      <c r="C6610" s="1">
        <v>2.0</v>
      </c>
      <c r="D6610" s="2" t="s">
        <v>3020</v>
      </c>
      <c r="E6610" s="1" t="str">
        <f>IFERROR(__xludf.DUMMYFUNCTION("GOOGLETRANSLATE(D6610,""PT"",""EN"")"),"The service is not very good, both at the agency and by telephone")</f>
        <v>The service is not very good, both at the agency and by telephone</v>
      </c>
    </row>
    <row r="6611" ht="14.25" customHeight="1">
      <c r="A6611" s="1">
        <v>66.0</v>
      </c>
      <c r="B6611" s="1" t="s">
        <v>2969</v>
      </c>
      <c r="C6611" s="1">
        <v>7.0</v>
      </c>
      <c r="D6611" s="1" t="s">
        <v>6</v>
      </c>
      <c r="E6611" s="1"/>
    </row>
    <row r="6612" ht="14.25" customHeight="1">
      <c r="A6612" s="1">
        <v>66.0</v>
      </c>
      <c r="B6612" s="1" t="s">
        <v>2969</v>
      </c>
      <c r="C6612" s="1">
        <v>8.0</v>
      </c>
      <c r="D6612" s="1" t="s">
        <v>6</v>
      </c>
      <c r="E6612" s="1"/>
    </row>
    <row r="6613" ht="14.25" customHeight="1">
      <c r="A6613" s="1">
        <v>100.0</v>
      </c>
      <c r="B6613" s="1" t="s">
        <v>2969</v>
      </c>
      <c r="C6613" s="1">
        <v>10.0</v>
      </c>
      <c r="D6613" s="1" t="s">
        <v>6</v>
      </c>
      <c r="E6613" s="1"/>
    </row>
    <row r="6614" ht="14.25" customHeight="1">
      <c r="A6614" s="1">
        <v>100.0</v>
      </c>
      <c r="B6614" s="1" t="s">
        <v>2969</v>
      </c>
      <c r="C6614" s="1">
        <v>9.0</v>
      </c>
      <c r="D6614" s="1" t="s">
        <v>6</v>
      </c>
      <c r="E6614" s="1"/>
    </row>
    <row r="6615" ht="14.25" customHeight="1">
      <c r="A6615" s="1">
        <v>33.0</v>
      </c>
      <c r="B6615" s="1" t="s">
        <v>2969</v>
      </c>
      <c r="C6615" s="1">
        <v>1.0</v>
      </c>
      <c r="D6615" s="2" t="s">
        <v>3021</v>
      </c>
      <c r="E6615" s="1" t="str">
        <f>IFERROR(__xludf.DUMMYFUNCTION("GOOGLETRANSLATE(D6615,""PT"",""EN"")"),"I don't know where it is a mile agency, the address changed is not yet informed of the new address")</f>
        <v>I don't know where it is a mile agency, the address changed is not yet informed of the new address</v>
      </c>
    </row>
    <row r="6616" ht="14.25" customHeight="1">
      <c r="A6616" s="1">
        <v>100.0</v>
      </c>
      <c r="B6616" s="1" t="s">
        <v>2969</v>
      </c>
      <c r="C6616" s="1">
        <v>10.0</v>
      </c>
      <c r="D6616" s="1" t="s">
        <v>2889</v>
      </c>
      <c r="E6616" s="1" t="str">
        <f>IFERROR(__xludf.DUMMYFUNCTION("GOOGLETRANSLATE(D6616,""PT"",""EN"")"),"Excellent")</f>
        <v>Excellent</v>
      </c>
    </row>
    <row r="6617" ht="14.25" customHeight="1">
      <c r="A6617" s="1">
        <v>100.0</v>
      </c>
      <c r="B6617" s="1" t="s">
        <v>2969</v>
      </c>
      <c r="C6617" s="1">
        <v>10.0</v>
      </c>
      <c r="D6617" s="1" t="s">
        <v>6</v>
      </c>
      <c r="E6617" s="1"/>
    </row>
    <row r="6618" ht="14.25" customHeight="1">
      <c r="A6618" s="1">
        <v>100.0</v>
      </c>
      <c r="B6618" s="1" t="s">
        <v>2969</v>
      </c>
      <c r="C6618" s="1">
        <v>10.0</v>
      </c>
      <c r="D6618" s="2" t="s">
        <v>3022</v>
      </c>
      <c r="E6618" s="1" t="str">
        <f>IFERROR(__xludf.DUMMYFUNCTION("GOOGLETRANSLATE(D6618,""PT"",""EN"")"),"10 For me is the best cooperative in Brazil")</f>
        <v>10 For me is the best cooperative in Brazil</v>
      </c>
    </row>
    <row r="6619" ht="14.25" customHeight="1">
      <c r="A6619" s="1">
        <v>33.0</v>
      </c>
      <c r="B6619" s="1" t="s">
        <v>2969</v>
      </c>
      <c r="C6619" s="1">
        <v>0.0</v>
      </c>
      <c r="D6619" s="1" t="s">
        <v>3023</v>
      </c>
      <c r="E6619" s="1" t="str">
        <f>IFERROR(__xludf.DUMMYFUNCTION("GOOGLETRANSLATE(D6619,""PT"",""EN"")"),"Without any support")</f>
        <v>Without any support</v>
      </c>
    </row>
    <row r="6620" ht="14.25" customHeight="1">
      <c r="A6620" s="1">
        <v>100.0</v>
      </c>
      <c r="B6620" s="1" t="s">
        <v>2969</v>
      </c>
      <c r="C6620" s="1">
        <v>9.0</v>
      </c>
      <c r="D6620" s="1" t="s">
        <v>6</v>
      </c>
      <c r="E6620" s="1"/>
    </row>
    <row r="6621" ht="14.25" customHeight="1">
      <c r="A6621" s="1">
        <v>100.0</v>
      </c>
      <c r="B6621" s="1" t="s">
        <v>2969</v>
      </c>
      <c r="C6621" s="1">
        <v>9.0</v>
      </c>
      <c r="D6621" s="2" t="s">
        <v>3024</v>
      </c>
      <c r="E6621" s="1" t="str">
        <f>IFERROR(__xludf.DUMMYFUNCTION("GOOGLETRANSLATE(D6621,""PT"",""EN"")"),"Differentiated service is the ease of communication")</f>
        <v>Differentiated service is the ease of communication</v>
      </c>
    </row>
    <row r="6622" ht="14.25" customHeight="1">
      <c r="A6622" s="1">
        <v>100.0</v>
      </c>
      <c r="B6622" s="1" t="s">
        <v>2969</v>
      </c>
      <c r="C6622" s="1">
        <v>10.0</v>
      </c>
      <c r="D6622" s="1" t="s">
        <v>6</v>
      </c>
      <c r="E6622" s="1"/>
    </row>
    <row r="6623" ht="14.25" customHeight="1">
      <c r="A6623" s="1">
        <v>33.0</v>
      </c>
      <c r="B6623" s="1" t="s">
        <v>2969</v>
      </c>
      <c r="C6623" s="1">
        <v>3.0</v>
      </c>
      <c r="D6623" s="1" t="s">
        <v>6</v>
      </c>
      <c r="E6623" s="1"/>
    </row>
    <row r="6624" ht="14.25" customHeight="1">
      <c r="A6624" s="1">
        <v>66.0</v>
      </c>
      <c r="B6624" s="1" t="s">
        <v>2969</v>
      </c>
      <c r="C6624" s="1">
        <v>8.0</v>
      </c>
      <c r="D6624" s="1" t="s">
        <v>6</v>
      </c>
      <c r="E6624" s="1"/>
    </row>
    <row r="6625" ht="14.25" customHeight="1">
      <c r="A6625" s="1">
        <v>100.0</v>
      </c>
      <c r="B6625" s="1" t="s">
        <v>2969</v>
      </c>
      <c r="C6625" s="1">
        <v>9.0</v>
      </c>
      <c r="D6625" s="1" t="s">
        <v>6</v>
      </c>
      <c r="E6625" s="1"/>
    </row>
    <row r="6626" ht="14.25" customHeight="1">
      <c r="A6626" s="1">
        <v>33.0</v>
      </c>
      <c r="B6626" s="1" t="s">
        <v>2969</v>
      </c>
      <c r="C6626" s="1">
        <v>0.0</v>
      </c>
      <c r="D6626" s="1" t="s">
        <v>6</v>
      </c>
      <c r="E6626" s="1"/>
    </row>
    <row r="6627" ht="14.25" customHeight="1">
      <c r="A6627" s="1">
        <v>66.0</v>
      </c>
      <c r="B6627" s="1" t="s">
        <v>2969</v>
      </c>
      <c r="C6627" s="1">
        <v>7.0</v>
      </c>
      <c r="D6627" s="2" t="s">
        <v>3025</v>
      </c>
      <c r="E6627" s="1" t="str">
        <f>IFERROR(__xludf.DUMMYFUNCTION("GOOGLETRANSLATE(D6627,""PT"",""EN"")"),"Complicated operating system is poor")</f>
        <v>Complicated operating system is poor</v>
      </c>
    </row>
    <row r="6628" ht="14.25" customHeight="1">
      <c r="A6628" s="1">
        <v>33.0</v>
      </c>
      <c r="B6628" s="1" t="s">
        <v>2969</v>
      </c>
      <c r="C6628" s="1">
        <v>0.0</v>
      </c>
      <c r="D6628" s="2" t="s">
        <v>3026</v>
      </c>
      <c r="E6628" s="1" t="str">
        <f>IFERROR(__xludf.DUMMYFUNCTION("GOOGLETRANSLATE(D6628,""PT"",""EN"")"),"No good")</f>
        <v>No good</v>
      </c>
    </row>
    <row r="6629" ht="14.25" customHeight="1">
      <c r="A6629" s="1">
        <v>33.0</v>
      </c>
      <c r="B6629" s="1" t="s">
        <v>2969</v>
      </c>
      <c r="C6629" s="1">
        <v>0.0</v>
      </c>
      <c r="D6629" s="1" t="s">
        <v>6</v>
      </c>
      <c r="E6629" s="1"/>
    </row>
    <row r="6630" ht="14.25" customHeight="1">
      <c r="A6630" s="1">
        <v>66.0</v>
      </c>
      <c r="B6630" s="1" t="s">
        <v>2969</v>
      </c>
      <c r="C6630" s="1">
        <v>8.0</v>
      </c>
      <c r="D6630" s="2" t="s">
        <v>3027</v>
      </c>
      <c r="E6630" s="1" t="str">
        <f>IFERROR(__xludf.DUMMYFUNCTION("GOOGLETRANSLATE(D6630,""PT"",""EN"")"),"I was always very well attended. Now I have not understood the low value distribution of the quotas this year.")</f>
        <v>I was always very well attended. Now I have not understood the low value distribution of the quotas this year.</v>
      </c>
    </row>
    <row r="6631" ht="14.25" customHeight="1">
      <c r="A6631" s="1">
        <v>33.0</v>
      </c>
      <c r="B6631" s="1" t="s">
        <v>2969</v>
      </c>
      <c r="C6631" s="1">
        <v>5.0</v>
      </c>
      <c r="D6631" s="2" t="s">
        <v>3028</v>
      </c>
      <c r="E6631" s="1" t="str">
        <f>IFERROR(__xludf.DUMMYFUNCTION("GOOGLETRANSLATE(D6631,""PT"",""EN"")"),"Trying to make a corporate card we could not")</f>
        <v>Trying to make a corporate card we could not</v>
      </c>
    </row>
    <row r="6632" ht="14.25" customHeight="1">
      <c r="A6632" s="1">
        <v>33.0</v>
      </c>
      <c r="B6632" s="1" t="s">
        <v>2969</v>
      </c>
      <c r="C6632" s="1">
        <v>5.0</v>
      </c>
      <c r="D6632" s="1" t="s">
        <v>3029</v>
      </c>
      <c r="E6632" s="1" t="str">
        <f>IFERROR(__xludf.DUMMYFUNCTION("GOOGLETRANSLATE(D6632,""PT"",""EN"")"),"support")</f>
        <v>support</v>
      </c>
    </row>
    <row r="6633" ht="14.25" customHeight="1">
      <c r="A6633" s="1">
        <v>100.0</v>
      </c>
      <c r="B6633" s="1" t="s">
        <v>2969</v>
      </c>
      <c r="C6633" s="1">
        <v>10.0</v>
      </c>
      <c r="D6633" s="1" t="s">
        <v>85</v>
      </c>
      <c r="E6633" s="1" t="str">
        <f>IFERROR(__xludf.DUMMYFUNCTION("GOOGLETRANSLATE(D6633,""PT"",""EN"")"),"Service")</f>
        <v>Service</v>
      </c>
    </row>
    <row r="6634" ht="14.25" customHeight="1">
      <c r="A6634" s="1">
        <v>100.0</v>
      </c>
      <c r="B6634" s="1" t="s">
        <v>2969</v>
      </c>
      <c r="C6634" s="1">
        <v>10.0</v>
      </c>
      <c r="D6634" s="1" t="s">
        <v>6</v>
      </c>
      <c r="E6634" s="1"/>
    </row>
    <row r="6635" ht="14.25" customHeight="1">
      <c r="A6635" s="1">
        <v>100.0</v>
      </c>
      <c r="B6635" s="1" t="s">
        <v>2969</v>
      </c>
      <c r="C6635" s="1">
        <v>10.0</v>
      </c>
      <c r="D6635" s="1" t="s">
        <v>6</v>
      </c>
      <c r="E6635" s="1"/>
    </row>
    <row r="6636" ht="14.25" customHeight="1">
      <c r="A6636" s="1">
        <v>100.0</v>
      </c>
      <c r="B6636" s="1" t="s">
        <v>2969</v>
      </c>
      <c r="C6636" s="1">
        <v>10.0</v>
      </c>
      <c r="D6636" s="1" t="s">
        <v>2592</v>
      </c>
      <c r="E6636" s="1" t="str">
        <f>IFERROR(__xludf.DUMMYFUNCTION("GOOGLETRANSLATE(D6636,""PT"",""EN"")"),"Wonderful")</f>
        <v>Wonderful</v>
      </c>
    </row>
    <row r="6637" ht="14.25" customHeight="1">
      <c r="A6637" s="1">
        <v>66.0</v>
      </c>
      <c r="B6637" s="1" t="s">
        <v>2969</v>
      </c>
      <c r="C6637" s="1">
        <v>8.0</v>
      </c>
      <c r="D6637" s="1" t="s">
        <v>3030</v>
      </c>
      <c r="E6637" s="1" t="str">
        <f>IFERROR(__xludf.DUMMYFUNCTION("GOOGLETRANSLATE(D6637,""PT"",""EN"")"),"Functional Bank. Below market rates.")</f>
        <v>Functional Bank. Below market rates.</v>
      </c>
    </row>
    <row r="6638" ht="14.25" customHeight="1">
      <c r="A6638" s="1">
        <v>100.0</v>
      </c>
      <c r="B6638" s="1" t="s">
        <v>2969</v>
      </c>
      <c r="C6638" s="1">
        <v>10.0</v>
      </c>
      <c r="D6638" s="1" t="s">
        <v>6</v>
      </c>
      <c r="E6638" s="1"/>
    </row>
    <row r="6639" ht="14.25" customHeight="1">
      <c r="A6639" s="1">
        <v>100.0</v>
      </c>
      <c r="B6639" s="1" t="s">
        <v>2969</v>
      </c>
      <c r="C6639" s="1">
        <v>10.0</v>
      </c>
      <c r="D6639" s="1" t="s">
        <v>6</v>
      </c>
      <c r="E6639" s="1"/>
    </row>
    <row r="6640" ht="14.25" customHeight="1">
      <c r="A6640" s="1">
        <v>100.0</v>
      </c>
      <c r="B6640" s="1" t="s">
        <v>2969</v>
      </c>
      <c r="C6640" s="1">
        <v>10.0</v>
      </c>
      <c r="D6640" s="1" t="s">
        <v>571</v>
      </c>
      <c r="E6640" s="1" t="str">
        <f>IFERROR(__xludf.DUMMYFUNCTION("GOOGLETRANSLATE(D6640,""PT"",""EN"")"),"The service")</f>
        <v>The service</v>
      </c>
    </row>
    <row r="6641" ht="14.25" customHeight="1">
      <c r="A6641" s="1">
        <v>66.0</v>
      </c>
      <c r="B6641" s="1" t="s">
        <v>2969</v>
      </c>
      <c r="C6641" s="1">
        <v>8.0</v>
      </c>
      <c r="D6641" s="2" t="s">
        <v>3031</v>
      </c>
      <c r="E6641" s="1" t="str">
        <f>IFERROR(__xludf.DUMMYFUNCTION("GOOGLETRANSLATE(D6641,""PT"",""EN"")"),"Sicoob has to give more advantages to its customers.")</f>
        <v>Sicoob has to give more advantages to its customers.</v>
      </c>
    </row>
    <row r="6642" ht="14.25" customHeight="1">
      <c r="A6642" s="1">
        <v>33.0</v>
      </c>
      <c r="B6642" s="1" t="s">
        <v>2969</v>
      </c>
      <c r="C6642" s="1">
        <v>6.0</v>
      </c>
      <c r="D6642" s="1" t="s">
        <v>6</v>
      </c>
      <c r="E6642" s="1"/>
    </row>
    <row r="6643" ht="14.25" customHeight="1">
      <c r="A6643" s="1">
        <v>100.0</v>
      </c>
      <c r="B6643" s="1" t="s">
        <v>2969</v>
      </c>
      <c r="C6643" s="1">
        <v>10.0</v>
      </c>
      <c r="D6643" s="1" t="s">
        <v>6</v>
      </c>
      <c r="E6643" s="1"/>
    </row>
    <row r="6644" ht="14.25" customHeight="1">
      <c r="A6644" s="1">
        <v>100.0</v>
      </c>
      <c r="B6644" s="1" t="s">
        <v>2969</v>
      </c>
      <c r="C6644" s="1">
        <v>10.0</v>
      </c>
      <c r="D6644" s="1" t="s">
        <v>6</v>
      </c>
      <c r="E6644" s="1"/>
    </row>
    <row r="6645" ht="14.25" customHeight="1">
      <c r="A6645" s="1">
        <v>100.0</v>
      </c>
      <c r="B6645" s="1" t="s">
        <v>2969</v>
      </c>
      <c r="C6645" s="1">
        <v>10.0</v>
      </c>
      <c r="D6645" s="1" t="s">
        <v>6</v>
      </c>
      <c r="E6645" s="1"/>
    </row>
    <row r="6646" ht="14.25" customHeight="1">
      <c r="A6646" s="1">
        <v>66.0</v>
      </c>
      <c r="B6646" s="1" t="s">
        <v>2969</v>
      </c>
      <c r="C6646" s="1">
        <v>8.0</v>
      </c>
      <c r="D6646" s="1" t="s">
        <v>6</v>
      </c>
      <c r="E6646" s="1"/>
    </row>
    <row r="6647" ht="14.25" customHeight="1">
      <c r="A6647" s="1">
        <v>100.0</v>
      </c>
      <c r="B6647" s="1" t="s">
        <v>2969</v>
      </c>
      <c r="C6647" s="1">
        <v>10.0</v>
      </c>
      <c r="D6647" s="1" t="s">
        <v>6</v>
      </c>
      <c r="E6647" s="1"/>
    </row>
    <row r="6648" ht="14.25" customHeight="1">
      <c r="A6648" s="1">
        <v>66.0</v>
      </c>
      <c r="B6648" s="1" t="s">
        <v>2969</v>
      </c>
      <c r="C6648" s="1">
        <v>7.0</v>
      </c>
      <c r="D6648" s="2" t="s">
        <v>3032</v>
      </c>
      <c r="E6648" s="1" t="str">
        <f>IFERROR(__xludf.DUMMYFUNCTION("GOOGLETRANSLATE(D6648,""PT"",""EN"")"),"They always answered me with urbanity and efficiency.")</f>
        <v>They always answered me with urbanity and efficiency.</v>
      </c>
    </row>
    <row r="6649" ht="14.25" customHeight="1">
      <c r="A6649" s="1">
        <v>33.0</v>
      </c>
      <c r="B6649" s="1" t="s">
        <v>2969</v>
      </c>
      <c r="C6649" s="1">
        <v>1.0</v>
      </c>
      <c r="D6649" s="2" t="s">
        <v>3033</v>
      </c>
      <c r="E6649" s="1" t="str">
        <f>IFERROR(__xludf.DUMMYFUNCTION("GOOGLETRANSLATE(D6649,""PT"",""EN"")"),"because the bank does not give you a support")</f>
        <v>because the bank does not give you a support</v>
      </c>
    </row>
    <row r="6650" ht="14.25" customHeight="1">
      <c r="A6650" s="1">
        <v>33.0</v>
      </c>
      <c r="B6650" s="1" t="s">
        <v>2969</v>
      </c>
      <c r="C6650" s="1">
        <v>0.0</v>
      </c>
      <c r="D6650" s="1" t="s">
        <v>3034</v>
      </c>
      <c r="E6650" s="1" t="str">
        <f>IFERROR(__xludf.DUMMYFUNCTION("GOOGLETRANSLATE(D6650,""PT"",""EN"")"),"Years of account, very restricted benefits.")</f>
        <v>Years of account, very restricted benefits.</v>
      </c>
    </row>
    <row r="6651" ht="14.25" customHeight="1">
      <c r="A6651" s="1">
        <v>100.0</v>
      </c>
      <c r="B6651" s="1" t="s">
        <v>2969</v>
      </c>
      <c r="C6651" s="1">
        <v>9.0</v>
      </c>
      <c r="D6651" s="1" t="s">
        <v>6</v>
      </c>
      <c r="E6651" s="1"/>
    </row>
    <row r="6652" ht="14.25" customHeight="1">
      <c r="A6652" s="1">
        <v>33.0</v>
      </c>
      <c r="B6652" s="1" t="s">
        <v>2969</v>
      </c>
      <c r="C6652" s="1">
        <v>3.0</v>
      </c>
      <c r="D6652" s="1" t="s">
        <v>6</v>
      </c>
      <c r="E6652" s="1"/>
    </row>
    <row r="6653" ht="14.25" customHeight="1">
      <c r="A6653" s="1">
        <v>33.0</v>
      </c>
      <c r="B6653" s="1" t="s">
        <v>2969</v>
      </c>
      <c r="C6653" s="1">
        <v>0.0</v>
      </c>
      <c r="D6653" s="1" t="s">
        <v>6</v>
      </c>
      <c r="E6653" s="1"/>
    </row>
    <row r="6654" ht="14.25" customHeight="1">
      <c r="A6654" s="1">
        <v>100.0</v>
      </c>
      <c r="B6654" s="1" t="s">
        <v>2969</v>
      </c>
      <c r="C6654" s="1">
        <v>9.0</v>
      </c>
      <c r="D6654" s="1" t="s">
        <v>6</v>
      </c>
      <c r="E6654" s="1"/>
    </row>
    <row r="6655" ht="14.25" customHeight="1">
      <c r="A6655" s="1">
        <v>100.0</v>
      </c>
      <c r="B6655" s="1" t="s">
        <v>2969</v>
      </c>
      <c r="C6655" s="1">
        <v>10.0</v>
      </c>
      <c r="D6655" s="2" t="s">
        <v>3035</v>
      </c>
      <c r="E6655" s="1" t="str">
        <f>IFERROR(__xludf.DUMMYFUNCTION("GOOGLETRANSLATE(D6655,""PT"",""EN"")"),"Excellent.")</f>
        <v>Excellent.</v>
      </c>
    </row>
    <row r="6656" ht="14.25" customHeight="1">
      <c r="A6656" s="1">
        <v>100.0</v>
      </c>
      <c r="B6656" s="1" t="s">
        <v>2969</v>
      </c>
      <c r="C6656" s="1">
        <v>10.0</v>
      </c>
      <c r="D6656" s="1" t="s">
        <v>570</v>
      </c>
      <c r="E6656" s="1" t="str">
        <f>IFERROR(__xludf.DUMMYFUNCTION("GOOGLETRANSLATE(D6656,""PT"",""EN"")"),"Excelent reception")</f>
        <v>Excelent reception</v>
      </c>
    </row>
    <row r="6657" ht="14.25" customHeight="1">
      <c r="A6657" s="1">
        <v>66.0</v>
      </c>
      <c r="B6657" s="1" t="s">
        <v>2969</v>
      </c>
      <c r="C6657" s="1">
        <v>8.0</v>
      </c>
      <c r="D6657" s="2" t="s">
        <v>3036</v>
      </c>
      <c r="E6657" s="1" t="str">
        <f>IFERROR(__xludf.DUMMYFUNCTION("GOOGLETRANSLATE(D6657,""PT"",""EN"")"),"VIP service")</f>
        <v>VIP service</v>
      </c>
    </row>
    <row r="6658" ht="14.25" customHeight="1">
      <c r="A6658" s="1">
        <v>100.0</v>
      </c>
      <c r="B6658" s="1" t="s">
        <v>2969</v>
      </c>
      <c r="C6658" s="1">
        <v>10.0</v>
      </c>
      <c r="D6658" s="2" t="s">
        <v>3037</v>
      </c>
      <c r="E6658" s="1" t="str">
        <f>IFERROR(__xludf.DUMMYFUNCTION("GOOGLETRANSLATE(D6658,""PT"",""EN"")"),"The service by the staff, super attentive, solicitous and speed in the solution of consultations.")</f>
        <v>The service by the staff, super attentive, solicitous and speed in the solution of consultations.</v>
      </c>
    </row>
    <row r="6659" ht="14.25" customHeight="1">
      <c r="A6659" s="1">
        <v>33.0</v>
      </c>
      <c r="B6659" s="1" t="s">
        <v>2969</v>
      </c>
      <c r="C6659" s="1">
        <v>0.0</v>
      </c>
      <c r="D6659" s="1" t="s">
        <v>3038</v>
      </c>
      <c r="E6659" s="1" t="str">
        <f>IFERROR(__xludf.DUMMYFUNCTION("GOOGLETRANSLATE(D6659,""PT"",""EN"")"),"For years I have an account with Sicoob Nun")</f>
        <v>For years I have an account with Sicoob Nun</v>
      </c>
    </row>
    <row r="6660" ht="14.25" customHeight="1">
      <c r="A6660" s="1">
        <v>33.0</v>
      </c>
      <c r="B6660" s="1" t="s">
        <v>2969</v>
      </c>
      <c r="C6660" s="1">
        <v>0.0</v>
      </c>
      <c r="D6660" s="2" t="s">
        <v>3039</v>
      </c>
      <c r="E6660" s="1" t="str">
        <f>IFERROR(__xludf.DUMMYFUNCTION("GOOGLETRANSLATE(D6660,""PT"",""EN"")"),"I did not receive reports")</f>
        <v>I did not receive reports</v>
      </c>
    </row>
    <row r="6661" ht="14.25" customHeight="1">
      <c r="A6661" s="1">
        <v>100.0</v>
      </c>
      <c r="B6661" s="1" t="s">
        <v>2969</v>
      </c>
      <c r="C6661" s="1">
        <v>10.0</v>
      </c>
      <c r="D6661" s="1" t="s">
        <v>3040</v>
      </c>
      <c r="E6661" s="1" t="str">
        <f>IFERROR(__xludf.DUMMYFUNCTION("GOOGLETRANSLATE(D6661,""PT"",""EN"")"),"Lower interest rates.")</f>
        <v>Lower interest rates.</v>
      </c>
    </row>
    <row r="6662" ht="14.25" customHeight="1">
      <c r="A6662" s="1">
        <v>66.0</v>
      </c>
      <c r="B6662" s="1" t="s">
        <v>2969</v>
      </c>
      <c r="C6662" s="1">
        <v>8.0</v>
      </c>
      <c r="D6662" s="1" t="s">
        <v>3041</v>
      </c>
      <c r="E6662" s="1" t="str">
        <f>IFERROR(__xludf.DUMMYFUNCTION("GOOGLETRANSLATE(D6662,""PT"",""EN"")"),"the exemption of maintenance rates")</f>
        <v>the exemption of maintenance rates</v>
      </c>
    </row>
    <row r="6663" ht="14.25" customHeight="1">
      <c r="A6663" s="1">
        <v>100.0</v>
      </c>
      <c r="B6663" s="1" t="s">
        <v>2969</v>
      </c>
      <c r="C6663" s="1">
        <v>10.0</v>
      </c>
      <c r="D6663" s="1" t="s">
        <v>3042</v>
      </c>
      <c r="E6663" s="1" t="str">
        <f>IFERROR(__xludf.DUMMYFUNCTION("GOOGLETRANSLATE(D6663,""PT"",""EN"")"),"The experience with Sicoob was very cool")</f>
        <v>The experience with Sicoob was very cool</v>
      </c>
    </row>
    <row r="6664" ht="14.25" customHeight="1">
      <c r="A6664" s="1">
        <v>33.0</v>
      </c>
      <c r="B6664" s="1" t="s">
        <v>2969</v>
      </c>
      <c r="C6664" s="1">
        <v>5.0</v>
      </c>
      <c r="D6664" s="1" t="s">
        <v>6</v>
      </c>
      <c r="E6664" s="1"/>
    </row>
    <row r="6665" ht="14.25" customHeight="1">
      <c r="A6665" s="1">
        <v>100.0</v>
      </c>
      <c r="B6665" s="1" t="s">
        <v>2969</v>
      </c>
      <c r="C6665" s="1">
        <v>9.0</v>
      </c>
      <c r="D6665" s="1" t="s">
        <v>6</v>
      </c>
      <c r="E6665" s="1"/>
    </row>
    <row r="6666" ht="14.25" customHeight="1">
      <c r="A6666" s="1">
        <v>66.0</v>
      </c>
      <c r="B6666" s="1" t="s">
        <v>2969</v>
      </c>
      <c r="C6666" s="1">
        <v>7.0</v>
      </c>
      <c r="D6666" s="2" t="s">
        <v>3043</v>
      </c>
      <c r="E6666" s="1" t="str">
        <f>IFERROR(__xludf.DUMMYFUNCTION("GOOGLETRANSLATE(D6666,""PT"",""EN"")"),"Although the application is slow, I feel safe to use. Although they do not release any credit for me, forcing me to use digital payment accounts, I still see the advantage of keeping my account active")</f>
        <v>Although the application is slow, I feel safe to use. Although they do not release any credit for me, forcing me to use digital payment accounts, I still see the advantage of keeping my account active</v>
      </c>
    </row>
    <row r="6667" ht="14.25" customHeight="1">
      <c r="A6667" s="1">
        <v>100.0</v>
      </c>
      <c r="B6667" s="1" t="s">
        <v>2969</v>
      </c>
      <c r="C6667" s="1">
        <v>10.0</v>
      </c>
      <c r="D6667" s="1" t="s">
        <v>3044</v>
      </c>
      <c r="E6667" s="1" t="str">
        <f>IFERROR(__xludf.DUMMYFUNCTION("GOOGLETRANSLATE(D6667,""PT"",""EN"")"),"Efficient, respectful, cordial service.")</f>
        <v>Efficient, respectful, cordial service.</v>
      </c>
    </row>
    <row r="6668" ht="14.25" customHeight="1">
      <c r="A6668" s="1">
        <v>66.0</v>
      </c>
      <c r="B6668" s="1" t="s">
        <v>2969</v>
      </c>
      <c r="C6668" s="1">
        <v>8.0</v>
      </c>
      <c r="D6668" s="1" t="s">
        <v>6</v>
      </c>
      <c r="E6668" s="1"/>
    </row>
    <row r="6669" ht="14.25" customHeight="1">
      <c r="A6669" s="1">
        <v>100.0</v>
      </c>
      <c r="B6669" s="1" t="s">
        <v>2969</v>
      </c>
      <c r="C6669" s="1">
        <v>10.0</v>
      </c>
      <c r="D6669" s="1" t="s">
        <v>6</v>
      </c>
      <c r="E6669" s="1"/>
    </row>
    <row r="6670" ht="14.25" customHeight="1">
      <c r="A6670" s="1">
        <v>66.0</v>
      </c>
      <c r="B6670" s="1" t="s">
        <v>2969</v>
      </c>
      <c r="C6670" s="1">
        <v>8.0</v>
      </c>
      <c r="D6670" s="1" t="s">
        <v>6</v>
      </c>
      <c r="E6670" s="1"/>
    </row>
    <row r="6671" ht="14.25" customHeight="1">
      <c r="A6671" s="1">
        <v>66.0</v>
      </c>
      <c r="B6671" s="1" t="s">
        <v>2969</v>
      </c>
      <c r="C6671" s="1">
        <v>8.0</v>
      </c>
      <c r="D6671" s="1" t="s">
        <v>3045</v>
      </c>
      <c r="E6671" s="1" t="str">
        <f>IFERROR(__xludf.DUMMYFUNCTION("GOOGLETRANSLATE(D6671,""PT"",""EN"")"),"Low agency")</f>
        <v>Low agency</v>
      </c>
    </row>
    <row r="6672" ht="14.25" customHeight="1">
      <c r="A6672" s="1">
        <v>100.0</v>
      </c>
      <c r="B6672" s="1" t="s">
        <v>2969</v>
      </c>
      <c r="C6672" s="1">
        <v>10.0</v>
      </c>
      <c r="D6672" s="1" t="s">
        <v>3046</v>
      </c>
      <c r="E6672" s="1" t="str">
        <f>IFERROR(__xludf.DUMMYFUNCTION("GOOGLETRANSLATE(D6672,""PT"",""EN"")"),"Because it is a financial institution that is focused on the server with reasonable interest.")</f>
        <v>Because it is a financial institution that is focused on the server with reasonable interest.</v>
      </c>
    </row>
    <row r="6673" ht="14.25" customHeight="1">
      <c r="A6673" s="1">
        <v>100.0</v>
      </c>
      <c r="B6673" s="1" t="s">
        <v>2969</v>
      </c>
      <c r="C6673" s="1">
        <v>10.0</v>
      </c>
      <c r="D6673" s="1" t="s">
        <v>3047</v>
      </c>
      <c r="E6673" s="1" t="str">
        <f>IFERROR(__xludf.DUMMYFUNCTION("GOOGLETRANSLATE(D6673,""PT"",""EN"")"),"s")</f>
        <v>s</v>
      </c>
    </row>
    <row r="6674" ht="14.25" customHeight="1">
      <c r="A6674" s="1">
        <v>100.0</v>
      </c>
      <c r="B6674" s="1" t="s">
        <v>2969</v>
      </c>
      <c r="C6674" s="1">
        <v>9.0</v>
      </c>
      <c r="D6674" s="1" t="s">
        <v>6</v>
      </c>
      <c r="E6674" s="1"/>
    </row>
    <row r="6675" ht="14.25" customHeight="1">
      <c r="A6675" s="1">
        <v>100.0</v>
      </c>
      <c r="B6675" s="1" t="s">
        <v>2969</v>
      </c>
      <c r="C6675" s="1">
        <v>10.0</v>
      </c>
      <c r="D6675" s="1" t="s">
        <v>3048</v>
      </c>
      <c r="E6675" s="1" t="str">
        <f>IFERROR(__xludf.DUMMYFUNCTION("GOOGLETRANSLATE(D6675,""PT"",""EN"")"),"Excellent service mainly by the manager")</f>
        <v>Excellent service mainly by the manager</v>
      </c>
    </row>
    <row r="6676" ht="14.25" customHeight="1">
      <c r="A6676" s="1">
        <v>33.0</v>
      </c>
      <c r="B6676" s="1" t="s">
        <v>2969</v>
      </c>
      <c r="C6676" s="1">
        <v>3.0</v>
      </c>
      <c r="D6676" s="1" t="s">
        <v>6</v>
      </c>
      <c r="E6676" s="1"/>
    </row>
    <row r="6677" ht="14.25" customHeight="1">
      <c r="A6677" s="1">
        <v>33.0</v>
      </c>
      <c r="B6677" s="1" t="s">
        <v>2969</v>
      </c>
      <c r="C6677" s="1">
        <v>4.0</v>
      </c>
      <c r="D6677" s="1" t="s">
        <v>6</v>
      </c>
      <c r="E6677" s="1"/>
    </row>
    <row r="6678" ht="14.25" customHeight="1">
      <c r="A6678" s="1">
        <v>100.0</v>
      </c>
      <c r="B6678" s="1" t="s">
        <v>2969</v>
      </c>
      <c r="C6678" s="1">
        <v>10.0</v>
      </c>
      <c r="D6678" s="1" t="s">
        <v>3049</v>
      </c>
      <c r="E6678" s="1" t="str">
        <f>IFERROR(__xludf.DUMMYFUNCTION("GOOGLETRANSLATE(D6678,""PT"",""EN"")"),"Ever. I was well attended by Sicoob employees")</f>
        <v>Ever. I was well attended by Sicoob employees</v>
      </c>
    </row>
    <row r="6679" ht="14.25" customHeight="1">
      <c r="A6679" s="1">
        <v>100.0</v>
      </c>
      <c r="B6679" s="1" t="s">
        <v>2969</v>
      </c>
      <c r="C6679" s="1">
        <v>9.0</v>
      </c>
      <c r="D6679" s="1" t="s">
        <v>6</v>
      </c>
      <c r="E6679" s="1"/>
    </row>
    <row r="6680" ht="14.25" customHeight="1">
      <c r="A6680" s="1">
        <v>100.0</v>
      </c>
      <c r="B6680" s="1" t="s">
        <v>2969</v>
      </c>
      <c r="C6680" s="1">
        <v>10.0</v>
      </c>
      <c r="D6680" s="2" t="s">
        <v>3050</v>
      </c>
      <c r="E6680" s="1" t="str">
        <f>IFERROR(__xludf.DUMMYFUNCTION("GOOGLETRANSLATE(D6680,""PT"",""EN"")"),"Great service by manager Leonardo is employees")</f>
        <v>Great service by manager Leonardo is employees</v>
      </c>
    </row>
    <row r="6681" ht="14.25" customHeight="1">
      <c r="A6681" s="1">
        <v>100.0</v>
      </c>
      <c r="B6681" s="1" t="s">
        <v>2969</v>
      </c>
      <c r="C6681" s="1">
        <v>10.0</v>
      </c>
      <c r="D6681" s="1" t="s">
        <v>803</v>
      </c>
      <c r="E6681" s="1" t="str">
        <f>IFERROR(__xludf.DUMMYFUNCTION("GOOGLETRANSLATE(D6681,""PT"",""EN"")"),"Good")</f>
        <v>Good</v>
      </c>
    </row>
    <row r="6682" ht="14.25" customHeight="1">
      <c r="A6682" s="1">
        <v>100.0</v>
      </c>
      <c r="B6682" s="1" t="s">
        <v>2969</v>
      </c>
      <c r="C6682" s="1">
        <v>10.0</v>
      </c>
      <c r="D6682" s="1" t="s">
        <v>3051</v>
      </c>
      <c r="E6682" s="1" t="str">
        <f>IFERROR(__xludf.DUMMYFUNCTION("GOOGLETRANSLATE(D6682,""PT"",""EN"")"),"VIP service")</f>
        <v>VIP service</v>
      </c>
    </row>
    <row r="6683" ht="14.25" customHeight="1">
      <c r="A6683" s="1">
        <v>100.0</v>
      </c>
      <c r="B6683" s="1" t="s">
        <v>2969</v>
      </c>
      <c r="C6683" s="1">
        <v>10.0</v>
      </c>
      <c r="D6683" s="1" t="s">
        <v>3052</v>
      </c>
      <c r="E6683" s="1" t="str">
        <f>IFERROR(__xludf.DUMMYFUNCTION("GOOGLETRANSLATE(D6683,""PT"",""EN"")"),"responsible service")</f>
        <v>responsible service</v>
      </c>
    </row>
    <row r="6684" ht="14.25" customHeight="1">
      <c r="A6684" s="1">
        <v>100.0</v>
      </c>
      <c r="B6684" s="1" t="s">
        <v>2969</v>
      </c>
      <c r="C6684" s="1">
        <v>10.0</v>
      </c>
      <c r="D6684" s="1" t="s">
        <v>6</v>
      </c>
      <c r="E6684" s="1"/>
    </row>
    <row r="6685" ht="14.25" customHeight="1">
      <c r="A6685" s="1">
        <v>100.0</v>
      </c>
      <c r="B6685" s="1" t="s">
        <v>2969</v>
      </c>
      <c r="C6685" s="1">
        <v>10.0</v>
      </c>
      <c r="D6685" s="1" t="s">
        <v>6</v>
      </c>
      <c r="E6685" s="1"/>
    </row>
    <row r="6686" ht="14.25" customHeight="1">
      <c r="A6686" s="1">
        <v>100.0</v>
      </c>
      <c r="B6686" s="1" t="s">
        <v>2969</v>
      </c>
      <c r="C6686" s="1">
        <v>10.0</v>
      </c>
      <c r="D6686" s="1" t="s">
        <v>6</v>
      </c>
      <c r="E6686" s="1"/>
    </row>
    <row r="6687" ht="14.25" customHeight="1">
      <c r="A6687" s="1">
        <v>33.0</v>
      </c>
      <c r="B6687" s="1" t="s">
        <v>2969</v>
      </c>
      <c r="C6687" s="1">
        <v>4.0</v>
      </c>
      <c r="D6687" s="1" t="s">
        <v>6</v>
      </c>
      <c r="E6687" s="1"/>
    </row>
    <row r="6688" ht="14.25" customHeight="1">
      <c r="A6688" s="1">
        <v>33.0</v>
      </c>
      <c r="B6688" s="1" t="s">
        <v>2969</v>
      </c>
      <c r="C6688" s="1">
        <v>1.0</v>
      </c>
      <c r="D6688" s="2" t="s">
        <v>3053</v>
      </c>
      <c r="E6688" s="1" t="str">
        <f>IFERROR(__xludf.DUMMYFUNCTION("GOOGLETRANSLATE(D6688,""PT"",""EN"")"),"I have no contact with anyone from Sicoob. I need to rescue my money is not getting it.")</f>
        <v>I have no contact with anyone from Sicoob. I need to rescue my money is not getting it.</v>
      </c>
    </row>
    <row r="6689" ht="14.25" customHeight="1">
      <c r="A6689" s="1">
        <v>100.0</v>
      </c>
      <c r="B6689" s="1" t="s">
        <v>2969</v>
      </c>
      <c r="C6689" s="1">
        <v>10.0</v>
      </c>
      <c r="D6689" s="1" t="s">
        <v>6</v>
      </c>
      <c r="E6689" s="1"/>
    </row>
    <row r="6690" ht="14.25" customHeight="1">
      <c r="A6690" s="1">
        <v>100.0</v>
      </c>
      <c r="B6690" s="1" t="s">
        <v>2969</v>
      </c>
      <c r="C6690" s="1">
        <v>10.0</v>
      </c>
      <c r="D6690" s="2" t="s">
        <v>3054</v>
      </c>
      <c r="E6690" s="1" t="str">
        <f>IFERROR(__xludf.DUMMYFUNCTION("GOOGLETRANSLATE(D6690,""PT"",""EN"")"),"Because Sicoob has the best service.")</f>
        <v>Because Sicoob has the best service.</v>
      </c>
    </row>
    <row r="6691" ht="14.25" customHeight="1">
      <c r="A6691" s="1">
        <v>100.0</v>
      </c>
      <c r="B6691" s="1" t="s">
        <v>2969</v>
      </c>
      <c r="C6691" s="1">
        <v>10.0</v>
      </c>
      <c r="D6691" s="1" t="s">
        <v>192</v>
      </c>
      <c r="E6691" s="1" t="str">
        <f>IFERROR(__xludf.DUMMYFUNCTION("GOOGLETRANSLATE(D6691,""PT"",""EN"")"),"Great")</f>
        <v>Great</v>
      </c>
    </row>
    <row r="6692" ht="14.25" customHeight="1">
      <c r="A6692" s="1">
        <v>100.0</v>
      </c>
      <c r="B6692" s="1" t="s">
        <v>2969</v>
      </c>
      <c r="C6692" s="1">
        <v>10.0</v>
      </c>
      <c r="D6692" s="1" t="s">
        <v>3055</v>
      </c>
      <c r="E6692" s="1" t="str">
        <f>IFERROR(__xludf.DUMMYFUNCTION("GOOGLETRANSLATE(D6692,""PT"",""EN"")"),"Service in all areas is excellent. CREDFAZ MG, employees are attentive, competent, in excellent summary.")</f>
        <v>Service in all areas is excellent. CREDFAZ MG, employees are attentive, competent, in excellent summary.</v>
      </c>
    </row>
    <row r="6693" ht="14.25" customHeight="1">
      <c r="A6693" s="1">
        <v>100.0</v>
      </c>
      <c r="B6693" s="1" t="s">
        <v>2969</v>
      </c>
      <c r="C6693" s="1">
        <v>10.0</v>
      </c>
      <c r="D6693" s="2" t="s">
        <v>3056</v>
      </c>
      <c r="E6693" s="1" t="str">
        <f>IFERROR(__xludf.DUMMYFUNCTION("GOOGLETRANSLATE(D6693,""PT"",""EN"")"),"Congratulations to all for professionalism and competence!")</f>
        <v>Congratulations to all for professionalism and competence!</v>
      </c>
    </row>
    <row r="6694" ht="14.25" customHeight="1">
      <c r="A6694" s="1">
        <v>100.0</v>
      </c>
      <c r="B6694" s="1" t="s">
        <v>2969</v>
      </c>
      <c r="C6694" s="1">
        <v>9.0</v>
      </c>
      <c r="D6694" s="1" t="s">
        <v>6</v>
      </c>
      <c r="E6694" s="1"/>
    </row>
    <row r="6695" ht="14.25" customHeight="1">
      <c r="A6695" s="1">
        <v>66.0</v>
      </c>
      <c r="B6695" s="1" t="s">
        <v>2969</v>
      </c>
      <c r="C6695" s="1">
        <v>7.0</v>
      </c>
      <c r="D6695" s="1" t="s">
        <v>6</v>
      </c>
      <c r="E6695" s="1"/>
    </row>
    <row r="6696" ht="14.25" customHeight="1">
      <c r="A6696" s="1">
        <v>66.0</v>
      </c>
      <c r="B6696" s="1" t="s">
        <v>2969</v>
      </c>
      <c r="C6696" s="1">
        <v>8.0</v>
      </c>
      <c r="D6696" s="2" t="s">
        <v>3057</v>
      </c>
      <c r="E6696" s="1" t="str">
        <f>IFERROR(__xludf.DUMMYFUNCTION("GOOGLETRANSLATE(D6696,""PT"",""EN"")"),"Undoubtedly, it is a transparent institution is aimed at meeting the needs of the associate. However, not all banking customers are prepared for the relationship standard inherent in the cooperative system.")</f>
        <v>Undoubtedly, it is a transparent institution is aimed at meeting the needs of the associate. However, not all banking customers are prepared for the relationship standard inherent in the cooperative system.</v>
      </c>
    </row>
    <row r="6697" ht="14.25" customHeight="1">
      <c r="A6697" s="1">
        <v>100.0</v>
      </c>
      <c r="B6697" s="1" t="s">
        <v>2969</v>
      </c>
      <c r="C6697" s="1">
        <v>9.0</v>
      </c>
      <c r="D6697" s="1" t="s">
        <v>6</v>
      </c>
      <c r="E6697" s="1"/>
    </row>
    <row r="6698" ht="14.25" customHeight="1">
      <c r="A6698" s="1">
        <v>100.0</v>
      </c>
      <c r="B6698" s="1" t="s">
        <v>2969</v>
      </c>
      <c r="C6698" s="1">
        <v>10.0</v>
      </c>
      <c r="D6698" s="1" t="s">
        <v>97</v>
      </c>
      <c r="E6698" s="1" t="str">
        <f>IFERROR(__xludf.DUMMYFUNCTION("GOOGLETRANSLATE(D6698,""PT"",""EN"")"),"Excellent")</f>
        <v>Excellent</v>
      </c>
    </row>
    <row r="6699" ht="14.25" customHeight="1">
      <c r="A6699" s="1">
        <v>100.0</v>
      </c>
      <c r="B6699" s="1" t="s">
        <v>2969</v>
      </c>
      <c r="C6699" s="1">
        <v>10.0</v>
      </c>
      <c r="D6699" s="2" t="s">
        <v>3058</v>
      </c>
      <c r="E6699" s="1" t="str">
        <f>IFERROR(__xludf.DUMMYFUNCTION("GOOGLETRANSLATE(D6699,""PT"",""EN"")"),"Lower rate, service is serious.")</f>
        <v>Lower rate, service is serious.</v>
      </c>
    </row>
    <row r="6700" ht="14.25" customHeight="1">
      <c r="A6700" s="1">
        <v>33.0</v>
      </c>
      <c r="B6700" s="1" t="s">
        <v>2969</v>
      </c>
      <c r="C6700" s="1">
        <v>0.0</v>
      </c>
      <c r="D6700" s="2" t="s">
        <v>3059</v>
      </c>
      <c r="E6700" s="1" t="str">
        <f>IFERROR(__xludf.DUMMYFUNCTION("GOOGLETRANSLATE(D6700,""PT"",""EN"")"),"Does not value customers ,, the elderly")</f>
        <v>Does not value customers ,, the elderly</v>
      </c>
    </row>
    <row r="6701" ht="14.25" customHeight="1">
      <c r="A6701" s="1">
        <v>100.0</v>
      </c>
      <c r="B6701" s="1" t="s">
        <v>2969</v>
      </c>
      <c r="C6701" s="1">
        <v>10.0</v>
      </c>
      <c r="D6701" s="1" t="s">
        <v>6</v>
      </c>
      <c r="E6701" s="1"/>
    </row>
    <row r="6702" ht="14.25" customHeight="1">
      <c r="A6702" s="1">
        <v>33.0</v>
      </c>
      <c r="B6702" s="1" t="s">
        <v>2969</v>
      </c>
      <c r="C6702" s="1">
        <v>6.0</v>
      </c>
      <c r="D6702" s="2" t="s">
        <v>3060</v>
      </c>
      <c r="E6702" s="1" t="str">
        <f>IFERROR(__xludf.DUMMYFUNCTION("GOOGLETRANSLATE(D6702,""PT"",""EN"")"),"Disappointment with certain procedures, to/start service Use the Serv.da Sicoob for over 15 years is never seen such a bad, unmotivated service, delay in waiting because of the most important mobile phone, loan rates equal to other banks , in the old days"&amp;" it was not so, I always needed a loan of you but the one I have was the last, Sicoob was already good, today no longer unfortunately.")</f>
        <v>Disappointment with certain procedures, to/start service Use the Serv.da Sicoob for over 15 years is never seen such a bad, unmotivated service, delay in waiting because of the most important mobile phone, loan rates equal to other banks , in the old days it was not so, I always needed a loan of you but the one I have was the last, Sicoob was already good, today no longer unfortunately.</v>
      </c>
    </row>
    <row r="6703" ht="14.25" customHeight="1">
      <c r="A6703" s="1">
        <v>100.0</v>
      </c>
      <c r="B6703" s="1" t="s">
        <v>2969</v>
      </c>
      <c r="C6703" s="1">
        <v>10.0</v>
      </c>
      <c r="D6703" s="1" t="s">
        <v>6</v>
      </c>
      <c r="E6703" s="1"/>
    </row>
    <row r="6704" ht="14.25" customHeight="1">
      <c r="A6704" s="1">
        <v>100.0</v>
      </c>
      <c r="B6704" s="1" t="s">
        <v>2969</v>
      </c>
      <c r="C6704" s="1">
        <v>10.0</v>
      </c>
      <c r="D6704" s="2" t="s">
        <v>3061</v>
      </c>
      <c r="E6704" s="1" t="str">
        <f>IFERROR(__xludf.DUMMYFUNCTION("GOOGLETRANSLATE(D6704,""PT"",""EN"")"),"For the great service of employees")</f>
        <v>For the great service of employees</v>
      </c>
    </row>
    <row r="6705" ht="14.25" customHeight="1">
      <c r="A6705" s="1">
        <v>100.0</v>
      </c>
      <c r="B6705" s="1" t="s">
        <v>2969</v>
      </c>
      <c r="C6705" s="1">
        <v>10.0</v>
      </c>
      <c r="D6705" s="1" t="s">
        <v>593</v>
      </c>
      <c r="E6705" s="1" t="str">
        <f>IFERROR(__xludf.DUMMYFUNCTION("GOOGLETRANSLATE(D6705,""PT"",""EN"")"),"great service")</f>
        <v>great service</v>
      </c>
    </row>
    <row r="6706" ht="14.25" customHeight="1">
      <c r="A6706" s="1">
        <v>66.0</v>
      </c>
      <c r="B6706" s="1" t="s">
        <v>2969</v>
      </c>
      <c r="C6706" s="1">
        <v>8.0</v>
      </c>
      <c r="D6706" s="1" t="s">
        <v>2845</v>
      </c>
      <c r="E6706" s="1" t="str">
        <f>IFERROR(__xludf.DUMMYFUNCTION("GOOGLETRANSLATE(D6706,""PT"",""EN"")"),"I was always well attended")</f>
        <v>I was always well attended</v>
      </c>
    </row>
    <row r="6707" ht="14.25" customHeight="1">
      <c r="A6707" s="1">
        <v>100.0</v>
      </c>
      <c r="B6707" s="1" t="s">
        <v>2969</v>
      </c>
      <c r="C6707" s="1">
        <v>10.0</v>
      </c>
      <c r="D6707" s="1" t="s">
        <v>3062</v>
      </c>
      <c r="E6707" s="1" t="str">
        <f>IFERROR(__xludf.DUMMYFUNCTION("GOOGLETRANSLATE(D6707,""PT"",""EN"")"),"Great in all calls! Gilbertopp6901@gmail.com.")</f>
        <v>Great in all calls! Gilbertopp6901@gmail.com.</v>
      </c>
    </row>
    <row r="6708" ht="14.25" customHeight="1">
      <c r="A6708" s="1">
        <v>100.0</v>
      </c>
      <c r="B6708" s="1" t="s">
        <v>2969</v>
      </c>
      <c r="C6708" s="1">
        <v>10.0</v>
      </c>
      <c r="D6708" s="2" t="s">
        <v>3063</v>
      </c>
      <c r="E6708" s="1" t="str">
        <f>IFERROR(__xludf.DUMMYFUNCTION("GOOGLETRANSLATE(D6708,""PT"",""EN"")"),"Trust and agility!")</f>
        <v>Trust and agility!</v>
      </c>
    </row>
    <row r="6709" ht="14.25" customHeight="1">
      <c r="A6709" s="1">
        <v>100.0</v>
      </c>
      <c r="B6709" s="1" t="s">
        <v>2969</v>
      </c>
      <c r="C6709" s="1">
        <v>10.0</v>
      </c>
      <c r="D6709" s="1" t="s">
        <v>6</v>
      </c>
      <c r="E6709" s="1"/>
    </row>
    <row r="6710" ht="14.25" customHeight="1">
      <c r="A6710" s="1">
        <v>100.0</v>
      </c>
      <c r="B6710" s="1" t="s">
        <v>2969</v>
      </c>
      <c r="C6710" s="1">
        <v>10.0</v>
      </c>
      <c r="D6710" s="2" t="s">
        <v>3064</v>
      </c>
      <c r="E6710" s="1" t="str">
        <f>IFERROR(__xludf.DUMMYFUNCTION("GOOGLETRANSLATE(D6710,""PT"",""EN"")"),"I know everything! Your products its advantages are a differentiated service! Only Sicoob offers!")</f>
        <v>I know everything! Your products its advantages are a differentiated service! Only Sicoob offers!</v>
      </c>
    </row>
    <row r="6711" ht="14.25" customHeight="1">
      <c r="A6711" s="1">
        <v>66.0</v>
      </c>
      <c r="B6711" s="1" t="s">
        <v>2969</v>
      </c>
      <c r="C6711" s="1">
        <v>8.0</v>
      </c>
      <c r="D6711" s="1" t="s">
        <v>6</v>
      </c>
      <c r="E6711" s="1"/>
    </row>
    <row r="6712" ht="14.25" customHeight="1">
      <c r="A6712" s="1">
        <v>33.0</v>
      </c>
      <c r="B6712" s="1" t="s">
        <v>2969</v>
      </c>
      <c r="C6712" s="1">
        <v>0.0</v>
      </c>
      <c r="D6712" s="1" t="s">
        <v>6</v>
      </c>
      <c r="E6712" s="1"/>
    </row>
    <row r="6713" ht="14.25" customHeight="1">
      <c r="A6713" s="1">
        <v>33.0</v>
      </c>
      <c r="B6713" s="1" t="s">
        <v>2969</v>
      </c>
      <c r="C6713" s="1">
        <v>5.0</v>
      </c>
      <c r="D6713" s="1" t="s">
        <v>3065</v>
      </c>
      <c r="E6713" s="1" t="str">
        <f>IFERROR(__xludf.DUMMYFUNCTION("GOOGLETRANSLATE(D6713,""PT"",""EN"")"),"5")</f>
        <v>5</v>
      </c>
    </row>
    <row r="6714" ht="14.25" customHeight="1">
      <c r="A6714" s="1">
        <v>100.0</v>
      </c>
      <c r="B6714" s="1" t="s">
        <v>2969</v>
      </c>
      <c r="C6714" s="1">
        <v>10.0</v>
      </c>
      <c r="D6714" s="1" t="s">
        <v>3066</v>
      </c>
      <c r="E6714" s="1" t="str">
        <f>IFERROR(__xludf.DUMMYFUNCTION("GOOGLETRANSLATE(D6714,""PT"",""EN"")"),"It Works very well")</f>
        <v>It Works very well</v>
      </c>
    </row>
    <row r="6715" ht="14.25" customHeight="1">
      <c r="A6715" s="1">
        <v>33.0</v>
      </c>
      <c r="B6715" s="1" t="s">
        <v>2969</v>
      </c>
      <c r="C6715" s="1">
        <v>4.0</v>
      </c>
      <c r="D6715" s="2" t="s">
        <v>3067</v>
      </c>
      <c r="E6715" s="1" t="str">
        <f>IFERROR(__xludf.DUMMYFUNCTION("GOOGLETRANSLATE(D6715,""PT"",""EN"")"),"Complicated app, pessimo help service")</f>
        <v>Complicated app, pessimo help service</v>
      </c>
    </row>
    <row r="6716" ht="14.25" customHeight="1">
      <c r="A6716" s="1">
        <v>33.0</v>
      </c>
      <c r="B6716" s="1" t="s">
        <v>2969</v>
      </c>
      <c r="C6716" s="1">
        <v>5.0</v>
      </c>
      <c r="D6716" s="1" t="s">
        <v>6</v>
      </c>
      <c r="E6716" s="1"/>
    </row>
    <row r="6717" ht="14.25" customHeight="1">
      <c r="A6717" s="1">
        <v>66.0</v>
      </c>
      <c r="B6717" s="1" t="s">
        <v>2969</v>
      </c>
      <c r="C6717" s="1">
        <v>7.0</v>
      </c>
      <c r="D6717" s="2" t="s">
        <v>3068</v>
      </c>
      <c r="E6717" s="1" t="str">
        <f>IFERROR(__xludf.DUMMYFUNCTION("GOOGLETRANSLATE(D6717,""PT"",""EN"")"),"Lack of agility, ease is structure in care, documentation and very complicated processes")</f>
        <v>Lack of agility, ease is structure in care, documentation and very complicated processes</v>
      </c>
    </row>
    <row r="6718" ht="14.25" customHeight="1">
      <c r="A6718" s="1">
        <v>100.0</v>
      </c>
      <c r="B6718" s="1" t="s">
        <v>2969</v>
      </c>
      <c r="C6718" s="1">
        <v>10.0</v>
      </c>
      <c r="D6718" s="1" t="s">
        <v>6</v>
      </c>
      <c r="E6718" s="1"/>
    </row>
    <row r="6719" ht="14.25" customHeight="1">
      <c r="A6719" s="1">
        <v>100.0</v>
      </c>
      <c r="B6719" s="1" t="s">
        <v>2969</v>
      </c>
      <c r="C6719" s="1">
        <v>10.0</v>
      </c>
      <c r="D6719" s="1" t="s">
        <v>6</v>
      </c>
      <c r="E6719" s="1"/>
    </row>
    <row r="6720" ht="14.25" customHeight="1">
      <c r="A6720" s="1">
        <v>100.0</v>
      </c>
      <c r="B6720" s="1" t="s">
        <v>2969</v>
      </c>
      <c r="C6720" s="1">
        <v>10.0</v>
      </c>
      <c r="D6720" s="1" t="s">
        <v>6</v>
      </c>
      <c r="E6720" s="1"/>
    </row>
    <row r="6721" ht="14.25" customHeight="1">
      <c r="A6721" s="1">
        <v>100.0</v>
      </c>
      <c r="B6721" s="1" t="s">
        <v>2969</v>
      </c>
      <c r="C6721" s="1">
        <v>10.0</v>
      </c>
      <c r="D6721" s="2" t="s">
        <v>3069</v>
      </c>
      <c r="E6721" s="1" t="str">
        <f>IFERROR(__xludf.DUMMYFUNCTION("GOOGLETRANSLATE(D6721,""PT"",""EN"")"),"For tranquility, confidence, facilities in communication is respect for the cooperative.")</f>
        <v>For tranquility, confidence, facilities in communication is respect for the cooperative.</v>
      </c>
    </row>
    <row r="6722" ht="14.25" customHeight="1">
      <c r="A6722" s="1">
        <v>100.0</v>
      </c>
      <c r="B6722" s="1" t="s">
        <v>2969</v>
      </c>
      <c r="C6722" s="1">
        <v>10.0</v>
      </c>
      <c r="D6722" s="1" t="s">
        <v>6</v>
      </c>
      <c r="E6722" s="1"/>
    </row>
    <row r="6723" ht="14.25" customHeight="1">
      <c r="A6723" s="1">
        <v>33.0</v>
      </c>
      <c r="B6723" s="1" t="s">
        <v>2969</v>
      </c>
      <c r="C6723" s="1">
        <v>0.0</v>
      </c>
      <c r="D6723" s="1" t="s">
        <v>6</v>
      </c>
      <c r="E6723" s="1"/>
    </row>
    <row r="6724" ht="14.25" customHeight="1">
      <c r="A6724" s="1">
        <v>100.0</v>
      </c>
      <c r="B6724" s="1" t="s">
        <v>2969</v>
      </c>
      <c r="C6724" s="1">
        <v>10.0</v>
      </c>
      <c r="D6724" s="1" t="s">
        <v>3070</v>
      </c>
      <c r="E6724" s="1" t="str">
        <f>IFERROR(__xludf.DUMMYFUNCTION("GOOGLETRANSLATE(D6724,""PT"",""EN"")"),"Solutions to my problems with little bureaucracy.")</f>
        <v>Solutions to my problems with little bureaucracy.</v>
      </c>
    </row>
    <row r="6725" ht="14.25" customHeight="1">
      <c r="A6725" s="1">
        <v>100.0</v>
      </c>
      <c r="B6725" s="1" t="s">
        <v>2969</v>
      </c>
      <c r="C6725" s="1">
        <v>9.0</v>
      </c>
      <c r="D6725" s="1" t="s">
        <v>6</v>
      </c>
      <c r="E6725" s="1"/>
    </row>
    <row r="6726" ht="14.25" customHeight="1">
      <c r="A6726" s="1">
        <v>33.0</v>
      </c>
      <c r="B6726" s="1" t="s">
        <v>2969</v>
      </c>
      <c r="C6726" s="1">
        <v>3.0</v>
      </c>
      <c r="D6726" s="1" t="s">
        <v>3071</v>
      </c>
      <c r="E6726" s="1" t="str">
        <f>IFERROR(__xludf.DUMMYFUNCTION("GOOGLETRANSLATE(D6726,""PT"",""EN"")"),"It's very messy, when it was Credfaz everything worked round, now that it became a large bank, it is the bank being a bank.")</f>
        <v>It's very messy, when it was Credfaz everything worked round, now that it became a large bank, it is the bank being a bank.</v>
      </c>
    </row>
    <row r="6727" ht="14.25" customHeight="1">
      <c r="A6727" s="1">
        <v>100.0</v>
      </c>
      <c r="B6727" s="1" t="s">
        <v>2969</v>
      </c>
      <c r="C6727" s="1">
        <v>10.0</v>
      </c>
      <c r="D6727" s="1" t="s">
        <v>3072</v>
      </c>
      <c r="E6727" s="1" t="str">
        <f>IFERROR(__xludf.DUMMYFUNCTION("GOOGLETRANSLATE(D6727,""PT"",""EN"")"),"The satisfaction of the cooperative being ours.")</f>
        <v>The satisfaction of the cooperative being ours.</v>
      </c>
    </row>
    <row r="6728" ht="14.25" customHeight="1">
      <c r="A6728" s="1">
        <v>100.0</v>
      </c>
      <c r="B6728" s="1" t="s">
        <v>2969</v>
      </c>
      <c r="C6728" s="1">
        <v>10.0</v>
      </c>
      <c r="D6728" s="1" t="s">
        <v>165</v>
      </c>
      <c r="E6728" s="1" t="str">
        <f>IFERROR(__xludf.DUMMYFUNCTION("GOOGLETRANSLATE(D6728,""PT"",""EN"")"),"excellent service")</f>
        <v>excellent service</v>
      </c>
    </row>
    <row r="6729" ht="14.25" customHeight="1">
      <c r="A6729" s="1">
        <v>100.0</v>
      </c>
      <c r="B6729" s="1" t="s">
        <v>2969</v>
      </c>
      <c r="C6729" s="1">
        <v>10.0</v>
      </c>
      <c r="D6729" s="1" t="s">
        <v>6</v>
      </c>
      <c r="E6729" s="1"/>
    </row>
    <row r="6730" ht="14.25" customHeight="1">
      <c r="A6730" s="1">
        <v>66.0</v>
      </c>
      <c r="B6730" s="1" t="s">
        <v>2969</v>
      </c>
      <c r="C6730" s="1">
        <v>8.0</v>
      </c>
      <c r="D6730" s="1" t="s">
        <v>6</v>
      </c>
      <c r="E6730" s="1"/>
    </row>
    <row r="6731" ht="14.25" customHeight="1">
      <c r="A6731" s="1">
        <v>100.0</v>
      </c>
      <c r="B6731" s="1" t="s">
        <v>2969</v>
      </c>
      <c r="C6731" s="1">
        <v>10.0</v>
      </c>
      <c r="D6731" s="2" t="s">
        <v>3073</v>
      </c>
      <c r="E6731" s="1" t="str">
        <f>IFERROR(__xludf.DUMMYFUNCTION("GOOGLETRANSLATE(D6731,""PT"",""EN"")"),"As an old client of Sicoob is satisfied, I want this same happiness to my friends.")</f>
        <v>As an old client of Sicoob is satisfied, I want this same happiness to my friends.</v>
      </c>
    </row>
    <row r="6732" ht="14.25" customHeight="1">
      <c r="A6732" s="1">
        <v>100.0</v>
      </c>
      <c r="B6732" s="1" t="s">
        <v>2969</v>
      </c>
      <c r="C6732" s="1">
        <v>10.0</v>
      </c>
      <c r="D6732" s="1" t="s">
        <v>3074</v>
      </c>
      <c r="E6732" s="1" t="str">
        <f>IFERROR(__xludf.DUMMYFUNCTION("GOOGLETRANSLATE(D6732,""PT"",""EN"")"),"Excellent service from all sectors of the cooperative. I am very well welcomed.")</f>
        <v>Excellent service from all sectors of the cooperative. I am very well welcomed.</v>
      </c>
    </row>
    <row r="6733" ht="14.25" customHeight="1">
      <c r="A6733" s="1">
        <v>100.0</v>
      </c>
      <c r="B6733" s="1" t="s">
        <v>2969</v>
      </c>
      <c r="C6733" s="1">
        <v>10.0</v>
      </c>
      <c r="D6733" s="1" t="s">
        <v>6</v>
      </c>
      <c r="E6733" s="1"/>
    </row>
    <row r="6734" ht="14.25" customHeight="1">
      <c r="A6734" s="1">
        <v>100.0</v>
      </c>
      <c r="B6734" s="1" t="s">
        <v>2969</v>
      </c>
      <c r="C6734" s="1">
        <v>10.0</v>
      </c>
      <c r="D6734" s="1" t="s">
        <v>6</v>
      </c>
      <c r="E6734" s="1"/>
    </row>
    <row r="6735" ht="14.25" customHeight="1">
      <c r="A6735" s="1">
        <v>33.0</v>
      </c>
      <c r="B6735" s="1" t="s">
        <v>2969</v>
      </c>
      <c r="C6735" s="1">
        <v>6.0</v>
      </c>
      <c r="D6735" s="1" t="s">
        <v>3075</v>
      </c>
      <c r="E6735" s="1" t="str">
        <f>IFERROR(__xludf.DUMMYFUNCTION("GOOGLETRANSLATE(D6735,""PT"",""EN"")"),"Because it's very complicated, I've been in over 20 years to imagine who will come in now")</f>
        <v>Because it's very complicated, I've been in over 20 years to imagine who will come in now</v>
      </c>
    </row>
    <row r="6736" ht="14.25" customHeight="1">
      <c r="A6736" s="1">
        <v>100.0</v>
      </c>
      <c r="B6736" s="1" t="s">
        <v>2969</v>
      </c>
      <c r="C6736" s="1">
        <v>10.0</v>
      </c>
      <c r="D6736" s="1" t="s">
        <v>135</v>
      </c>
      <c r="E6736" s="1" t="str">
        <f>IFERROR(__xludf.DUMMYFUNCTION("GOOGLETRANSLATE(D6736,""PT"",""EN"")"),"very good")</f>
        <v>very good</v>
      </c>
    </row>
    <row r="6737" ht="14.25" customHeight="1">
      <c r="A6737" s="1">
        <v>100.0</v>
      </c>
      <c r="B6737" s="1" t="s">
        <v>2969</v>
      </c>
      <c r="C6737" s="1">
        <v>10.0</v>
      </c>
      <c r="D6737" s="1" t="s">
        <v>3076</v>
      </c>
      <c r="E6737" s="1" t="str">
        <f>IFERROR(__xludf.DUMMYFUNCTION("GOOGLETRANSLATE(D6737,""PT"",""EN"")"),"Because whenever requested information, I am usually attended.")</f>
        <v>Because whenever requested information, I am usually attended.</v>
      </c>
    </row>
    <row r="6738" ht="14.25" customHeight="1">
      <c r="A6738" s="1">
        <v>100.0</v>
      </c>
      <c r="B6738" s="1" t="s">
        <v>2969</v>
      </c>
      <c r="C6738" s="1">
        <v>9.0</v>
      </c>
      <c r="D6738" s="2" t="s">
        <v>3077</v>
      </c>
      <c r="E6738" s="1" t="str">
        <f>IFERROR(__xludf.DUMMYFUNCTION("GOOGLETRANSLATE(D6738,""PT"",""EN"")"),"Being an entity would be competent.")</f>
        <v>Being an entity would be competent.</v>
      </c>
    </row>
    <row r="6739" ht="14.25" customHeight="1">
      <c r="A6739" s="1">
        <v>66.0</v>
      </c>
      <c r="B6739" s="1" t="s">
        <v>2969</v>
      </c>
      <c r="C6739" s="1">
        <v>8.0</v>
      </c>
      <c r="D6739" s="1" t="s">
        <v>6</v>
      </c>
      <c r="E6739" s="1"/>
    </row>
    <row r="6740" ht="14.25" customHeight="1">
      <c r="A6740" s="1">
        <v>66.0</v>
      </c>
      <c r="B6740" s="1" t="s">
        <v>2969</v>
      </c>
      <c r="C6740" s="1">
        <v>7.0</v>
      </c>
      <c r="D6740" s="1" t="s">
        <v>3078</v>
      </c>
      <c r="E6740" s="1" t="str">
        <f>IFERROR(__xludf.DUMMYFUNCTION("GOOGLETRANSLATE(D6740,""PT"",""EN"")"),"seven.")</f>
        <v>seven.</v>
      </c>
    </row>
    <row r="6741" ht="14.25" customHeight="1">
      <c r="A6741" s="1">
        <v>100.0</v>
      </c>
      <c r="B6741" s="1" t="s">
        <v>2969</v>
      </c>
      <c r="C6741" s="1">
        <v>10.0</v>
      </c>
      <c r="D6741" s="1" t="s">
        <v>9</v>
      </c>
      <c r="E6741" s="1" t="str">
        <f>IFERROR(__xludf.DUMMYFUNCTION("GOOGLETRANSLATE(D6741,""PT"",""EN"")"),"10")</f>
        <v>10</v>
      </c>
    </row>
    <row r="6742" ht="14.25" customHeight="1">
      <c r="A6742" s="1">
        <v>33.0</v>
      </c>
      <c r="B6742" s="1" t="s">
        <v>2969</v>
      </c>
      <c r="C6742" s="1">
        <v>6.0</v>
      </c>
      <c r="D6742" s="1" t="s">
        <v>6</v>
      </c>
      <c r="E6742" s="1"/>
    </row>
    <row r="6743" ht="14.25" customHeight="1">
      <c r="A6743" s="1">
        <v>66.0</v>
      </c>
      <c r="B6743" s="1" t="s">
        <v>2969</v>
      </c>
      <c r="C6743" s="1">
        <v>8.0</v>
      </c>
      <c r="D6743" s="1" t="s">
        <v>6</v>
      </c>
      <c r="E6743" s="1"/>
    </row>
    <row r="6744" ht="14.25" customHeight="1">
      <c r="A6744" s="1">
        <v>100.0</v>
      </c>
      <c r="B6744" s="1" t="s">
        <v>2969</v>
      </c>
      <c r="C6744" s="1">
        <v>10.0</v>
      </c>
      <c r="D6744" s="1" t="s">
        <v>6</v>
      </c>
      <c r="E6744" s="1"/>
    </row>
    <row r="6745" ht="14.25" customHeight="1">
      <c r="A6745" s="1">
        <v>66.0</v>
      </c>
      <c r="B6745" s="1" t="s">
        <v>2969</v>
      </c>
      <c r="C6745" s="1">
        <v>8.0</v>
      </c>
      <c r="D6745" s="1" t="s">
        <v>6</v>
      </c>
      <c r="E6745" s="1"/>
    </row>
    <row r="6746" ht="14.25" customHeight="1">
      <c r="A6746" s="1">
        <v>100.0</v>
      </c>
      <c r="B6746" s="1" t="s">
        <v>2969</v>
      </c>
      <c r="C6746" s="1">
        <v>10.0</v>
      </c>
      <c r="D6746" s="1" t="s">
        <v>6</v>
      </c>
      <c r="E6746" s="1"/>
    </row>
    <row r="6747" ht="14.25" customHeight="1">
      <c r="A6747" s="1">
        <v>100.0</v>
      </c>
      <c r="B6747" s="1" t="s">
        <v>2969</v>
      </c>
      <c r="C6747" s="1">
        <v>10.0</v>
      </c>
      <c r="D6747" s="2" t="s">
        <v>3079</v>
      </c>
      <c r="E6747" s="1" t="str">
        <f>IFERROR(__xludf.DUMMYFUNCTION("GOOGLETRANSLATE(D6747,""PT"",""EN"")"),"Banco Sicoob, using its performance, seeks to attract more customers to its bank portfolio, innovation, investments, in the treatment of well -being is more. Criticism: Sicoob is missing the nearest cooperativism figure to his client, to open his loan por"&amp;"tfolio to associates, with attractive interest, to uncomplicate the bureaucracy to the treatment of the associate seeking a small loan. Create more attractive investments, which gives short -term satisfaction such as investments in monthly, weekly, or oth"&amp;"er draws, where luck can reach the most needy is indebted in a short time. I see very corporate Sicoob's ads is without the need for little value. We need advertisements aimed at the interest to the parallel is to veto the bankers' capitalism. I do not in"&amp;"vest in Sicoob, because it does not see its motivation as cooperativism, where it is focused on the commercial bank segment.")</f>
        <v>Banco Sicoob, using its performance, seeks to attract more customers to its bank portfolio, innovation, investments, in the treatment of well -being is more. Criticism: Sicoob is missing the nearest cooperativism figure to his client, to open his loan portfolio to associates, with attractive interest, to uncomplicate the bureaucracy to the treatment of the associate seeking a small loan. Create more attractive investments, which gives short -term satisfaction such as investments in monthly, weekly, or other draws, where luck can reach the most needy is indebted in a short time. I see very corporate Sicoob's ads is without the need for little value. We need advertisements aimed at the interest to the parallel is to veto the bankers' capitalism. I do not invest in Sicoob, because it does not see its motivation as cooperativism, where it is focused on the commercial bank segment.</v>
      </c>
    </row>
    <row r="6748" ht="14.25" customHeight="1">
      <c r="A6748" s="1">
        <v>66.0</v>
      </c>
      <c r="B6748" s="1" t="s">
        <v>2969</v>
      </c>
      <c r="C6748" s="1">
        <v>8.0</v>
      </c>
      <c r="D6748" s="2" t="s">
        <v>3080</v>
      </c>
      <c r="E6748" s="1" t="str">
        <f>IFERROR(__xludf.DUMMYFUNCTION("GOOGLETRANSLATE(D6748,""PT"",""EN"")"),"I do not have so many products to make a more detailed assessment.")</f>
        <v>I do not have so many products to make a more detailed assessment.</v>
      </c>
    </row>
    <row r="6749" ht="14.25" customHeight="1">
      <c r="A6749" s="1">
        <v>100.0</v>
      </c>
      <c r="B6749" s="1" t="s">
        <v>2969</v>
      </c>
      <c r="C6749" s="1">
        <v>9.0</v>
      </c>
      <c r="D6749" s="1" t="s">
        <v>6</v>
      </c>
      <c r="E6749" s="1"/>
    </row>
    <row r="6750" ht="14.25" customHeight="1">
      <c r="A6750" s="1">
        <v>100.0</v>
      </c>
      <c r="B6750" s="1" t="s">
        <v>2969</v>
      </c>
      <c r="C6750" s="1">
        <v>9.0</v>
      </c>
      <c r="D6750" s="1" t="s">
        <v>3081</v>
      </c>
      <c r="E6750" s="1" t="str">
        <f>IFERROR(__xludf.DUMMYFUNCTION("GOOGLETRANSLATE(D6750,""PT"",""EN"")"),"Whenever I needed Sicoob, she answered me promptly.")</f>
        <v>Whenever I needed Sicoob, she answered me promptly.</v>
      </c>
    </row>
    <row r="6751" ht="14.25" customHeight="1">
      <c r="A6751" s="1">
        <v>100.0</v>
      </c>
      <c r="B6751" s="1" t="s">
        <v>2969</v>
      </c>
      <c r="C6751" s="1">
        <v>10.0</v>
      </c>
      <c r="D6751" s="1" t="s">
        <v>3082</v>
      </c>
      <c r="E6751" s="1" t="str">
        <f>IFERROR(__xludf.DUMMYFUNCTION("GOOGLETRANSLATE(D6751,""PT"",""EN"")"),"Sicoob for me is all good !!!")</f>
        <v>Sicoob for me is all good !!!</v>
      </c>
    </row>
    <row r="6752" ht="14.25" customHeight="1">
      <c r="A6752" s="1">
        <v>100.0</v>
      </c>
      <c r="B6752" s="1" t="s">
        <v>2969</v>
      </c>
      <c r="C6752" s="1">
        <v>10.0</v>
      </c>
      <c r="D6752" s="1" t="s">
        <v>3083</v>
      </c>
      <c r="E6752" s="1" t="str">
        <f>IFERROR(__xludf.DUMMYFUNCTION("GOOGLETRANSLATE(D6752,""PT"",""EN"")"),"The service.")</f>
        <v>The service.</v>
      </c>
    </row>
    <row r="6753" ht="14.25" customHeight="1">
      <c r="A6753" s="1">
        <v>100.0</v>
      </c>
      <c r="B6753" s="1" t="s">
        <v>2969</v>
      </c>
      <c r="C6753" s="1">
        <v>10.0</v>
      </c>
      <c r="D6753" s="1" t="s">
        <v>570</v>
      </c>
      <c r="E6753" s="1" t="str">
        <f>IFERROR(__xludf.DUMMYFUNCTION("GOOGLETRANSLATE(D6753,""PT"",""EN"")"),"Excelent reception")</f>
        <v>Excelent reception</v>
      </c>
    </row>
    <row r="6754" ht="14.25" customHeight="1">
      <c r="A6754" s="1">
        <v>100.0</v>
      </c>
      <c r="B6754" s="1" t="s">
        <v>2969</v>
      </c>
      <c r="C6754" s="1">
        <v>10.0</v>
      </c>
      <c r="D6754" s="1" t="s">
        <v>62</v>
      </c>
      <c r="E6754" s="1" t="str">
        <f>IFERROR(__xludf.DUMMYFUNCTION("GOOGLETRANSLATE(D6754,""PT"",""EN"")"),"Good service")</f>
        <v>Good service</v>
      </c>
    </row>
    <row r="6755" ht="14.25" customHeight="1">
      <c r="A6755" s="1">
        <v>100.0</v>
      </c>
      <c r="B6755" s="1" t="s">
        <v>2969</v>
      </c>
      <c r="C6755" s="1">
        <v>9.0</v>
      </c>
      <c r="D6755" s="1" t="s">
        <v>3084</v>
      </c>
      <c r="E6755" s="1" t="str">
        <f>IFERROR(__xludf.DUMMYFUNCTION("GOOGLETRANSLATE(D6755,""PT"",""EN"")"),"Friendly service")</f>
        <v>Friendly service</v>
      </c>
    </row>
    <row r="6756" ht="14.25" customHeight="1">
      <c r="A6756" s="1">
        <v>100.0</v>
      </c>
      <c r="B6756" s="1" t="s">
        <v>2969</v>
      </c>
      <c r="C6756" s="1">
        <v>10.0</v>
      </c>
      <c r="D6756" s="1" t="s">
        <v>3085</v>
      </c>
      <c r="E6756" s="1" t="str">
        <f>IFERROR(__xludf.DUMMYFUNCTION("GOOGLETRANSLATE(D6756,""PT"",""EN"")"),"For the quality of services provided to customers.")</f>
        <v>For the quality of services provided to customers.</v>
      </c>
    </row>
    <row r="6757" ht="14.25" customHeight="1">
      <c r="A6757" s="1">
        <v>33.0</v>
      </c>
      <c r="B6757" s="1" t="s">
        <v>2969</v>
      </c>
      <c r="C6757" s="1">
        <v>0.0</v>
      </c>
      <c r="D6757" s="2" t="s">
        <v>423</v>
      </c>
      <c r="E6757" s="1" t="str">
        <f>IFERROR(__xludf.DUMMYFUNCTION("GOOGLETRANSLATE(D6757,""PT"",""EN"")"),"terrible")</f>
        <v>terrible</v>
      </c>
    </row>
    <row r="6758" ht="14.25" customHeight="1">
      <c r="A6758" s="1">
        <v>100.0</v>
      </c>
      <c r="B6758" s="1" t="s">
        <v>2969</v>
      </c>
      <c r="C6758" s="1">
        <v>10.0</v>
      </c>
      <c r="D6758" s="1" t="s">
        <v>9</v>
      </c>
      <c r="E6758" s="1" t="str">
        <f>IFERROR(__xludf.DUMMYFUNCTION("GOOGLETRANSLATE(D6758,""PT"",""EN"")"),"10")</f>
        <v>10</v>
      </c>
    </row>
    <row r="6759" ht="14.25" customHeight="1">
      <c r="A6759" s="1">
        <v>100.0</v>
      </c>
      <c r="B6759" s="1" t="s">
        <v>2969</v>
      </c>
      <c r="C6759" s="1">
        <v>9.0</v>
      </c>
      <c r="D6759" s="2" t="s">
        <v>3086</v>
      </c>
      <c r="E6759" s="1" t="str">
        <f>IFERROR(__xludf.DUMMYFUNCTION("GOOGLETRANSLATE(D6759,""PT"",""EN"")"),"lower interest and rates is participation in results")</f>
        <v>lower interest and rates is participation in results</v>
      </c>
    </row>
    <row r="6760" ht="14.25" customHeight="1">
      <c r="A6760" s="1">
        <v>100.0</v>
      </c>
      <c r="B6760" s="1" t="s">
        <v>2969</v>
      </c>
      <c r="C6760" s="1">
        <v>10.0</v>
      </c>
      <c r="D6760" s="1" t="s">
        <v>6</v>
      </c>
      <c r="E6760" s="1"/>
    </row>
    <row r="6761" ht="14.25" customHeight="1">
      <c r="A6761" s="1">
        <v>100.0</v>
      </c>
      <c r="B6761" s="1" t="s">
        <v>2969</v>
      </c>
      <c r="C6761" s="1">
        <v>10.0</v>
      </c>
      <c r="D6761" s="2" t="s">
        <v>3087</v>
      </c>
      <c r="E6761" s="1" t="str">
        <f>IFERROR(__xludf.DUMMYFUNCTION("GOOGLETRANSLATE(D6761,""PT"",""EN"")"),"Excellent service, ease in contacting the bank. I made loans with good interest and speed in service.")</f>
        <v>Excellent service, ease in contacting the bank. I made loans with good interest and speed in service.</v>
      </c>
    </row>
    <row r="6762" ht="14.25" customHeight="1">
      <c r="A6762" s="1">
        <v>66.0</v>
      </c>
      <c r="B6762" s="1" t="s">
        <v>2969</v>
      </c>
      <c r="C6762" s="1">
        <v>7.0</v>
      </c>
      <c r="D6762" s="2" t="s">
        <v>3088</v>
      </c>
      <c r="E6762" s="1" t="str">
        <f>IFERROR(__xludf.DUMMYFUNCTION("GOOGLETRANSLATE(D6762,""PT"",""EN"")"),"Today I am retired is, therefore, without many contacts with para public servers.")</f>
        <v>Today I am retired is, therefore, without many contacts with para public servers.</v>
      </c>
    </row>
    <row r="6763" ht="14.25" customHeight="1">
      <c r="A6763" s="1">
        <v>66.0</v>
      </c>
      <c r="B6763" s="1" t="s">
        <v>2969</v>
      </c>
      <c r="C6763" s="1">
        <v>7.0</v>
      </c>
      <c r="D6763" s="2" t="s">
        <v>3089</v>
      </c>
      <c r="E6763" s="1" t="str">
        <f>IFERROR(__xludf.DUMMYFUNCTION("GOOGLETRANSLATE(D6763,""PT"",""EN"")"),"Service is an answer")</f>
        <v>Service is an answer</v>
      </c>
    </row>
    <row r="6764" ht="14.25" customHeight="1">
      <c r="A6764" s="1">
        <v>33.0</v>
      </c>
      <c r="B6764" s="1" t="s">
        <v>2969</v>
      </c>
      <c r="C6764" s="1">
        <v>5.0</v>
      </c>
      <c r="D6764" s="2" t="s">
        <v>3090</v>
      </c>
      <c r="E6764" s="1" t="str">
        <f>IFERROR(__xludf.DUMMYFUNCTION("GOOGLETRANSLATE(D6764,""PT"",""EN"")"),"Do not offer credit cards, it is the app living failure")</f>
        <v>Do not offer credit cards, it is the app living failure</v>
      </c>
    </row>
    <row r="6765" ht="14.25" customHeight="1">
      <c r="A6765" s="1">
        <v>33.0</v>
      </c>
      <c r="B6765" s="1" t="s">
        <v>2969</v>
      </c>
      <c r="C6765" s="1">
        <v>5.0</v>
      </c>
      <c r="D6765" s="1" t="s">
        <v>6</v>
      </c>
      <c r="E6765" s="1"/>
    </row>
    <row r="6766" ht="14.25" customHeight="1">
      <c r="A6766" s="1">
        <v>33.0</v>
      </c>
      <c r="B6766" s="1" t="s">
        <v>2969</v>
      </c>
      <c r="C6766" s="1">
        <v>3.0</v>
      </c>
      <c r="D6766" s="1" t="s">
        <v>6</v>
      </c>
      <c r="E6766" s="1"/>
    </row>
    <row r="6767" ht="14.25" customHeight="1">
      <c r="A6767" s="1">
        <v>100.0</v>
      </c>
      <c r="B6767" s="1" t="s">
        <v>2969</v>
      </c>
      <c r="C6767" s="1">
        <v>9.0</v>
      </c>
      <c r="D6767" s="1" t="s">
        <v>6</v>
      </c>
      <c r="E6767" s="1"/>
    </row>
    <row r="6768" ht="14.25" customHeight="1">
      <c r="A6768" s="1">
        <v>100.0</v>
      </c>
      <c r="B6768" s="1" t="s">
        <v>2969</v>
      </c>
      <c r="C6768" s="1">
        <v>10.0</v>
      </c>
      <c r="D6768" s="1" t="s">
        <v>6</v>
      </c>
      <c r="E6768" s="1"/>
    </row>
    <row r="6769" ht="14.25" customHeight="1">
      <c r="A6769" s="1">
        <v>66.0</v>
      </c>
      <c r="B6769" s="1" t="s">
        <v>2969</v>
      </c>
      <c r="C6769" s="1">
        <v>7.0</v>
      </c>
      <c r="D6769" s="1" t="s">
        <v>6</v>
      </c>
      <c r="E6769" s="1"/>
    </row>
    <row r="6770" ht="14.25" customHeight="1">
      <c r="A6770" s="1">
        <v>66.0</v>
      </c>
      <c r="B6770" s="1" t="s">
        <v>2969</v>
      </c>
      <c r="C6770" s="1">
        <v>8.0</v>
      </c>
      <c r="D6770" s="2" t="s">
        <v>3091</v>
      </c>
      <c r="E6770" s="1" t="str">
        <f>IFERROR(__xludf.DUMMYFUNCTION("GOOGLETRANSLATE(D6770,""PT"",""EN"")"),"From the little I know Sicoob, my service was good, but the system is a little bureaucratic.")</f>
        <v>From the little I know Sicoob, my service was good, but the system is a little bureaucratic.</v>
      </c>
    </row>
    <row r="6771" ht="14.25" customHeight="1">
      <c r="A6771" s="1">
        <v>33.0</v>
      </c>
      <c r="B6771" s="1" t="s">
        <v>2969</v>
      </c>
      <c r="C6771" s="1">
        <v>4.0</v>
      </c>
      <c r="D6771" s="2" t="s">
        <v>3092</v>
      </c>
      <c r="E6771" s="1" t="str">
        <f>IFERROR(__xludf.DUMMYFUNCTION("GOOGLETRANSLATE(D6771,""PT"",""EN"")"),"very difficult service at the agency")</f>
        <v>very difficult service at the agency</v>
      </c>
    </row>
    <row r="6772" ht="14.25" customHeight="1">
      <c r="A6772" s="1">
        <v>100.0</v>
      </c>
      <c r="B6772" s="1" t="s">
        <v>2969</v>
      </c>
      <c r="C6772" s="1">
        <v>10.0</v>
      </c>
      <c r="D6772" s="1" t="s">
        <v>9</v>
      </c>
      <c r="E6772" s="1" t="str">
        <f>IFERROR(__xludf.DUMMYFUNCTION("GOOGLETRANSLATE(D6772,""PT"",""EN"")"),"10")</f>
        <v>10</v>
      </c>
    </row>
    <row r="6773" ht="14.25" customHeight="1">
      <c r="A6773" s="1">
        <v>33.0</v>
      </c>
      <c r="B6773" s="1" t="s">
        <v>2969</v>
      </c>
      <c r="C6773" s="1">
        <v>0.0</v>
      </c>
      <c r="D6773" s="2" t="s">
        <v>3093</v>
      </c>
      <c r="E6773" s="1" t="str">
        <f>IFERROR(__xludf.DUMMYFUNCTION("GOOGLETRANSLATE(D6773,""PT"",""EN"")"),"Good morning, because I'm associated for a long time is when I needed the association no longer had help as I can indicate.")</f>
        <v>Good morning, because I'm associated for a long time is when I needed the association no longer had help as I can indicate.</v>
      </c>
    </row>
    <row r="6774" ht="14.25" customHeight="1">
      <c r="A6774" s="1">
        <v>100.0</v>
      </c>
      <c r="B6774" s="1" t="s">
        <v>2969</v>
      </c>
      <c r="C6774" s="1">
        <v>10.0</v>
      </c>
      <c r="D6774" s="1" t="s">
        <v>6</v>
      </c>
      <c r="E6774" s="1"/>
    </row>
    <row r="6775" ht="14.25" customHeight="1">
      <c r="A6775" s="1">
        <v>100.0</v>
      </c>
      <c r="B6775" s="1" t="s">
        <v>2969</v>
      </c>
      <c r="C6775" s="1">
        <v>10.0</v>
      </c>
      <c r="D6775" s="1" t="s">
        <v>6</v>
      </c>
      <c r="E6775" s="1"/>
    </row>
    <row r="6776" ht="14.25" customHeight="1">
      <c r="A6776" s="1">
        <v>33.0</v>
      </c>
      <c r="B6776" s="1" t="s">
        <v>2969</v>
      </c>
      <c r="C6776" s="1">
        <v>0.0</v>
      </c>
      <c r="D6776" s="1" t="s">
        <v>3094</v>
      </c>
      <c r="E6776" s="1" t="str">
        <f>IFERROR(__xludf.DUMMYFUNCTION("GOOGLETRANSLATE(D6776,""PT"",""EN"")"),"Very difficult, a lot of bureaucracy, absence of a responsible attendant, removing the staff from my region, only difficulties to deal with ....")</f>
        <v>Very difficult, a lot of bureaucracy, absence of a responsible attendant, removing the staff from my region, only difficulties to deal with ....</v>
      </c>
    </row>
    <row r="6777" ht="14.25" customHeight="1">
      <c r="A6777" s="1">
        <v>100.0</v>
      </c>
      <c r="B6777" s="1" t="s">
        <v>2969</v>
      </c>
      <c r="C6777" s="1">
        <v>10.0</v>
      </c>
      <c r="D6777" s="2" t="s">
        <v>3095</v>
      </c>
      <c r="E6777" s="1" t="str">
        <f>IFERROR(__xludf.DUMMYFUNCTION("GOOGLETRANSLATE(D6777,""PT"",""EN"")"),"The advantages and gains are a big differential when comparing with the banks system is not just that, in Sicoob we are a large family, which is another great differential when comparing with banks.")</f>
        <v>The advantages and gains are a big differential when comparing with the banks system is not just that, in Sicoob we are a large family, which is another great differential when comparing with banks.</v>
      </c>
    </row>
    <row r="6778" ht="14.25" customHeight="1">
      <c r="A6778" s="1">
        <v>100.0</v>
      </c>
      <c r="B6778" s="1" t="s">
        <v>2969</v>
      </c>
      <c r="C6778" s="1">
        <v>10.0</v>
      </c>
      <c r="D6778" s="1" t="s">
        <v>3096</v>
      </c>
      <c r="E6778" s="1" t="str">
        <f>IFERROR(__xludf.DUMMYFUNCTION("GOOGLETRANSLATE(D6778,""PT"",""EN"")"),"I really like I'm cooperated for many years everything I need I am answered thanks")</f>
        <v>I really like I'm cooperated for many years everything I need I am answered thanks</v>
      </c>
    </row>
    <row r="6779" ht="14.25" customHeight="1">
      <c r="A6779" s="1">
        <v>33.0</v>
      </c>
      <c r="B6779" s="1" t="s">
        <v>2969</v>
      </c>
      <c r="C6779" s="1">
        <v>3.0</v>
      </c>
      <c r="D6779" s="2" t="s">
        <v>3097</v>
      </c>
      <c r="E6779" s="1" t="str">
        <f>IFERROR(__xludf.DUMMYFUNCTION("GOOGLETRANSLATE(D6779,""PT"",""EN"")"),"In May/2021 I requested a loan. Registration update that was scanned with address error and date of birth. In September they had not yet corrected. To this day I had no news anymore. My contributions to the works (prior to May/2015) where did they go?")</f>
        <v>In May/2021 I requested a loan. Registration update that was scanned with address error and date of birth. In September they had not yet corrected. To this day I had no news anymore. My contributions to the works (prior to May/2015) where did they go?</v>
      </c>
    </row>
    <row r="6780" ht="14.25" customHeight="1">
      <c r="A6780" s="1">
        <v>100.0</v>
      </c>
      <c r="B6780" s="1" t="s">
        <v>2969</v>
      </c>
      <c r="C6780" s="1">
        <v>10.0</v>
      </c>
      <c r="D6780" s="1" t="s">
        <v>385</v>
      </c>
      <c r="E6780" s="1" t="str">
        <f>IFERROR(__xludf.DUMMYFUNCTION("GOOGLETRANSLATE(D6780,""PT"",""EN"")"),"The good service")</f>
        <v>The good service</v>
      </c>
    </row>
    <row r="6781" ht="14.25" customHeight="1">
      <c r="A6781" s="1">
        <v>100.0</v>
      </c>
      <c r="B6781" s="1" t="s">
        <v>2969</v>
      </c>
      <c r="C6781" s="1">
        <v>10.0</v>
      </c>
      <c r="D6781" s="1" t="s">
        <v>6</v>
      </c>
      <c r="E6781" s="1"/>
    </row>
    <row r="6782" ht="14.25" customHeight="1">
      <c r="A6782" s="1">
        <v>66.0</v>
      </c>
      <c r="B6782" s="1" t="s">
        <v>2969</v>
      </c>
      <c r="C6782" s="1">
        <v>8.0</v>
      </c>
      <c r="D6782" s="1" t="s">
        <v>3098</v>
      </c>
      <c r="E6782" s="1" t="str">
        <f>IFERROR(__xludf.DUMMYFUNCTION("GOOGLETRANSLATE(D6782,""PT"",""EN"")"),"Excellent in proposals, excellence in service")</f>
        <v>Excellent in proposals, excellence in service</v>
      </c>
    </row>
    <row r="6783" ht="14.25" customHeight="1">
      <c r="A6783" s="1">
        <v>100.0</v>
      </c>
      <c r="B6783" s="1" t="s">
        <v>2969</v>
      </c>
      <c r="C6783" s="1">
        <v>10.0</v>
      </c>
      <c r="D6783" s="1" t="s">
        <v>3099</v>
      </c>
      <c r="E6783" s="1" t="str">
        <f>IFERROR(__xludf.DUMMYFUNCTION("GOOGLETRANSLATE(D6783,""PT"",""EN"")"),"It was good")</f>
        <v>It was good</v>
      </c>
    </row>
    <row r="6784" ht="14.25" customHeight="1">
      <c r="A6784" s="1">
        <v>100.0</v>
      </c>
      <c r="B6784" s="1" t="s">
        <v>2969</v>
      </c>
      <c r="C6784" s="1">
        <v>10.0</v>
      </c>
      <c r="D6784" s="1" t="s">
        <v>9</v>
      </c>
      <c r="E6784" s="1" t="str">
        <f>IFERROR(__xludf.DUMMYFUNCTION("GOOGLETRANSLATE(D6784,""PT"",""EN"")"),"10")</f>
        <v>10</v>
      </c>
    </row>
    <row r="6785" ht="14.25" customHeight="1">
      <c r="A6785" s="1">
        <v>33.0</v>
      </c>
      <c r="B6785" s="1" t="s">
        <v>2969</v>
      </c>
      <c r="C6785" s="1">
        <v>1.0</v>
      </c>
      <c r="D6785" s="1" t="s">
        <v>6</v>
      </c>
      <c r="E6785" s="1"/>
    </row>
    <row r="6786" ht="14.25" customHeight="1">
      <c r="A6786" s="1">
        <v>100.0</v>
      </c>
      <c r="B6786" s="1" t="s">
        <v>2969</v>
      </c>
      <c r="C6786" s="1">
        <v>10.0</v>
      </c>
      <c r="D6786" s="1" t="s">
        <v>3100</v>
      </c>
      <c r="E6786" s="1" t="str">
        <f>IFERROR(__xludf.DUMMYFUNCTION("GOOGLETRANSLATE(D6786,""PT"",""EN"")"),"It's great to have.")</f>
        <v>It's great to have.</v>
      </c>
    </row>
    <row r="6787" ht="14.25" customHeight="1">
      <c r="A6787" s="1">
        <v>100.0</v>
      </c>
      <c r="B6787" s="1" t="s">
        <v>2969</v>
      </c>
      <c r="C6787" s="1">
        <v>10.0</v>
      </c>
      <c r="D6787" s="2" t="s">
        <v>3101</v>
      </c>
      <c r="E6787" s="1" t="str">
        <f>IFERROR(__xludf.DUMMYFUNCTION("GOOGLETRANSLATE(D6787,""PT"",""EN"")"),"Attention, education, promptness and agility in care.")</f>
        <v>Attention, education, promptness and agility in care.</v>
      </c>
    </row>
    <row r="6788" ht="14.25" customHeight="1">
      <c r="A6788" s="1">
        <v>100.0</v>
      </c>
      <c r="B6788" s="1" t="s">
        <v>2969</v>
      </c>
      <c r="C6788" s="1">
        <v>9.0</v>
      </c>
      <c r="D6788" s="1" t="s">
        <v>6</v>
      </c>
      <c r="E6788" s="1"/>
    </row>
    <row r="6789" ht="14.25" customHeight="1">
      <c r="A6789" s="1">
        <v>100.0</v>
      </c>
      <c r="B6789" s="1" t="s">
        <v>2969</v>
      </c>
      <c r="C6789" s="1">
        <v>10.0</v>
      </c>
      <c r="D6789" s="1" t="s">
        <v>3102</v>
      </c>
      <c r="E6789" s="1" t="str">
        <f>IFERROR(__xludf.DUMMYFUNCTION("GOOGLETRANSLATE(D6789,""PT"",""EN"")"),"Excellence in dealing with people.")</f>
        <v>Excellence in dealing with people.</v>
      </c>
    </row>
    <row r="6790" ht="14.25" customHeight="1">
      <c r="A6790" s="1">
        <v>100.0</v>
      </c>
      <c r="B6790" s="1" t="s">
        <v>2969</v>
      </c>
      <c r="C6790" s="1">
        <v>10.0</v>
      </c>
      <c r="D6790" s="1" t="s">
        <v>3103</v>
      </c>
      <c r="E6790" s="1" t="str">
        <f>IFERROR(__xludf.DUMMYFUNCTION("GOOGLETRANSLATE(D6790,""PT"",""EN"")"),"I am in favor of cooperativism")</f>
        <v>I am in favor of cooperativism</v>
      </c>
    </row>
    <row r="6791" ht="14.25" customHeight="1">
      <c r="A6791" s="1">
        <v>100.0</v>
      </c>
      <c r="B6791" s="1" t="s">
        <v>2969</v>
      </c>
      <c r="C6791" s="1">
        <v>10.0</v>
      </c>
      <c r="D6791" s="2" t="s">
        <v>3104</v>
      </c>
      <c r="E6791" s="1" t="str">
        <f>IFERROR(__xludf.DUMMYFUNCTION("GOOGLETRANSLATE(D6791,""PT"",""EN"")"),"Good service and excellent professionals.")</f>
        <v>Good service and excellent professionals.</v>
      </c>
    </row>
    <row r="6792" ht="14.25" customHeight="1">
      <c r="A6792" s="1">
        <v>33.0</v>
      </c>
      <c r="B6792" s="1" t="s">
        <v>2969</v>
      </c>
      <c r="C6792" s="1">
        <v>0.0</v>
      </c>
      <c r="D6792" s="1" t="s">
        <v>6</v>
      </c>
      <c r="E6792" s="1"/>
    </row>
    <row r="6793" ht="14.25" customHeight="1">
      <c r="A6793" s="1">
        <v>33.0</v>
      </c>
      <c r="B6793" s="1" t="s">
        <v>2969</v>
      </c>
      <c r="C6793" s="1">
        <v>0.0</v>
      </c>
      <c r="D6793" s="1" t="s">
        <v>6</v>
      </c>
      <c r="E6793" s="1"/>
    </row>
    <row r="6794" ht="14.25" customHeight="1">
      <c r="A6794" s="1">
        <v>100.0</v>
      </c>
      <c r="B6794" s="1" t="s">
        <v>2969</v>
      </c>
      <c r="C6794" s="1">
        <v>10.0</v>
      </c>
      <c r="D6794" s="1" t="s">
        <v>6</v>
      </c>
      <c r="E6794" s="1"/>
    </row>
    <row r="6795" ht="14.25" customHeight="1">
      <c r="A6795" s="1">
        <v>100.0</v>
      </c>
      <c r="B6795" s="1" t="s">
        <v>2969</v>
      </c>
      <c r="C6795" s="1">
        <v>10.0</v>
      </c>
      <c r="D6795" s="1" t="s">
        <v>3105</v>
      </c>
      <c r="E6795" s="1" t="str">
        <f>IFERROR(__xludf.DUMMYFUNCTION("GOOGLETRANSLATE(D6795,""PT"",""EN"")"),"Confidence in the institution")</f>
        <v>Confidence in the institution</v>
      </c>
    </row>
    <row r="6796" ht="14.25" customHeight="1">
      <c r="A6796" s="1">
        <v>33.0</v>
      </c>
      <c r="B6796" s="1" t="s">
        <v>2969</v>
      </c>
      <c r="C6796" s="1">
        <v>1.0</v>
      </c>
      <c r="D6796" s="2" t="s">
        <v>3106</v>
      </c>
      <c r="E6796" s="1" t="str">
        <f>IFERROR(__xludf.DUMMYFUNCTION("GOOGLETRANSLATE(D6796,""PT"",""EN"")"),"Does not value customer history for credit release")</f>
        <v>Does not value customer history for credit release</v>
      </c>
    </row>
    <row r="6797" ht="14.25" customHeight="1">
      <c r="A6797" s="1">
        <v>100.0</v>
      </c>
      <c r="B6797" s="1" t="s">
        <v>2969</v>
      </c>
      <c r="C6797" s="1">
        <v>10.0</v>
      </c>
      <c r="D6797" s="2" t="s">
        <v>3107</v>
      </c>
      <c r="E6797" s="1" t="str">
        <f>IFERROR(__xludf.DUMMYFUNCTION("GOOGLETRANSLATE(D6797,""PT"",""EN"")"),"It was the speed with I made a loan, with interest accessible")</f>
        <v>It was the speed with I made a loan, with interest accessible</v>
      </c>
    </row>
    <row r="6798" ht="14.25" customHeight="1">
      <c r="A6798" s="1">
        <v>100.0</v>
      </c>
      <c r="B6798" s="1" t="s">
        <v>2969</v>
      </c>
      <c r="C6798" s="1">
        <v>10.0</v>
      </c>
      <c r="D6798" s="1" t="s">
        <v>6</v>
      </c>
      <c r="E6798" s="1"/>
    </row>
    <row r="6799" ht="14.25" customHeight="1">
      <c r="A6799" s="1">
        <v>100.0</v>
      </c>
      <c r="B6799" s="1" t="s">
        <v>2969</v>
      </c>
      <c r="C6799" s="1">
        <v>9.0</v>
      </c>
      <c r="D6799" s="1" t="s">
        <v>6</v>
      </c>
      <c r="E6799" s="1"/>
    </row>
    <row r="6800" ht="14.25" customHeight="1">
      <c r="A6800" s="1">
        <v>100.0</v>
      </c>
      <c r="B6800" s="1" t="s">
        <v>2969</v>
      </c>
      <c r="C6800" s="1">
        <v>10.0</v>
      </c>
      <c r="D6800" s="1" t="s">
        <v>3108</v>
      </c>
      <c r="E6800" s="1" t="str">
        <f>IFERROR(__xludf.DUMMYFUNCTION("GOOGLETRANSLATE(D6800,""PT"",""EN"")"),"Because I was always answered the times I needed")</f>
        <v>Because I was always answered the times I needed</v>
      </c>
    </row>
    <row r="6801" ht="14.25" customHeight="1">
      <c r="A6801" s="1">
        <v>66.0</v>
      </c>
      <c r="B6801" s="1" t="s">
        <v>2969</v>
      </c>
      <c r="C6801" s="1">
        <v>8.0</v>
      </c>
      <c r="D6801" s="1" t="s">
        <v>3109</v>
      </c>
      <c r="E6801" s="1" t="str">
        <f>IFERROR(__xludf.DUMMYFUNCTION("GOOGLETRANSLATE(D6801,""PT"",""EN"")"),"Improve the operating system a lot")</f>
        <v>Improve the operating system a lot</v>
      </c>
    </row>
    <row r="6802" ht="14.25" customHeight="1">
      <c r="A6802" s="1">
        <v>100.0</v>
      </c>
      <c r="B6802" s="1" t="s">
        <v>2969</v>
      </c>
      <c r="C6802" s="1">
        <v>9.0</v>
      </c>
      <c r="D6802" s="1" t="s">
        <v>6</v>
      </c>
      <c r="E6802" s="1"/>
    </row>
    <row r="6803" ht="14.25" customHeight="1">
      <c r="A6803" s="1">
        <v>33.0</v>
      </c>
      <c r="B6803" s="1" t="s">
        <v>2969</v>
      </c>
      <c r="C6803" s="1">
        <v>0.0</v>
      </c>
      <c r="D6803" s="1" t="s">
        <v>6</v>
      </c>
      <c r="E6803" s="1"/>
    </row>
    <row r="6804" ht="14.25" customHeight="1">
      <c r="A6804" s="1">
        <v>100.0</v>
      </c>
      <c r="B6804" s="1" t="s">
        <v>2969</v>
      </c>
      <c r="C6804" s="1">
        <v>10.0</v>
      </c>
      <c r="D6804" s="1" t="s">
        <v>3110</v>
      </c>
      <c r="E6804" s="1" t="str">
        <f>IFERROR(__xludf.DUMMYFUNCTION("GOOGLETRANSLATE(D6804,""PT"",""EN"")"),"Quality service!")</f>
        <v>Quality service!</v>
      </c>
    </row>
    <row r="6805" ht="14.25" customHeight="1">
      <c r="A6805" s="1">
        <v>100.0</v>
      </c>
      <c r="B6805" s="1" t="s">
        <v>2969</v>
      </c>
      <c r="C6805" s="1">
        <v>9.0</v>
      </c>
      <c r="D6805" s="1" t="s">
        <v>6</v>
      </c>
      <c r="E6805" s="1"/>
    </row>
    <row r="6806" ht="14.25" customHeight="1">
      <c r="A6806" s="1">
        <v>100.0</v>
      </c>
      <c r="B6806" s="1" t="s">
        <v>2969</v>
      </c>
      <c r="C6806" s="1">
        <v>10.0</v>
      </c>
      <c r="D6806" s="1" t="s">
        <v>9</v>
      </c>
      <c r="E6806" s="1" t="str">
        <f>IFERROR(__xludf.DUMMYFUNCTION("GOOGLETRANSLATE(D6806,""PT"",""EN"")"),"10")</f>
        <v>10</v>
      </c>
    </row>
    <row r="6807" ht="14.25" customHeight="1">
      <c r="A6807" s="1">
        <v>33.0</v>
      </c>
      <c r="B6807" s="1" t="s">
        <v>2969</v>
      </c>
      <c r="C6807" s="1">
        <v>5.0</v>
      </c>
      <c r="D6807" s="1" t="s">
        <v>6</v>
      </c>
      <c r="E6807" s="1"/>
    </row>
    <row r="6808" ht="14.25" customHeight="1">
      <c r="A6808" s="1">
        <v>100.0</v>
      </c>
      <c r="B6808" s="1" t="s">
        <v>2969</v>
      </c>
      <c r="C6808" s="1">
        <v>10.0</v>
      </c>
      <c r="D6808" s="2" t="s">
        <v>3111</v>
      </c>
      <c r="E6808" s="1" t="str">
        <f>IFERROR(__xludf.DUMMYFUNCTION("GOOGLETRANSLATE(D6808,""PT"",""EN"")"),"Good service, easy -to -use application is quick to complete the demands.")</f>
        <v>Good service, easy -to -use application is quick to complete the demands.</v>
      </c>
    </row>
    <row r="6809" ht="14.25" customHeight="1">
      <c r="A6809" s="1">
        <v>66.0</v>
      </c>
      <c r="B6809" s="1" t="s">
        <v>2969</v>
      </c>
      <c r="C6809" s="1">
        <v>8.0</v>
      </c>
      <c r="D6809" s="1" t="s">
        <v>6</v>
      </c>
      <c r="E6809" s="1"/>
    </row>
    <row r="6810" ht="14.25" customHeight="1">
      <c r="A6810" s="1">
        <v>100.0</v>
      </c>
      <c r="B6810" s="1" t="s">
        <v>2969</v>
      </c>
      <c r="C6810" s="1">
        <v>10.0</v>
      </c>
      <c r="D6810" s="1" t="s">
        <v>6</v>
      </c>
      <c r="E6810" s="1"/>
    </row>
    <row r="6811" ht="14.25" customHeight="1">
      <c r="A6811" s="1">
        <v>33.0</v>
      </c>
      <c r="B6811" s="1" t="s">
        <v>2969</v>
      </c>
      <c r="C6811" s="1">
        <v>5.0</v>
      </c>
      <c r="D6811" s="1" t="s">
        <v>6</v>
      </c>
      <c r="E6811" s="1"/>
    </row>
    <row r="6812" ht="14.25" customHeight="1">
      <c r="A6812" s="1">
        <v>33.0</v>
      </c>
      <c r="B6812" s="1" t="s">
        <v>2969</v>
      </c>
      <c r="C6812" s="1">
        <v>0.0</v>
      </c>
      <c r="D6812" s="1" t="s">
        <v>6</v>
      </c>
      <c r="E6812" s="1"/>
    </row>
    <row r="6813" ht="14.25" customHeight="1">
      <c r="A6813" s="1">
        <v>33.0</v>
      </c>
      <c r="B6813" s="1" t="s">
        <v>2969</v>
      </c>
      <c r="C6813" s="1">
        <v>1.0</v>
      </c>
      <c r="D6813" s="2" t="s">
        <v>3112</v>
      </c>
      <c r="E6813" s="1" t="str">
        <f>IFERROR(__xludf.DUMMYFUNCTION("GOOGLETRANSLATE(D6813,""PT"",""EN"")"),"It is not a reliable bank. It is confusing too.")</f>
        <v>It is not a reliable bank. It is confusing too.</v>
      </c>
    </row>
    <row r="6814" ht="14.25" customHeight="1">
      <c r="A6814" s="1">
        <v>100.0</v>
      </c>
      <c r="B6814" s="1" t="s">
        <v>2969</v>
      </c>
      <c r="C6814" s="1">
        <v>10.0</v>
      </c>
      <c r="D6814" s="2" t="s">
        <v>3113</v>
      </c>
      <c r="E6814" s="1" t="str">
        <f>IFERROR(__xludf.DUMMYFUNCTION("GOOGLETRANSLATE(D6814,""PT"",""EN"")"),"Firstly, for the attention it is a great willingness in the service I always had for the employees Natália is Adriana da Credfaz in Belo Horizonte is in second place for everything I could get when I needed the services that Sicoob offers.")</f>
        <v>Firstly, for the attention it is a great willingness in the service I always had for the employees Natália is Adriana da Credfaz in Belo Horizonte is in second place for everything I could get when I needed the services that Sicoob offers.</v>
      </c>
    </row>
    <row r="6815" ht="14.25" customHeight="1">
      <c r="A6815" s="1">
        <v>100.0</v>
      </c>
      <c r="B6815" s="1" t="s">
        <v>2969</v>
      </c>
      <c r="C6815" s="1">
        <v>10.0</v>
      </c>
      <c r="D6815" s="1" t="s">
        <v>6</v>
      </c>
      <c r="E6815" s="1"/>
    </row>
    <row r="6816" ht="14.25" customHeight="1">
      <c r="A6816" s="1">
        <v>100.0</v>
      </c>
      <c r="B6816" s="1" t="s">
        <v>2969</v>
      </c>
      <c r="C6816" s="1">
        <v>10.0</v>
      </c>
      <c r="D6816" s="1" t="s">
        <v>6</v>
      </c>
      <c r="E6816" s="1"/>
    </row>
    <row r="6817" ht="14.25" customHeight="1">
      <c r="A6817" s="1">
        <v>100.0</v>
      </c>
      <c r="B6817" s="1" t="s">
        <v>2969</v>
      </c>
      <c r="C6817" s="1">
        <v>10.0</v>
      </c>
      <c r="D6817" s="1" t="s">
        <v>20</v>
      </c>
      <c r="E6817" s="1" t="str">
        <f>IFERROR(__xludf.DUMMYFUNCTION("GOOGLETRANSLATE(D6817,""PT"",""EN"")"),"Very good")</f>
        <v>Very good</v>
      </c>
    </row>
    <row r="6818" ht="14.25" customHeight="1">
      <c r="A6818" s="1">
        <v>100.0</v>
      </c>
      <c r="B6818" s="1" t="s">
        <v>2969</v>
      </c>
      <c r="C6818" s="1">
        <v>9.0</v>
      </c>
      <c r="D6818" s="1" t="s">
        <v>6</v>
      </c>
      <c r="E6818" s="1"/>
    </row>
    <row r="6819" ht="14.25" customHeight="1">
      <c r="A6819" s="1">
        <v>66.0</v>
      </c>
      <c r="B6819" s="1" t="s">
        <v>2969</v>
      </c>
      <c r="C6819" s="1">
        <v>7.0</v>
      </c>
      <c r="D6819" s="1" t="s">
        <v>6</v>
      </c>
      <c r="E6819" s="1"/>
    </row>
    <row r="6820" ht="14.25" customHeight="1">
      <c r="A6820" s="1">
        <v>66.0</v>
      </c>
      <c r="B6820" s="1" t="s">
        <v>2969</v>
      </c>
      <c r="C6820" s="1">
        <v>7.0</v>
      </c>
      <c r="D6820" s="1" t="s">
        <v>6</v>
      </c>
      <c r="E6820" s="1"/>
    </row>
    <row r="6821" ht="14.25" customHeight="1">
      <c r="A6821" s="1">
        <v>100.0</v>
      </c>
      <c r="B6821" s="1" t="s">
        <v>2969</v>
      </c>
      <c r="C6821" s="1">
        <v>10.0</v>
      </c>
      <c r="D6821" s="1" t="s">
        <v>3114</v>
      </c>
      <c r="E6821" s="1" t="str">
        <f>IFERROR(__xludf.DUMMYFUNCTION("GOOGLETRANSLATE(D6821,""PT"",""EN"")"),"Low interest, satisfaction")</f>
        <v>Low interest, satisfaction</v>
      </c>
    </row>
    <row r="6822" ht="14.25" customHeight="1">
      <c r="A6822" s="1">
        <v>66.0</v>
      </c>
      <c r="B6822" s="1" t="s">
        <v>2969</v>
      </c>
      <c r="C6822" s="1">
        <v>8.0</v>
      </c>
      <c r="D6822" s="2" t="s">
        <v>3115</v>
      </c>
      <c r="E6822" s="1" t="str">
        <f>IFERROR(__xludf.DUMMYFUNCTION("GOOGLETRANSLATE(D6822,""PT"",""EN"")"),"To get a payroll loan we have to email it is a delay to be answered")</f>
        <v>To get a payroll loan we have to email it is a delay to be answered</v>
      </c>
    </row>
    <row r="6823" ht="14.25" customHeight="1">
      <c r="A6823" s="1">
        <v>66.0</v>
      </c>
      <c r="B6823" s="1" t="s">
        <v>2969</v>
      </c>
      <c r="C6823" s="1">
        <v>7.0</v>
      </c>
      <c r="D6823" s="1" t="s">
        <v>259</v>
      </c>
      <c r="E6823" s="1" t="str">
        <f>IFERROR(__xludf.DUMMYFUNCTION("GOOGLETRANSLATE(D6823,""PT"",""EN"")"),"A lot of bureaucracy")</f>
        <v>A lot of bureaucracy</v>
      </c>
    </row>
    <row r="6824" ht="14.25" customHeight="1">
      <c r="A6824" s="1">
        <v>100.0</v>
      </c>
      <c r="B6824" s="1" t="s">
        <v>2969</v>
      </c>
      <c r="C6824" s="1">
        <v>10.0</v>
      </c>
      <c r="D6824" s="2" t="s">
        <v>3116</v>
      </c>
      <c r="E6824" s="1" t="str">
        <f>IFERROR(__xludf.DUMMYFUNCTION("GOOGLETRANSLATE(D6824,""PT"",""EN"")"),"Very attentive and agile agency staff")</f>
        <v>Very attentive and agile agency staff</v>
      </c>
    </row>
    <row r="6825" ht="14.25" customHeight="1">
      <c r="A6825" s="1">
        <v>66.0</v>
      </c>
      <c r="B6825" s="1" t="s">
        <v>2969</v>
      </c>
      <c r="C6825" s="1">
        <v>7.0</v>
      </c>
      <c r="D6825" s="2" t="s">
        <v>3117</v>
      </c>
      <c r="E6825" s="1" t="str">
        <f>IFERROR(__xludf.DUMMYFUNCTION("GOOGLETRANSLATE(D6825,""PT"",""EN"")"),"I do not use any benefit of the bank")</f>
        <v>I do not use any benefit of the bank</v>
      </c>
    </row>
    <row r="6826" ht="14.25" customHeight="1">
      <c r="A6826" s="1">
        <v>100.0</v>
      </c>
      <c r="B6826" s="1" t="s">
        <v>2969</v>
      </c>
      <c r="C6826" s="1">
        <v>9.0</v>
      </c>
      <c r="D6826" s="1" t="s">
        <v>6</v>
      </c>
      <c r="E6826" s="1"/>
    </row>
    <row r="6827" ht="14.25" customHeight="1">
      <c r="A6827" s="1">
        <v>33.0</v>
      </c>
      <c r="B6827" s="1" t="s">
        <v>2969</v>
      </c>
      <c r="C6827" s="1">
        <v>0.0</v>
      </c>
      <c r="D6827" s="2" t="s">
        <v>3118</v>
      </c>
      <c r="E6827" s="1" t="str">
        <f>IFERROR(__xludf.DUMMYFUNCTION("GOOGLETRANSLATE(D6827,""PT"",""EN"")"),"Pessimal control. I received email saying that I have a card pending is never had a card.")</f>
        <v>Pessimal control. I received email saying that I have a card pending is never had a card.</v>
      </c>
    </row>
    <row r="6828" ht="14.25" customHeight="1">
      <c r="A6828" s="1">
        <v>66.0</v>
      </c>
      <c r="B6828" s="1" t="s">
        <v>2969</v>
      </c>
      <c r="C6828" s="1">
        <v>8.0</v>
      </c>
      <c r="D6828" s="2" t="s">
        <v>3119</v>
      </c>
      <c r="E6828" s="1" t="str">
        <f>IFERROR(__xludf.DUMMYFUNCTION("GOOGLETRANSLATE(D6828,""PT"",""EN"")"),"The password of my card has not arrived today!")</f>
        <v>The password of my card has not arrived today!</v>
      </c>
    </row>
    <row r="6829" ht="14.25" customHeight="1">
      <c r="A6829" s="1">
        <v>100.0</v>
      </c>
      <c r="B6829" s="1" t="s">
        <v>2969</v>
      </c>
      <c r="C6829" s="1">
        <v>9.0</v>
      </c>
      <c r="D6829" s="2" t="s">
        <v>3120</v>
      </c>
      <c r="E6829" s="1" t="str">
        <f>IFERROR(__xludf.DUMMYFUNCTION("GOOGLETRANSLATE(D6829,""PT"",""EN"")"),"As a result of age I can loan at CEF is not in the cooperative")</f>
        <v>As a result of age I can loan at CEF is not in the cooperative</v>
      </c>
    </row>
    <row r="6830" ht="14.25" customHeight="1">
      <c r="A6830" s="1">
        <v>33.0</v>
      </c>
      <c r="B6830" s="1" t="s">
        <v>2969</v>
      </c>
      <c r="C6830" s="1">
        <v>4.0</v>
      </c>
      <c r="D6830" s="2" t="s">
        <v>3121</v>
      </c>
      <c r="E6830" s="1" t="str">
        <f>IFERROR(__xludf.DUMMYFUNCTION("GOOGLETRANSLATE(D6830,""PT"",""EN"")"),"I have been cooperated for a long time, always paid my invoices up to date is trying to have a healthy relationship with the cooperative but about the release of credit in Sicoob leaves much to be desired.")</f>
        <v>I have been cooperated for a long time, always paid my invoices up to date is trying to have a healthy relationship with the cooperative but about the release of credit in Sicoob leaves much to be desired.</v>
      </c>
    </row>
    <row r="6831" ht="14.25" customHeight="1">
      <c r="A6831" s="1">
        <v>100.0</v>
      </c>
      <c r="B6831" s="1" t="s">
        <v>2969</v>
      </c>
      <c r="C6831" s="1">
        <v>10.0</v>
      </c>
      <c r="D6831" s="1" t="s">
        <v>6</v>
      </c>
      <c r="E6831" s="1"/>
    </row>
    <row r="6832" ht="14.25" customHeight="1">
      <c r="A6832" s="1">
        <v>33.0</v>
      </c>
      <c r="B6832" s="1" t="s">
        <v>2969</v>
      </c>
      <c r="C6832" s="1">
        <v>0.0</v>
      </c>
      <c r="D6832" s="2" t="s">
        <v>3122</v>
      </c>
      <c r="E6832" s="1" t="str">
        <f>IFERROR(__xludf.DUMMYFUNCTION("GOOGLETRANSLATE(D6832,""PT"",""EN"")"),"I tried to cancel my account I went to the agency of my city not to do anything because the digital account opened with Sicoob Digital has to do the bunch of things when it was to open it was fast")</f>
        <v>I tried to cancel my account I went to the agency of my city not to do anything because the digital account opened with Sicoob Digital has to do the bunch of things when it was to open it was fast</v>
      </c>
    </row>
    <row r="6833" ht="14.25" customHeight="1">
      <c r="A6833" s="1">
        <v>100.0</v>
      </c>
      <c r="B6833" s="1" t="s">
        <v>2969</v>
      </c>
      <c r="C6833" s="1">
        <v>10.0</v>
      </c>
      <c r="D6833" s="1" t="s">
        <v>6</v>
      </c>
      <c r="E6833" s="1"/>
    </row>
    <row r="6834" ht="14.25" customHeight="1">
      <c r="A6834" s="1">
        <v>100.0</v>
      </c>
      <c r="B6834" s="1" t="s">
        <v>2969</v>
      </c>
      <c r="C6834" s="1">
        <v>10.0</v>
      </c>
      <c r="D6834" s="1" t="s">
        <v>20</v>
      </c>
      <c r="E6834" s="1" t="str">
        <f>IFERROR(__xludf.DUMMYFUNCTION("GOOGLETRANSLATE(D6834,""PT"",""EN"")"),"Very good")</f>
        <v>Very good</v>
      </c>
    </row>
    <row r="6835" ht="14.25" customHeight="1">
      <c r="A6835" s="1">
        <v>33.0</v>
      </c>
      <c r="B6835" s="1" t="s">
        <v>2969</v>
      </c>
      <c r="C6835" s="1">
        <v>4.0</v>
      </c>
      <c r="D6835" s="2" t="s">
        <v>3123</v>
      </c>
      <c r="E6835" s="1" t="str">
        <f>IFERROR(__xludf.DUMMYFUNCTION("GOOGLETRANSLATE(D6835,""PT"",""EN"")"),"Complicated app is not release credit")</f>
        <v>Complicated app is not release credit</v>
      </c>
    </row>
    <row r="6836" ht="14.25" customHeight="1">
      <c r="A6836" s="1">
        <v>100.0</v>
      </c>
      <c r="B6836" s="1" t="s">
        <v>2969</v>
      </c>
      <c r="C6836" s="1">
        <v>10.0</v>
      </c>
      <c r="D6836" s="1" t="s">
        <v>6</v>
      </c>
      <c r="E6836" s="1"/>
    </row>
    <row r="6837" ht="14.25" customHeight="1">
      <c r="A6837" s="1">
        <v>33.0</v>
      </c>
      <c r="B6837" s="1" t="s">
        <v>2969</v>
      </c>
      <c r="C6837" s="1">
        <v>6.0</v>
      </c>
      <c r="D6837" s="1" t="s">
        <v>6</v>
      </c>
      <c r="E6837" s="1"/>
    </row>
    <row r="6838" ht="14.25" customHeight="1">
      <c r="A6838" s="1">
        <v>100.0</v>
      </c>
      <c r="B6838" s="1" t="s">
        <v>2969</v>
      </c>
      <c r="C6838" s="1">
        <v>10.0</v>
      </c>
      <c r="D6838" s="1" t="s">
        <v>6</v>
      </c>
      <c r="E6838" s="1"/>
    </row>
    <row r="6839" ht="14.25" customHeight="1">
      <c r="A6839" s="1">
        <v>100.0</v>
      </c>
      <c r="B6839" s="1" t="s">
        <v>2969</v>
      </c>
      <c r="C6839" s="1">
        <v>10.0</v>
      </c>
      <c r="D6839" s="1" t="s">
        <v>6</v>
      </c>
      <c r="E6839" s="1"/>
    </row>
    <row r="6840" ht="14.25" customHeight="1">
      <c r="A6840" s="1">
        <v>100.0</v>
      </c>
      <c r="B6840" s="1" t="s">
        <v>2969</v>
      </c>
      <c r="C6840" s="1">
        <v>10.0</v>
      </c>
      <c r="D6840" s="2" t="s">
        <v>3124</v>
      </c>
      <c r="E6840" s="1" t="str">
        <f>IFERROR(__xludf.DUMMYFUNCTION("GOOGLETRANSLATE(D6840,""PT"",""EN"")"),"Fast and helpful service")</f>
        <v>Fast and helpful service</v>
      </c>
    </row>
    <row r="6841" ht="14.25" customHeight="1">
      <c r="A6841" s="1">
        <v>33.0</v>
      </c>
      <c r="B6841" s="1" t="s">
        <v>2969</v>
      </c>
      <c r="C6841" s="1">
        <v>0.0</v>
      </c>
      <c r="D6841" s="1" t="s">
        <v>3125</v>
      </c>
      <c r="E6841" s="1" t="str">
        <f>IFERROR(__xludf.DUMMYFUNCTION("GOOGLETRANSLATE(D6841,""PT"",""EN"")"),"Many annoyances")</f>
        <v>Many annoyances</v>
      </c>
    </row>
    <row r="6842" ht="14.25" customHeight="1">
      <c r="A6842" s="1">
        <v>100.0</v>
      </c>
      <c r="B6842" s="1" t="s">
        <v>2969</v>
      </c>
      <c r="C6842" s="1">
        <v>10.0</v>
      </c>
      <c r="D6842" s="1" t="s">
        <v>3126</v>
      </c>
      <c r="E6842" s="1" t="str">
        <f>IFERROR(__xludf.DUMMYFUNCTION("GOOGLETRANSLATE(D6842,""PT"",""EN"")"),"Trust.")</f>
        <v>Trust.</v>
      </c>
    </row>
    <row r="6843" ht="14.25" customHeight="1">
      <c r="A6843" s="1">
        <v>100.0</v>
      </c>
      <c r="B6843" s="1" t="s">
        <v>2969</v>
      </c>
      <c r="C6843" s="1">
        <v>10.0</v>
      </c>
      <c r="D6843" s="1" t="s">
        <v>3127</v>
      </c>
      <c r="E6843" s="1" t="str">
        <f>IFERROR(__xludf.DUMMYFUNCTION("GOOGLETRANSLATE(D6843,""PT"",""EN"")"),"YES")</f>
        <v>YES</v>
      </c>
    </row>
    <row r="6844" ht="14.25" customHeight="1">
      <c r="A6844" s="1">
        <v>33.0</v>
      </c>
      <c r="B6844" s="1" t="s">
        <v>2969</v>
      </c>
      <c r="C6844" s="1">
        <v>0.0</v>
      </c>
      <c r="D6844" s="1" t="s">
        <v>6</v>
      </c>
      <c r="E6844" s="1"/>
    </row>
    <row r="6845" ht="14.25" customHeight="1">
      <c r="A6845" s="1">
        <v>100.0</v>
      </c>
      <c r="B6845" s="1" t="s">
        <v>2969</v>
      </c>
      <c r="C6845" s="1">
        <v>9.0</v>
      </c>
      <c r="D6845" s="1" t="s">
        <v>3128</v>
      </c>
      <c r="E6845" s="1" t="str">
        <f>IFERROR(__xludf.DUMMYFUNCTION("GOOGLETRANSLATE(D6845,""PT"",""EN"")"),"The good services provided.")</f>
        <v>The good services provided.</v>
      </c>
    </row>
    <row r="6846" ht="14.25" customHeight="1">
      <c r="A6846" s="1">
        <v>100.0</v>
      </c>
      <c r="B6846" s="1" t="s">
        <v>2969</v>
      </c>
      <c r="C6846" s="1">
        <v>10.0</v>
      </c>
      <c r="D6846" s="1" t="s">
        <v>3129</v>
      </c>
      <c r="E6846" s="1" t="str">
        <f>IFERROR(__xludf.DUMMYFUNCTION("GOOGLETRANSLATE(D6846,""PT"",""EN"")"),"Quality of presentations in the lectures scheduled for 12/06/223")</f>
        <v>Quality of presentations in the lectures scheduled for 12/06/223</v>
      </c>
    </row>
    <row r="6847" ht="14.25" customHeight="1">
      <c r="A6847" s="1">
        <v>100.0</v>
      </c>
      <c r="B6847" s="1" t="s">
        <v>2969</v>
      </c>
      <c r="C6847" s="1">
        <v>10.0</v>
      </c>
      <c r="D6847" s="1" t="s">
        <v>6</v>
      </c>
      <c r="E6847" s="1"/>
    </row>
    <row r="6848" ht="14.25" customHeight="1">
      <c r="A6848" s="1">
        <v>33.0</v>
      </c>
      <c r="B6848" s="1" t="s">
        <v>2969</v>
      </c>
      <c r="C6848" s="1">
        <v>1.0</v>
      </c>
      <c r="D6848" s="2" t="s">
        <v>3130</v>
      </c>
      <c r="E6848" s="1" t="str">
        <f>IFERROR(__xludf.DUMMYFUNCTION("GOOGLETRANSLATE(D6848,""PT"",""EN"")"),"For a few years, I feel that our Credfaz is no longer before.")</f>
        <v>For a few years, I feel that our Credfaz is no longer before.</v>
      </c>
    </row>
    <row r="6849" ht="14.25" customHeight="1">
      <c r="A6849" s="1">
        <v>100.0</v>
      </c>
      <c r="B6849" s="1" t="s">
        <v>2969</v>
      </c>
      <c r="C6849" s="1">
        <v>10.0</v>
      </c>
      <c r="D6849" s="1" t="s">
        <v>6</v>
      </c>
      <c r="E6849" s="1"/>
    </row>
    <row r="6850" ht="14.25" customHeight="1">
      <c r="A6850" s="1">
        <v>100.0</v>
      </c>
      <c r="B6850" s="1" t="s">
        <v>2969</v>
      </c>
      <c r="C6850" s="1">
        <v>10.0</v>
      </c>
      <c r="D6850" s="1" t="s">
        <v>6</v>
      </c>
      <c r="E6850" s="1"/>
    </row>
    <row r="6851" ht="14.25" customHeight="1">
      <c r="A6851" s="1">
        <v>100.0</v>
      </c>
      <c r="B6851" s="1" t="s">
        <v>2969</v>
      </c>
      <c r="C6851" s="1">
        <v>10.0</v>
      </c>
      <c r="D6851" s="1" t="s">
        <v>3131</v>
      </c>
      <c r="E6851" s="1" t="str">
        <f>IFERROR(__xludf.DUMMYFUNCTION("GOOGLETRANSLATE(D6851,""PT"",""EN"")"),"Good service so far")</f>
        <v>Good service so far</v>
      </c>
    </row>
    <row r="6852" ht="14.25" customHeight="1">
      <c r="A6852" s="1">
        <v>33.0</v>
      </c>
      <c r="B6852" s="1" t="s">
        <v>2969</v>
      </c>
      <c r="C6852" s="1">
        <v>2.0</v>
      </c>
      <c r="D6852" s="2" t="s">
        <v>3132</v>
      </c>
      <c r="E6852" s="1" t="str">
        <f>IFERROR(__xludf.DUMMYFUNCTION("GOOGLETRANSLATE(D6852,""PT"",""EN"")"),"The leftovers of the members. Very low! Each year, I see exorbitantly fall. Our motivation to bring our debt from our bank to the cooperative, I see that it is not worth ... deceit.")</f>
        <v>The leftovers of the members. Very low! Each year, I see exorbitantly fall. Our motivation to bring our debt from our bank to the cooperative, I see that it is not worth ... deceit.</v>
      </c>
    </row>
    <row r="6853" ht="14.25" customHeight="1">
      <c r="A6853" s="1">
        <v>33.0</v>
      </c>
      <c r="B6853" s="1" t="s">
        <v>2969</v>
      </c>
      <c r="C6853" s="1">
        <v>6.0</v>
      </c>
      <c r="D6853" s="1" t="s">
        <v>6</v>
      </c>
      <c r="E6853" s="1"/>
    </row>
    <row r="6854" ht="14.25" customHeight="1">
      <c r="A6854" s="1">
        <v>100.0</v>
      </c>
      <c r="B6854" s="1" t="s">
        <v>2969</v>
      </c>
      <c r="C6854" s="1">
        <v>10.0</v>
      </c>
      <c r="D6854" s="1" t="s">
        <v>3133</v>
      </c>
      <c r="E6854" s="1" t="str">
        <f>IFERROR(__xludf.DUMMYFUNCTION("GOOGLETRANSLATE(D6854,""PT"",""EN"")"),"The use of various modalities of the Credfaz cooperative.")</f>
        <v>The use of various modalities of the Credfaz cooperative.</v>
      </c>
    </row>
    <row r="6855" ht="14.25" customHeight="1">
      <c r="A6855" s="1">
        <v>100.0</v>
      </c>
      <c r="B6855" s="1" t="s">
        <v>2969</v>
      </c>
      <c r="C6855" s="1">
        <v>10.0</v>
      </c>
      <c r="D6855" s="1" t="s">
        <v>6</v>
      </c>
      <c r="E6855" s="1"/>
    </row>
    <row r="6856" ht="14.25" customHeight="1">
      <c r="A6856" s="1">
        <v>33.0</v>
      </c>
      <c r="B6856" s="1" t="s">
        <v>2969</v>
      </c>
      <c r="C6856" s="1">
        <v>2.0</v>
      </c>
      <c r="D6856" s="2" t="s">
        <v>3134</v>
      </c>
      <c r="E6856" s="1" t="str">
        <f>IFERROR(__xludf.DUMMYFUNCTION("GOOGLETRANSLATE(D6856,""PT"",""EN"")"),"terrible attendance!!!")</f>
        <v>terrible attendance!!!</v>
      </c>
    </row>
    <row r="6857" ht="14.25" customHeight="1">
      <c r="A6857" s="1">
        <v>33.0</v>
      </c>
      <c r="B6857" s="1" t="s">
        <v>2969</v>
      </c>
      <c r="C6857" s="1">
        <v>0.0</v>
      </c>
      <c r="D6857" s="1" t="s">
        <v>6</v>
      </c>
      <c r="E6857" s="1"/>
    </row>
    <row r="6858" ht="14.25" customHeight="1">
      <c r="A6858" s="1">
        <v>33.0</v>
      </c>
      <c r="B6858" s="1" t="s">
        <v>2969</v>
      </c>
      <c r="C6858" s="1">
        <v>0.0</v>
      </c>
      <c r="D6858" s="1" t="s">
        <v>3135</v>
      </c>
      <c r="E6858" s="1" t="str">
        <f>IFERROR(__xludf.DUMMYFUNCTION("GOOGLETRANSLATE(D6858,""PT"",""EN"")"),"Credfaz is a marginal company (in simple words, one daughter of the other).")</f>
        <v>Credfaz is a marginal company (in simple words, one daughter of the other).</v>
      </c>
    </row>
    <row r="6859" ht="14.25" customHeight="1">
      <c r="A6859" s="1">
        <v>33.0</v>
      </c>
      <c r="B6859" s="1" t="s">
        <v>2969</v>
      </c>
      <c r="C6859" s="1">
        <v>6.0</v>
      </c>
      <c r="D6859" s="1" t="s">
        <v>6</v>
      </c>
      <c r="E6859" s="1"/>
    </row>
    <row r="6860" ht="14.25" customHeight="1">
      <c r="A6860" s="1">
        <v>100.0</v>
      </c>
      <c r="B6860" s="1" t="s">
        <v>2969</v>
      </c>
      <c r="C6860" s="1">
        <v>10.0</v>
      </c>
      <c r="D6860" s="1" t="s">
        <v>6</v>
      </c>
      <c r="E6860" s="1"/>
    </row>
    <row r="6861" ht="14.25" customHeight="1">
      <c r="A6861" s="1">
        <v>100.0</v>
      </c>
      <c r="B6861" s="1" t="s">
        <v>2969</v>
      </c>
      <c r="C6861" s="1">
        <v>9.0</v>
      </c>
      <c r="D6861" s="1" t="s">
        <v>3136</v>
      </c>
      <c r="E6861" s="1" t="str">
        <f>IFERROR(__xludf.DUMMYFUNCTION("GOOGLETRANSLATE(D6861,""PT"",""EN"")"),"Efficient bank")</f>
        <v>Efficient bank</v>
      </c>
    </row>
    <row r="6862" ht="14.25" customHeight="1">
      <c r="A6862" s="1">
        <v>100.0</v>
      </c>
      <c r="B6862" s="1" t="s">
        <v>2969</v>
      </c>
      <c r="C6862" s="1">
        <v>10.0</v>
      </c>
      <c r="D6862" s="1" t="s">
        <v>3137</v>
      </c>
      <c r="E6862" s="1" t="str">
        <f>IFERROR(__xludf.DUMMYFUNCTION("GOOGLETRANSLATE(D6862,""PT"",""EN"")"),"Excellent system.")</f>
        <v>Excellent system.</v>
      </c>
    </row>
    <row r="6863" ht="14.25" customHeight="1">
      <c r="A6863" s="1">
        <v>100.0</v>
      </c>
      <c r="B6863" s="1" t="s">
        <v>2969</v>
      </c>
      <c r="C6863" s="1">
        <v>10.0</v>
      </c>
      <c r="D6863" s="1" t="s">
        <v>6</v>
      </c>
      <c r="E6863" s="1"/>
    </row>
    <row r="6864" ht="14.25" customHeight="1">
      <c r="A6864" s="1">
        <v>100.0</v>
      </c>
      <c r="B6864" s="1" t="s">
        <v>2969</v>
      </c>
      <c r="C6864" s="1">
        <v>10.0</v>
      </c>
      <c r="D6864" s="1" t="s">
        <v>6</v>
      </c>
      <c r="E6864" s="1"/>
    </row>
    <row r="6865" ht="14.25" customHeight="1">
      <c r="A6865" s="1">
        <v>66.0</v>
      </c>
      <c r="B6865" s="1" t="s">
        <v>2969</v>
      </c>
      <c r="C6865" s="1">
        <v>8.0</v>
      </c>
      <c r="D6865" s="1" t="s">
        <v>6</v>
      </c>
      <c r="E6865" s="1"/>
    </row>
    <row r="6866" ht="14.25" customHeight="1">
      <c r="A6866" s="1">
        <v>100.0</v>
      </c>
      <c r="B6866" s="1" t="s">
        <v>2969</v>
      </c>
      <c r="C6866" s="1">
        <v>10.0</v>
      </c>
      <c r="D6866" s="1" t="s">
        <v>3138</v>
      </c>
      <c r="E6866" s="1" t="str">
        <f>IFERROR(__xludf.DUMMYFUNCTION("GOOGLETRANSLATE(D6866,""PT"",""EN"")"),"Service offer.")</f>
        <v>Service offer.</v>
      </c>
    </row>
    <row r="6867" ht="14.25" customHeight="1">
      <c r="A6867" s="1">
        <v>100.0</v>
      </c>
      <c r="B6867" s="1" t="s">
        <v>2969</v>
      </c>
      <c r="C6867" s="1">
        <v>10.0</v>
      </c>
      <c r="D6867" s="1" t="s">
        <v>1838</v>
      </c>
      <c r="E6867" s="1" t="str">
        <f>IFERROR(__xludf.DUMMYFUNCTION("GOOGLETRANSLATE(D6867,""PT"",""EN"")"),"The excellent service")</f>
        <v>The excellent service</v>
      </c>
    </row>
    <row r="6868" ht="14.25" customHeight="1">
      <c r="A6868" s="1">
        <v>100.0</v>
      </c>
      <c r="B6868" s="1" t="s">
        <v>2969</v>
      </c>
      <c r="C6868" s="1">
        <v>10.0</v>
      </c>
      <c r="D6868" s="1" t="s">
        <v>3139</v>
      </c>
      <c r="E6868" s="1" t="str">
        <f>IFERROR(__xludf.DUMMYFUNCTION("GOOGLETRANSLATE(D6868,""PT"",""EN"")"),"Digital services are good")</f>
        <v>Digital services are good</v>
      </c>
    </row>
    <row r="6869" ht="14.25" customHeight="1">
      <c r="A6869" s="1">
        <v>66.0</v>
      </c>
      <c r="B6869" s="1" t="s">
        <v>2969</v>
      </c>
      <c r="C6869" s="1">
        <v>8.0</v>
      </c>
      <c r="D6869" s="2" t="s">
        <v>3140</v>
      </c>
      <c r="E6869" s="1" t="str">
        <f>IFERROR(__xludf.DUMMYFUNCTION("GOOGLETRANSLATE(D6869,""PT"",""EN"")"),"Sicoob still charges an annuity on the card. Will charge to invest in variable income. Nu Invest does not charge. I have application in Sicoob. I would like to be able to do everything only in Sicoob.")</f>
        <v>Sicoob still charges an annuity on the card. Will charge to invest in variable income. Nu Invest does not charge. I have application in Sicoob. I would like to be able to do everything only in Sicoob.</v>
      </c>
    </row>
    <row r="6870" ht="14.25" customHeight="1">
      <c r="A6870" s="1">
        <v>100.0</v>
      </c>
      <c r="B6870" s="1" t="s">
        <v>2969</v>
      </c>
      <c r="C6870" s="1">
        <v>10.0</v>
      </c>
      <c r="D6870" s="1" t="s">
        <v>6</v>
      </c>
      <c r="E6870" s="1"/>
    </row>
    <row r="6871" ht="14.25" customHeight="1">
      <c r="A6871" s="1">
        <v>100.0</v>
      </c>
      <c r="B6871" s="1" t="s">
        <v>2969</v>
      </c>
      <c r="C6871" s="1">
        <v>9.0</v>
      </c>
      <c r="D6871" s="2" t="s">
        <v>3141</v>
      </c>
      <c r="E6871" s="1" t="str">
        <f>IFERROR(__xludf.DUMMYFUNCTION("GOOGLETRANSLATE(D6871,""PT"",""EN"")"),"Good service is to offer good products")</f>
        <v>Good service is to offer good products</v>
      </c>
    </row>
    <row r="6872" ht="14.25" customHeight="1">
      <c r="A6872" s="1">
        <v>100.0</v>
      </c>
      <c r="B6872" s="1" t="s">
        <v>2969</v>
      </c>
      <c r="C6872" s="1">
        <v>10.0</v>
      </c>
      <c r="D6872" s="2" t="s">
        <v>3142</v>
      </c>
      <c r="E6872" s="1" t="str">
        <f>IFERROR(__xludf.DUMMYFUNCTION("GOOGLETRANSLATE(D6872,""PT"",""EN"")"),"In addition to great service make customers feel special")</f>
        <v>In addition to great service make customers feel special</v>
      </c>
    </row>
    <row r="6873" ht="14.25" customHeight="1">
      <c r="A6873" s="1">
        <v>33.0</v>
      </c>
      <c r="B6873" s="1" t="s">
        <v>2969</v>
      </c>
      <c r="C6873" s="1">
        <v>3.0</v>
      </c>
      <c r="D6873" s="2" t="s">
        <v>3143</v>
      </c>
      <c r="E6873" s="1" t="str">
        <f>IFERROR(__xludf.DUMMYFUNCTION("GOOGLETRANSLATE(D6873,""PT"",""EN"")"),"All loan processes were difficult, the amount received by the distribution of leftovers, although it has several operations with the institution, was absolutely derisory, in more than 20 years as associate, I felt injured.")</f>
        <v>All loan processes were difficult, the amount received by the distribution of leftovers, although it has several operations with the institution, was absolutely derisory, in more than 20 years as associate, I felt injured.</v>
      </c>
    </row>
    <row r="6874" ht="14.25" customHeight="1">
      <c r="A6874" s="1">
        <v>100.0</v>
      </c>
      <c r="B6874" s="1" t="s">
        <v>2969</v>
      </c>
      <c r="C6874" s="1">
        <v>10.0</v>
      </c>
      <c r="D6874" s="1" t="s">
        <v>6</v>
      </c>
      <c r="E6874" s="1"/>
    </row>
    <row r="6875" ht="14.25" customHeight="1">
      <c r="A6875" s="1">
        <v>100.0</v>
      </c>
      <c r="B6875" s="1" t="s">
        <v>2969</v>
      </c>
      <c r="C6875" s="1">
        <v>10.0</v>
      </c>
      <c r="D6875" s="2" t="s">
        <v>3144</v>
      </c>
      <c r="E6875" s="1" t="str">
        <f>IFERROR(__xludf.DUMMYFUNCTION("GOOGLETRANSLATE(D6875,""PT"",""EN"")"),"I am cooperative for many years is always able to count on Sicoob, so I recommend.")</f>
        <v>I am cooperative for many years is always able to count on Sicoob, so I recommend.</v>
      </c>
    </row>
    <row r="6876" ht="14.25" customHeight="1">
      <c r="A6876" s="1">
        <v>100.0</v>
      </c>
      <c r="B6876" s="1" t="s">
        <v>2969</v>
      </c>
      <c r="C6876" s="1">
        <v>10.0</v>
      </c>
      <c r="D6876" s="2" t="s">
        <v>3145</v>
      </c>
      <c r="E6876" s="1" t="str">
        <f>IFERROR(__xludf.DUMMYFUNCTION("GOOGLETRANSLATE(D6876,""PT"",""EN"")"),"I'm Credfaz delegate, it's always disclosing I I'm Credfaz delegate, it's always disclosing I I'm Credfz delegate I'm Credfaz delegate, it's always disclosing Sicoob")</f>
        <v>I'm Credfaz delegate, it's always disclosing I I'm Credfaz delegate, it's always disclosing I I'm Credfz delegate I'm Credfaz delegate, it's always disclosing Sicoob</v>
      </c>
    </row>
    <row r="6877" ht="14.25" customHeight="1">
      <c r="A6877" s="1">
        <v>100.0</v>
      </c>
      <c r="B6877" s="1" t="s">
        <v>2969</v>
      </c>
      <c r="C6877" s="1">
        <v>10.0</v>
      </c>
      <c r="D6877" s="2" t="s">
        <v>22</v>
      </c>
      <c r="E6877" s="1" t="str">
        <f>IFERROR(__xludf.DUMMYFUNCTION("GOOGLETRANSLATE(D6877,""PT"",""EN"")"),"Excellent service")</f>
        <v>Excellent service</v>
      </c>
    </row>
    <row r="6878" ht="14.25" customHeight="1">
      <c r="A6878" s="1">
        <v>100.0</v>
      </c>
      <c r="B6878" s="1" t="s">
        <v>2969</v>
      </c>
      <c r="C6878" s="1">
        <v>10.0</v>
      </c>
      <c r="D6878" s="1" t="s">
        <v>6</v>
      </c>
      <c r="E6878" s="1"/>
    </row>
    <row r="6879" ht="14.25" customHeight="1">
      <c r="A6879" s="1">
        <v>100.0</v>
      </c>
      <c r="B6879" s="1" t="s">
        <v>2969</v>
      </c>
      <c r="C6879" s="1">
        <v>10.0</v>
      </c>
      <c r="D6879" s="1" t="s">
        <v>3146</v>
      </c>
      <c r="E6879" s="1" t="str">
        <f>IFERROR(__xludf.DUMMYFUNCTION("GOOGLETRANSLATE(D6879,""PT"",""EN"")"),"Ease in Agencies")</f>
        <v>Ease in Agencies</v>
      </c>
    </row>
    <row r="6880" ht="14.25" customHeight="1">
      <c r="A6880" s="1">
        <v>100.0</v>
      </c>
      <c r="B6880" s="1" t="s">
        <v>2969</v>
      </c>
      <c r="C6880" s="1">
        <v>10.0</v>
      </c>
      <c r="D6880" s="2" t="s">
        <v>3147</v>
      </c>
      <c r="E6880" s="1" t="str">
        <f>IFERROR(__xludf.DUMMYFUNCTION("GOOGLETRANSLATE(D6880,""PT"",""EN"")"),"Promptness, agility is treatment")</f>
        <v>Promptness, agility is treatment</v>
      </c>
    </row>
    <row r="6881" ht="14.25" customHeight="1">
      <c r="A6881" s="1">
        <v>100.0</v>
      </c>
      <c r="B6881" s="1" t="s">
        <v>2969</v>
      </c>
      <c r="C6881" s="1">
        <v>10.0</v>
      </c>
      <c r="D6881" s="1" t="s">
        <v>6</v>
      </c>
      <c r="E6881" s="1"/>
    </row>
    <row r="6882" ht="14.25" customHeight="1">
      <c r="A6882" s="1">
        <v>100.0</v>
      </c>
      <c r="B6882" s="1" t="s">
        <v>2969</v>
      </c>
      <c r="C6882" s="1">
        <v>9.0</v>
      </c>
      <c r="D6882" s="1" t="s">
        <v>654</v>
      </c>
      <c r="E6882" s="1" t="str">
        <f>IFERROR(__xludf.DUMMYFUNCTION("GOOGLETRANSLATE(D6882,""PT"",""EN"")"),"trust")</f>
        <v>trust</v>
      </c>
    </row>
    <row r="6883" ht="14.25" customHeight="1">
      <c r="A6883" s="1">
        <v>33.0</v>
      </c>
      <c r="B6883" s="1" t="s">
        <v>2969</v>
      </c>
      <c r="C6883" s="1">
        <v>3.0</v>
      </c>
      <c r="D6883" s="1" t="s">
        <v>6</v>
      </c>
      <c r="E6883" s="1"/>
    </row>
    <row r="6884" ht="14.25" customHeight="1">
      <c r="A6884" s="1">
        <v>33.0</v>
      </c>
      <c r="B6884" s="1" t="s">
        <v>2969</v>
      </c>
      <c r="C6884" s="1">
        <v>2.0</v>
      </c>
      <c r="D6884" s="1" t="s">
        <v>6</v>
      </c>
      <c r="E6884" s="1"/>
    </row>
    <row r="6885" ht="14.25" customHeight="1">
      <c r="A6885" s="1">
        <v>33.0</v>
      </c>
      <c r="B6885" s="1" t="s">
        <v>2969</v>
      </c>
      <c r="C6885" s="1">
        <v>4.0</v>
      </c>
      <c r="D6885" s="2" t="s">
        <v>3148</v>
      </c>
      <c r="E6885" s="1" t="str">
        <f>IFERROR(__xludf.DUMMYFUNCTION("GOOGLETRANSLATE(D6885,""PT"",""EN"")"),"Lately Sicoob is leaving much to be desired, that is, I am not satisfied with the services")</f>
        <v>Lately Sicoob is leaving much to be desired, that is, I am not satisfied with the services</v>
      </c>
    </row>
    <row r="6886" ht="14.25" customHeight="1">
      <c r="A6886" s="1">
        <v>100.0</v>
      </c>
      <c r="B6886" s="1" t="s">
        <v>2969</v>
      </c>
      <c r="C6886" s="1">
        <v>10.0</v>
      </c>
      <c r="D6886" s="1" t="s">
        <v>6</v>
      </c>
      <c r="E6886" s="1"/>
    </row>
    <row r="6887" ht="14.25" customHeight="1">
      <c r="A6887" s="1">
        <v>100.0</v>
      </c>
      <c r="B6887" s="1" t="s">
        <v>2969</v>
      </c>
      <c r="C6887" s="1">
        <v>9.0</v>
      </c>
      <c r="D6887" s="1" t="s">
        <v>3149</v>
      </c>
      <c r="E6887" s="1" t="str">
        <f>IFERROR(__xludf.DUMMYFUNCTION("GOOGLETRANSLATE(D6887,""PT"",""EN"")"),"Good for all areas.")</f>
        <v>Good for all areas.</v>
      </c>
    </row>
    <row r="6888" ht="14.25" customHeight="1">
      <c r="A6888" s="1">
        <v>100.0</v>
      </c>
      <c r="B6888" s="1" t="s">
        <v>2969</v>
      </c>
      <c r="C6888" s="1">
        <v>10.0</v>
      </c>
      <c r="D6888" s="1" t="s">
        <v>9</v>
      </c>
      <c r="E6888" s="1" t="str">
        <f>IFERROR(__xludf.DUMMYFUNCTION("GOOGLETRANSLATE(D6888,""PT"",""EN"")"),"10")</f>
        <v>10</v>
      </c>
    </row>
    <row r="6889" ht="14.25" customHeight="1">
      <c r="A6889" s="1">
        <v>100.0</v>
      </c>
      <c r="B6889" s="1" t="s">
        <v>2969</v>
      </c>
      <c r="C6889" s="1">
        <v>10.0</v>
      </c>
      <c r="D6889" s="2" t="s">
        <v>3150</v>
      </c>
      <c r="E6889" s="1" t="str">
        <f>IFERROR(__xludf.DUMMYFUNCTION("GOOGLETRANSLATE(D6889,""PT"",""EN"")"),"I love Sicoob")</f>
        <v>I love Sicoob</v>
      </c>
    </row>
    <row r="6890" ht="14.25" customHeight="1">
      <c r="A6890" s="1">
        <v>100.0</v>
      </c>
      <c r="B6890" s="1" t="s">
        <v>2969</v>
      </c>
      <c r="C6890" s="1">
        <v>10.0</v>
      </c>
      <c r="D6890" s="2" t="s">
        <v>1273</v>
      </c>
      <c r="E6890" s="1" t="str">
        <f>IFERROR(__xludf.DUMMYFUNCTION("GOOGLETRANSLATE(D6890,""PT"",""EN"")"),"Rapid service")</f>
        <v>Rapid service</v>
      </c>
    </row>
    <row r="6891" ht="14.25" customHeight="1">
      <c r="A6891" s="1">
        <v>33.0</v>
      </c>
      <c r="B6891" s="1" t="s">
        <v>2969</v>
      </c>
      <c r="C6891" s="1">
        <v>4.0</v>
      </c>
      <c r="D6891" s="2" t="s">
        <v>3151</v>
      </c>
      <c r="E6891" s="1" t="str">
        <f>IFERROR(__xludf.DUMMYFUNCTION("GOOGLETRANSLATE(D6891,""PT"",""EN"")"),"I can't unlock my card by phone because registration divergences appear I don't know why. I already made email requesting update. I am undergoing cancer treatment I need to withdraw a value that was returned in my checking account is I can not.")</f>
        <v>I can't unlock my card by phone because registration divergences appear I don't know why. I already made email requesting update. I am undergoing cancer treatment I need to withdraw a value that was returned in my checking account is I can not.</v>
      </c>
    </row>
    <row r="6892" ht="14.25" customHeight="1">
      <c r="A6892" s="1">
        <v>100.0</v>
      </c>
      <c r="B6892" s="1" t="s">
        <v>2969</v>
      </c>
      <c r="C6892" s="1">
        <v>10.0</v>
      </c>
      <c r="D6892" s="2" t="s">
        <v>3152</v>
      </c>
      <c r="E6892" s="1" t="str">
        <f>IFERROR(__xludf.DUMMYFUNCTION("GOOGLETRANSLATE(D6892,""PT"",""EN"")"),"I am always well attended by Sicoob employees")</f>
        <v>I am always well attended by Sicoob employees</v>
      </c>
    </row>
    <row r="6893" ht="14.25" customHeight="1">
      <c r="A6893" s="1">
        <v>100.0</v>
      </c>
      <c r="B6893" s="1" t="s">
        <v>2969</v>
      </c>
      <c r="C6893" s="1">
        <v>10.0</v>
      </c>
      <c r="D6893" s="2" t="s">
        <v>3153</v>
      </c>
      <c r="E6893" s="1" t="str">
        <f>IFERROR(__xludf.DUMMYFUNCTION("GOOGLETRANSLATE(D6893,""PT"",""EN"")"),"Excellent service and products. Reliability")</f>
        <v>Excellent service and products. Reliability</v>
      </c>
    </row>
    <row r="6894" ht="14.25" customHeight="1">
      <c r="A6894" s="1">
        <v>100.0</v>
      </c>
      <c r="B6894" s="1" t="s">
        <v>2969</v>
      </c>
      <c r="C6894" s="1">
        <v>9.0</v>
      </c>
      <c r="D6894" s="1" t="s">
        <v>3154</v>
      </c>
      <c r="E6894" s="1" t="str">
        <f>IFERROR(__xludf.DUMMYFUNCTION("GOOGLETRANSLATE(D6894,""PT"",""EN"")"),"Very kind employee. Even with the delay in response, because too much tasks solved my problem.")</f>
        <v>Very kind employee. Even with the delay in response, because too much tasks solved my problem.</v>
      </c>
    </row>
    <row r="6895" ht="14.25" customHeight="1">
      <c r="A6895" s="1">
        <v>100.0</v>
      </c>
      <c r="B6895" s="1" t="s">
        <v>2969</v>
      </c>
      <c r="C6895" s="1">
        <v>10.0</v>
      </c>
      <c r="D6895" s="1" t="s">
        <v>9</v>
      </c>
      <c r="E6895" s="1" t="str">
        <f>IFERROR(__xludf.DUMMYFUNCTION("GOOGLETRANSLATE(D6895,""PT"",""EN"")"),"10")</f>
        <v>10</v>
      </c>
    </row>
    <row r="6896" ht="14.25" customHeight="1">
      <c r="A6896" s="1">
        <v>100.0</v>
      </c>
      <c r="B6896" s="1" t="s">
        <v>2969</v>
      </c>
      <c r="C6896" s="1">
        <v>10.0</v>
      </c>
      <c r="D6896" s="1" t="s">
        <v>6</v>
      </c>
      <c r="E6896" s="1"/>
    </row>
    <row r="6897" ht="14.25" customHeight="1">
      <c r="A6897" s="1">
        <v>100.0</v>
      </c>
      <c r="B6897" s="1" t="s">
        <v>2969</v>
      </c>
      <c r="C6897" s="1">
        <v>10.0</v>
      </c>
      <c r="D6897" s="1" t="s">
        <v>3155</v>
      </c>
      <c r="E6897" s="1" t="str">
        <f>IFERROR(__xludf.DUMMYFUNCTION("GOOGLETRANSLATE(D6897,""PT"",""EN"")"),"For the personalized service!")</f>
        <v>For the personalized service!</v>
      </c>
    </row>
    <row r="6898" ht="14.25" customHeight="1">
      <c r="A6898" s="1">
        <v>100.0</v>
      </c>
      <c r="B6898" s="1" t="s">
        <v>2969</v>
      </c>
      <c r="C6898" s="1">
        <v>10.0</v>
      </c>
      <c r="D6898" s="1" t="s">
        <v>6</v>
      </c>
      <c r="E6898" s="1"/>
    </row>
    <row r="6899" ht="14.25" customHeight="1">
      <c r="A6899" s="1">
        <v>100.0</v>
      </c>
      <c r="B6899" s="1" t="s">
        <v>2969</v>
      </c>
      <c r="C6899" s="1">
        <v>10.0</v>
      </c>
      <c r="D6899" s="1" t="s">
        <v>3156</v>
      </c>
      <c r="E6899" s="1"/>
    </row>
    <row r="6900" ht="14.25" customHeight="1">
      <c r="A6900" s="1">
        <v>100.0</v>
      </c>
      <c r="B6900" s="1" t="s">
        <v>2969</v>
      </c>
      <c r="C6900" s="1">
        <v>10.0</v>
      </c>
      <c r="D6900" s="2" t="s">
        <v>3157</v>
      </c>
      <c r="E6900" s="1" t="str">
        <f>IFERROR(__xludf.DUMMYFUNCTION("GOOGLETRANSLATE(D6900,""PT"",""EN"")"),"Financial health is the seriousness of the company is also distribution of leftovers")</f>
        <v>Financial health is the seriousness of the company is also distribution of leftovers</v>
      </c>
    </row>
    <row r="6901" ht="14.25" customHeight="1">
      <c r="A6901" s="1">
        <v>100.0</v>
      </c>
      <c r="B6901" s="1" t="s">
        <v>2969</v>
      </c>
      <c r="C6901" s="1">
        <v>10.0</v>
      </c>
      <c r="D6901" s="1" t="s">
        <v>6</v>
      </c>
      <c r="E6901" s="1"/>
    </row>
    <row r="6902" ht="14.25" customHeight="1">
      <c r="A6902" s="1">
        <v>66.0</v>
      </c>
      <c r="B6902" s="1" t="s">
        <v>2969</v>
      </c>
      <c r="C6902" s="1">
        <v>8.0</v>
      </c>
      <c r="D6902" s="1" t="s">
        <v>6</v>
      </c>
      <c r="E6902" s="1"/>
    </row>
    <row r="6903" ht="14.25" customHeight="1">
      <c r="A6903" s="1">
        <v>33.0</v>
      </c>
      <c r="B6903" s="1" t="s">
        <v>2969</v>
      </c>
      <c r="C6903" s="1">
        <v>3.0</v>
      </c>
      <c r="D6903" s="2" t="s">
        <v>3158</v>
      </c>
      <c r="E6903" s="1" t="str">
        <f>IFERROR(__xludf.DUMMYFUNCTION("GOOGLETRANSLATE(D6903,""PT"",""EN"")"),"Some behind, I requested loan through Credfaz, it is automatically, the value of the loan portion was discounted, this one of the safety turned into capital, is never returned to me, I already asked to serve me, as I can Indicate to someone with this fail"&amp;"ure?")</f>
        <v>Some behind, I requested loan through Credfaz, it is automatically, the value of the loan portion was discounted, this one of the safety turned into capital, is never returned to me, I already asked to serve me, as I can Indicate to someone with this failure?</v>
      </c>
    </row>
    <row r="6904" ht="14.25" customHeight="1">
      <c r="A6904" s="1">
        <v>100.0</v>
      </c>
      <c r="B6904" s="1" t="s">
        <v>2969</v>
      </c>
      <c r="C6904" s="1">
        <v>10.0</v>
      </c>
      <c r="D6904" s="2" t="s">
        <v>3159</v>
      </c>
      <c r="E6904" s="1" t="str">
        <f>IFERROR(__xludf.DUMMYFUNCTION("GOOGLETRANSLATE(D6904,""PT"",""EN"")"),"accurate information, great service,")</f>
        <v>accurate information, great service,</v>
      </c>
    </row>
    <row r="6905" ht="14.25" customHeight="1">
      <c r="A6905" s="1">
        <v>100.0</v>
      </c>
      <c r="B6905" s="1" t="s">
        <v>2969</v>
      </c>
      <c r="C6905" s="1">
        <v>10.0</v>
      </c>
      <c r="D6905" s="1" t="s">
        <v>6</v>
      </c>
      <c r="E6905" s="1"/>
    </row>
    <row r="6906" ht="14.25" customHeight="1">
      <c r="A6906" s="1">
        <v>100.0</v>
      </c>
      <c r="B6906" s="1" t="s">
        <v>2969</v>
      </c>
      <c r="C6906" s="1">
        <v>10.0</v>
      </c>
      <c r="D6906" s="1" t="s">
        <v>6</v>
      </c>
      <c r="E6906" s="1"/>
    </row>
    <row r="6907" ht="14.25" customHeight="1">
      <c r="A6907" s="1">
        <v>100.0</v>
      </c>
      <c r="B6907" s="1" t="s">
        <v>2969</v>
      </c>
      <c r="C6907" s="1">
        <v>10.0</v>
      </c>
      <c r="D6907" s="2" t="s">
        <v>3160</v>
      </c>
      <c r="E6907" s="1" t="str">
        <f>IFERROR(__xludf.DUMMYFUNCTION("GOOGLETRANSLATE(D6907,""PT"",""EN"")"),"Lower rates is annual leftover distribution.")</f>
        <v>Lower rates is annual leftover distribution.</v>
      </c>
    </row>
    <row r="6908" ht="14.25" customHeight="1">
      <c r="A6908" s="1">
        <v>100.0</v>
      </c>
      <c r="B6908" s="1" t="s">
        <v>2969</v>
      </c>
      <c r="C6908" s="1">
        <v>10.0</v>
      </c>
      <c r="D6908" s="2" t="s">
        <v>3161</v>
      </c>
      <c r="E6908" s="1" t="str">
        <f>IFERROR(__xludf.DUMMYFUNCTION("GOOGLETRANSLATE(D6908,""PT"",""EN"")"),"The level of service is resolution of the demands")</f>
        <v>The level of service is resolution of the demands</v>
      </c>
    </row>
    <row r="6909" ht="14.25" customHeight="1">
      <c r="A6909" s="1">
        <v>100.0</v>
      </c>
      <c r="B6909" s="1" t="s">
        <v>2969</v>
      </c>
      <c r="C6909" s="1">
        <v>10.0</v>
      </c>
      <c r="D6909" s="1" t="s">
        <v>22</v>
      </c>
      <c r="E6909" s="1" t="str">
        <f>IFERROR(__xludf.DUMMYFUNCTION("GOOGLETRANSLATE(D6909,""PT"",""EN"")"),"Excellent service")</f>
        <v>Excellent service</v>
      </c>
    </row>
    <row r="6910" ht="14.25" customHeight="1">
      <c r="A6910" s="1">
        <v>100.0</v>
      </c>
      <c r="B6910" s="1" t="s">
        <v>2969</v>
      </c>
      <c r="C6910" s="1">
        <v>9.0</v>
      </c>
      <c r="D6910" s="1" t="s">
        <v>6</v>
      </c>
      <c r="E6910" s="1"/>
    </row>
    <row r="6911" ht="14.25" customHeight="1">
      <c r="A6911" s="1">
        <v>100.0</v>
      </c>
      <c r="B6911" s="1" t="s">
        <v>2969</v>
      </c>
      <c r="C6911" s="1">
        <v>10.0</v>
      </c>
      <c r="D6911" s="1" t="s">
        <v>3162</v>
      </c>
      <c r="E6911" s="1" t="str">
        <f>IFERROR(__xludf.DUMMYFUNCTION("GOOGLETRANSLATE(D6911,""PT"",""EN"")"),"Because I was always well attended.")</f>
        <v>Because I was always well attended.</v>
      </c>
    </row>
    <row r="6912" ht="14.25" customHeight="1">
      <c r="A6912" s="1">
        <v>100.0</v>
      </c>
      <c r="B6912" s="1" t="s">
        <v>2969</v>
      </c>
      <c r="C6912" s="1">
        <v>10.0</v>
      </c>
      <c r="D6912" s="1" t="s">
        <v>6</v>
      </c>
      <c r="E6912" s="1"/>
    </row>
    <row r="6913" ht="14.25" customHeight="1">
      <c r="A6913" s="1">
        <v>100.0</v>
      </c>
      <c r="B6913" s="1" t="s">
        <v>2969</v>
      </c>
      <c r="C6913" s="1">
        <v>10.0</v>
      </c>
      <c r="D6913" s="1" t="s">
        <v>3163</v>
      </c>
      <c r="E6913" s="1" t="str">
        <f>IFERROR(__xludf.DUMMYFUNCTION("GOOGLETRANSLATE(D6913,""PT"",""EN"")"),"Promptness in the service.")</f>
        <v>Promptness in the service.</v>
      </c>
    </row>
    <row r="6914" ht="14.25" customHeight="1">
      <c r="A6914" s="1">
        <v>100.0</v>
      </c>
      <c r="B6914" s="1" t="s">
        <v>2969</v>
      </c>
      <c r="C6914" s="1">
        <v>10.0</v>
      </c>
      <c r="D6914" s="1" t="s">
        <v>6</v>
      </c>
      <c r="E6914" s="1"/>
    </row>
    <row r="6915" ht="14.25" customHeight="1">
      <c r="A6915" s="1">
        <v>100.0</v>
      </c>
      <c r="B6915" s="1" t="s">
        <v>2969</v>
      </c>
      <c r="C6915" s="1">
        <v>9.0</v>
      </c>
      <c r="D6915" s="2" t="s">
        <v>3164</v>
      </c>
      <c r="E6915" s="1" t="str">
        <f>IFERROR(__xludf.DUMMYFUNCTION("GOOGLETRANSLATE(D6915,""PT"",""EN"")"),"Conversely to the latest contacts of Credfaz, which is the associated Sicoob, I see a courteous, respectful and good care, consequence. Despite operational limitations, I prefer the qualities of education6 than the service to the ""Massa Man"", according "&amp;"to the expression of the remarkable thinker Ortega-Y-Trasset. The feedback you have is very good is that cheers us up to increase transactions with the entity.")</f>
        <v>Conversely to the latest contacts of Credfaz, which is the associated Sicoob, I see a courteous, respectful and good care, consequence. Despite operational limitations, I prefer the qualities of education6 than the service to the "Massa Man", according to the expression of the remarkable thinker Ortega-Y-Trasset. The feedback you have is very good is that cheers us up to increase transactions with the entity.</v>
      </c>
    </row>
    <row r="6916" ht="14.25" customHeight="1">
      <c r="A6916" s="1">
        <v>100.0</v>
      </c>
      <c r="B6916" s="1" t="s">
        <v>2969</v>
      </c>
      <c r="C6916" s="1">
        <v>10.0</v>
      </c>
      <c r="D6916" s="1" t="s">
        <v>3165</v>
      </c>
      <c r="E6916" s="1" t="str">
        <f>IFERROR(__xludf.DUMMYFUNCTION("GOOGLETRANSLATE(D6916,""PT"",""EN"")"),"Satisfaction with the service.")</f>
        <v>Satisfaction with the service.</v>
      </c>
    </row>
    <row r="6917" ht="14.25" customHeight="1">
      <c r="A6917" s="1">
        <v>100.0</v>
      </c>
      <c r="B6917" s="1" t="s">
        <v>2969</v>
      </c>
      <c r="C6917" s="1">
        <v>10.0</v>
      </c>
      <c r="D6917" s="1" t="s">
        <v>3166</v>
      </c>
      <c r="E6917" s="1" t="str">
        <f>IFERROR(__xludf.DUMMYFUNCTION("GOOGLETRANSLATE(D6917,""PT"",""EN"")"),"They are very attentive.")</f>
        <v>They are very attentive.</v>
      </c>
    </row>
    <row r="6918" ht="14.25" customHeight="1">
      <c r="A6918" s="1">
        <v>100.0</v>
      </c>
      <c r="B6918" s="1" t="s">
        <v>2969</v>
      </c>
      <c r="C6918" s="1">
        <v>10.0</v>
      </c>
      <c r="D6918" s="1" t="s">
        <v>6</v>
      </c>
      <c r="E6918" s="1"/>
    </row>
    <row r="6919" ht="14.25" customHeight="1">
      <c r="A6919" s="1">
        <v>100.0</v>
      </c>
      <c r="B6919" s="1" t="s">
        <v>2969</v>
      </c>
      <c r="C6919" s="1">
        <v>10.0</v>
      </c>
      <c r="D6919" s="1" t="s">
        <v>6</v>
      </c>
      <c r="E6919" s="1"/>
    </row>
    <row r="6920" ht="14.25" customHeight="1">
      <c r="A6920" s="1">
        <v>33.0</v>
      </c>
      <c r="B6920" s="1" t="s">
        <v>2969</v>
      </c>
      <c r="C6920" s="1">
        <v>4.0</v>
      </c>
      <c r="D6920" s="1" t="s">
        <v>6</v>
      </c>
      <c r="E6920" s="1"/>
    </row>
    <row r="6921" ht="14.25" customHeight="1">
      <c r="A6921" s="1">
        <v>100.0</v>
      </c>
      <c r="B6921" s="1" t="s">
        <v>2969</v>
      </c>
      <c r="C6921" s="1">
        <v>10.0</v>
      </c>
      <c r="D6921" s="1" t="s">
        <v>6</v>
      </c>
      <c r="E6921" s="1"/>
    </row>
    <row r="6922" ht="14.25" customHeight="1">
      <c r="A6922" s="1">
        <v>100.0</v>
      </c>
      <c r="B6922" s="1" t="s">
        <v>2969</v>
      </c>
      <c r="C6922" s="1">
        <v>10.0</v>
      </c>
      <c r="D6922" s="2" t="s">
        <v>3167</v>
      </c>
      <c r="E6922" s="1" t="str">
        <f>IFERROR(__xludf.DUMMYFUNCTION("GOOGLETRANSLATE(D6922,""PT"",""EN"")"),"I take the opportunity to congratulate Adriana is Nathalia always kind is helpful to service.")</f>
        <v>I take the opportunity to congratulate Adriana is Nathalia always kind is helpful to service.</v>
      </c>
    </row>
    <row r="6923" ht="14.25" customHeight="1">
      <c r="A6923" s="1">
        <v>100.0</v>
      </c>
      <c r="B6923" s="1" t="s">
        <v>2969</v>
      </c>
      <c r="C6923" s="1">
        <v>10.0</v>
      </c>
      <c r="D6923" s="1" t="s">
        <v>6</v>
      </c>
      <c r="E6923" s="1"/>
    </row>
    <row r="6924" ht="14.25" customHeight="1">
      <c r="A6924" s="1">
        <v>100.0</v>
      </c>
      <c r="B6924" s="1" t="s">
        <v>2969</v>
      </c>
      <c r="C6924" s="1">
        <v>10.0</v>
      </c>
      <c r="D6924" s="1" t="s">
        <v>6</v>
      </c>
      <c r="E6924" s="1"/>
    </row>
    <row r="6925" ht="14.25" customHeight="1">
      <c r="A6925" s="1">
        <v>100.0</v>
      </c>
      <c r="B6925" s="1" t="s">
        <v>2969</v>
      </c>
      <c r="C6925" s="1">
        <v>10.0</v>
      </c>
      <c r="D6925" s="2" t="s">
        <v>3168</v>
      </c>
      <c r="E6925" s="1" t="str">
        <f>IFERROR(__xludf.DUMMYFUNCTION("GOOGLETRANSLATE(D6925,""PT"",""EN"")"),"Because I am happy to know that I was one of the first partners of Credfaz today we even have a bank, with a provision of great quality services. I never needed Credfaz not to be answered. I always well attended. Thank you for existing Sicoob.")</f>
        <v>Because I am happy to know that I was one of the first partners of Credfaz today we even have a bank, with a provision of great quality services. I never needed Credfaz not to be answered. I always well attended. Thank you for existing Sicoob.</v>
      </c>
    </row>
    <row r="6926" ht="14.25" customHeight="1">
      <c r="A6926" s="1">
        <v>33.0</v>
      </c>
      <c r="B6926" s="1" t="s">
        <v>2969</v>
      </c>
      <c r="C6926" s="1">
        <v>3.0</v>
      </c>
      <c r="D6926" s="1" t="s">
        <v>6</v>
      </c>
      <c r="E6926" s="1"/>
    </row>
    <row r="6927" ht="14.25" customHeight="1">
      <c r="A6927" s="1">
        <v>66.0</v>
      </c>
      <c r="B6927" s="1" t="s">
        <v>2969</v>
      </c>
      <c r="C6927" s="1">
        <v>8.0</v>
      </c>
      <c r="D6927" s="1" t="s">
        <v>6</v>
      </c>
      <c r="E6927" s="1"/>
    </row>
    <row r="6928" ht="14.25" customHeight="1">
      <c r="A6928" s="1">
        <v>100.0</v>
      </c>
      <c r="B6928" s="1" t="s">
        <v>2969</v>
      </c>
      <c r="C6928" s="1">
        <v>10.0</v>
      </c>
      <c r="D6928" s="1" t="s">
        <v>6</v>
      </c>
      <c r="E6928" s="1"/>
    </row>
    <row r="6929" ht="14.25" customHeight="1">
      <c r="A6929" s="1">
        <v>66.0</v>
      </c>
      <c r="B6929" s="1" t="s">
        <v>2969</v>
      </c>
      <c r="C6929" s="1">
        <v>8.0</v>
      </c>
      <c r="D6929" s="2" t="s">
        <v>3169</v>
      </c>
      <c r="E6929" s="1" t="str">
        <f>IFERROR(__xludf.DUMMYFUNCTION("GOOGLETRANSLATE(D6929,""PT"",""EN"")"),"has efficiency in transactions")</f>
        <v>has efficiency in transactions</v>
      </c>
    </row>
    <row r="6930" ht="14.25" customHeight="1">
      <c r="A6930" s="1">
        <v>100.0</v>
      </c>
      <c r="B6930" s="1" t="s">
        <v>2969</v>
      </c>
      <c r="C6930" s="1">
        <v>10.0</v>
      </c>
      <c r="D6930" s="1" t="s">
        <v>6</v>
      </c>
      <c r="E6930" s="1"/>
    </row>
    <row r="6931" ht="14.25" customHeight="1">
      <c r="A6931" s="1">
        <v>100.0</v>
      </c>
      <c r="B6931" s="1" t="s">
        <v>2969</v>
      </c>
      <c r="C6931" s="1">
        <v>10.0</v>
      </c>
      <c r="D6931" s="1" t="s">
        <v>6</v>
      </c>
      <c r="E6931" s="1"/>
    </row>
    <row r="6932" ht="14.25" customHeight="1">
      <c r="A6932" s="1">
        <v>100.0</v>
      </c>
      <c r="B6932" s="1" t="s">
        <v>2969</v>
      </c>
      <c r="C6932" s="1">
        <v>10.0</v>
      </c>
      <c r="D6932" s="2" t="s">
        <v>3170</v>
      </c>
      <c r="E6932" s="1" t="str">
        <f>IFERROR(__xludf.DUMMYFUNCTION("GOOGLETRANSLATE(D6932,""PT"",""EN"")"),"Ease of the system is face -to -face service")</f>
        <v>Ease of the system is face -to -face service</v>
      </c>
    </row>
    <row r="6933" ht="14.25" customHeight="1">
      <c r="A6933" s="1">
        <v>33.0</v>
      </c>
      <c r="B6933" s="1" t="s">
        <v>2969</v>
      </c>
      <c r="C6933" s="1">
        <v>3.0</v>
      </c>
      <c r="D6933" s="1" t="s">
        <v>3171</v>
      </c>
      <c r="E6933" s="1" t="str">
        <f>IFERROR(__xludf.DUMMYFUNCTION("GOOGLETRANSLATE(D6933,""PT"",""EN"")"),"Dissatisfaction. I have difficulty contacting the bank. Which sicoob I belong to. When I need the bank I have all the difficulties. Even withdraw my money")</f>
        <v>Dissatisfaction. I have difficulty contacting the bank. Which sicoob I belong to. When I need the bank I have all the difficulties. Even withdraw my money</v>
      </c>
    </row>
    <row r="6934" ht="14.25" customHeight="1">
      <c r="A6934" s="1">
        <v>100.0</v>
      </c>
      <c r="B6934" s="1" t="s">
        <v>2969</v>
      </c>
      <c r="C6934" s="1">
        <v>10.0</v>
      </c>
      <c r="D6934" s="1" t="s">
        <v>3172</v>
      </c>
      <c r="E6934" s="1" t="str">
        <f>IFERROR(__xludf.DUMMYFUNCTION("GOOGLETRANSLATE(D6934,""PT"",""EN"")"),"Excellence in service.")</f>
        <v>Excellence in service.</v>
      </c>
    </row>
    <row r="6935" ht="14.25" customHeight="1">
      <c r="A6935" s="1">
        <v>66.0</v>
      </c>
      <c r="B6935" s="1" t="s">
        <v>2969</v>
      </c>
      <c r="C6935" s="1">
        <v>8.0</v>
      </c>
      <c r="D6935" s="1" t="s">
        <v>3173</v>
      </c>
      <c r="E6935" s="1" t="str">
        <f>IFERROR(__xludf.DUMMYFUNCTION("GOOGLETRANSLATE(D6935,""PT"",""EN"")"),"8,")</f>
        <v>8,</v>
      </c>
    </row>
    <row r="6936" ht="14.25" customHeight="1">
      <c r="A6936" s="1">
        <v>100.0</v>
      </c>
      <c r="B6936" s="1" t="s">
        <v>2969</v>
      </c>
      <c r="C6936" s="1">
        <v>10.0</v>
      </c>
      <c r="D6936" s="1" t="s">
        <v>3174</v>
      </c>
      <c r="E6936" s="1" t="str">
        <f>IFERROR(__xludf.DUMMYFUNCTION("GOOGLETRANSLATE(D6936,""PT"",""EN"")"),"Always answered me with education.")</f>
        <v>Always answered me with education.</v>
      </c>
    </row>
    <row r="6937" ht="14.25" customHeight="1">
      <c r="A6937" s="1">
        <v>100.0</v>
      </c>
      <c r="B6937" s="1" t="s">
        <v>2969</v>
      </c>
      <c r="C6937" s="1">
        <v>10.0</v>
      </c>
      <c r="D6937" s="1" t="s">
        <v>6</v>
      </c>
      <c r="E6937" s="1"/>
    </row>
    <row r="6938" ht="14.25" customHeight="1">
      <c r="A6938" s="1">
        <v>100.0</v>
      </c>
      <c r="B6938" s="1" t="s">
        <v>2969</v>
      </c>
      <c r="C6938" s="1">
        <v>10.0</v>
      </c>
      <c r="D6938" s="1" t="s">
        <v>9</v>
      </c>
      <c r="E6938" s="1" t="str">
        <f>IFERROR(__xludf.DUMMYFUNCTION("GOOGLETRANSLATE(D6938,""PT"",""EN"")"),"10")</f>
        <v>10</v>
      </c>
    </row>
    <row r="6939" ht="14.25" customHeight="1">
      <c r="A6939" s="1">
        <v>100.0</v>
      </c>
      <c r="B6939" s="1" t="s">
        <v>2969</v>
      </c>
      <c r="C6939" s="1">
        <v>10.0</v>
      </c>
      <c r="D6939" s="1" t="s">
        <v>6</v>
      </c>
      <c r="E6939" s="1"/>
    </row>
    <row r="6940" ht="14.25" customHeight="1">
      <c r="A6940" s="1">
        <v>100.0</v>
      </c>
      <c r="B6940" s="1" t="s">
        <v>2969</v>
      </c>
      <c r="C6940" s="1">
        <v>10.0</v>
      </c>
      <c r="D6940" s="1" t="s">
        <v>6</v>
      </c>
      <c r="E6940" s="1"/>
    </row>
    <row r="6941" ht="14.25" customHeight="1">
      <c r="A6941" s="1">
        <v>33.0</v>
      </c>
      <c r="B6941" s="1" t="s">
        <v>2969</v>
      </c>
      <c r="C6941" s="1">
        <v>6.0</v>
      </c>
      <c r="D6941" s="1" t="s">
        <v>3175</v>
      </c>
      <c r="E6941" s="1" t="str">
        <f>IFERROR(__xludf.DUMMYFUNCTION("GOOGLETRANSLATE(D6941,""PT"",""EN"")"),"You guys are very far from the member, a lot of bureaucracy, before it was much better")</f>
        <v>You guys are very far from the member, a lot of bureaucracy, before it was much better</v>
      </c>
    </row>
    <row r="6942" ht="14.25" customHeight="1">
      <c r="A6942" s="1">
        <v>100.0</v>
      </c>
      <c r="B6942" s="1" t="s">
        <v>2969</v>
      </c>
      <c r="C6942" s="1">
        <v>10.0</v>
      </c>
      <c r="D6942" s="1" t="s">
        <v>3176</v>
      </c>
      <c r="E6942" s="1" t="str">
        <f>IFERROR(__xludf.DUMMYFUNCTION("GOOGLETRANSLATE(D6942,""PT"",""EN"")"),"It is a cooperative system that does everything to serve members.")</f>
        <v>It is a cooperative system that does everything to serve members.</v>
      </c>
    </row>
    <row r="6943" ht="14.25" customHeight="1">
      <c r="A6943" s="1">
        <v>33.0</v>
      </c>
      <c r="B6943" s="1" t="s">
        <v>2969</v>
      </c>
      <c r="C6943" s="1">
        <v>1.0</v>
      </c>
      <c r="D6943" s="2" t="s">
        <v>3177</v>
      </c>
      <c r="E6943" s="1" t="str">
        <f>IFERROR(__xludf.DUMMYFUNCTION("GOOGLETRANSLATE(D6943,""PT"",""EN"")"),"It does not add at all, in my finances,")</f>
        <v>It does not add at all, in my finances,</v>
      </c>
    </row>
    <row r="6944" ht="14.25" customHeight="1">
      <c r="A6944" s="1">
        <v>100.0</v>
      </c>
      <c r="B6944" s="1" t="s">
        <v>2969</v>
      </c>
      <c r="C6944" s="1">
        <v>9.0</v>
      </c>
      <c r="D6944" s="1" t="s">
        <v>6</v>
      </c>
      <c r="E6944" s="1"/>
    </row>
    <row r="6945" ht="14.25" customHeight="1">
      <c r="A6945" s="1">
        <v>100.0</v>
      </c>
      <c r="B6945" s="1" t="s">
        <v>2969</v>
      </c>
      <c r="C6945" s="1">
        <v>10.0</v>
      </c>
      <c r="D6945" s="1" t="s">
        <v>6</v>
      </c>
      <c r="E6945" s="1"/>
    </row>
    <row r="6946" ht="14.25" customHeight="1">
      <c r="A6946" s="1">
        <v>66.0</v>
      </c>
      <c r="B6946" s="1" t="s">
        <v>2969</v>
      </c>
      <c r="C6946" s="1">
        <v>8.0</v>
      </c>
      <c r="D6946" s="1" t="s">
        <v>3178</v>
      </c>
      <c r="E6946" s="1" t="str">
        <f>IFERROR(__xludf.DUMMYFUNCTION("GOOGLETRANSLATE(D6946,""PT"",""EN"")"),"Bank that serves small businesses")</f>
        <v>Bank that serves small businesses</v>
      </c>
    </row>
    <row r="6947" ht="14.25" customHeight="1">
      <c r="A6947" s="1">
        <v>100.0</v>
      </c>
      <c r="B6947" s="1" t="s">
        <v>2969</v>
      </c>
      <c r="C6947" s="1">
        <v>10.0</v>
      </c>
      <c r="D6947" s="1" t="s">
        <v>18</v>
      </c>
      <c r="E6947" s="1" t="str">
        <f>IFERROR(__xludf.DUMMYFUNCTION("GOOGLETRANSLATE(D6947,""PT"",""EN"")"),"Trust")</f>
        <v>Trust</v>
      </c>
    </row>
    <row r="6948" ht="14.25" customHeight="1">
      <c r="A6948" s="1">
        <v>100.0</v>
      </c>
      <c r="B6948" s="1" t="s">
        <v>2969</v>
      </c>
      <c r="C6948" s="1">
        <v>10.0</v>
      </c>
      <c r="D6948" s="1" t="s">
        <v>6</v>
      </c>
      <c r="E6948" s="1"/>
    </row>
    <row r="6949" ht="14.25" customHeight="1">
      <c r="A6949" s="1">
        <v>33.0</v>
      </c>
      <c r="B6949" s="1" t="s">
        <v>2969</v>
      </c>
      <c r="C6949" s="1">
        <v>3.0</v>
      </c>
      <c r="D6949" s="1" t="s">
        <v>259</v>
      </c>
      <c r="E6949" s="1" t="str">
        <f>IFERROR(__xludf.DUMMYFUNCTION("GOOGLETRANSLATE(D6949,""PT"",""EN"")"),"A lot of bureaucracy")</f>
        <v>A lot of bureaucracy</v>
      </c>
    </row>
    <row r="6950" ht="14.25" customHeight="1">
      <c r="A6950" s="1">
        <v>33.0</v>
      </c>
      <c r="B6950" s="1" t="s">
        <v>2969</v>
      </c>
      <c r="C6950" s="1">
        <v>1.0</v>
      </c>
      <c r="D6950" s="1" t="s">
        <v>6</v>
      </c>
      <c r="E6950" s="1"/>
    </row>
    <row r="6951" ht="14.25" customHeight="1">
      <c r="A6951" s="1">
        <v>66.0</v>
      </c>
      <c r="B6951" s="1" t="s">
        <v>2969</v>
      </c>
      <c r="C6951" s="1">
        <v>7.0</v>
      </c>
      <c r="D6951" s="2" t="s">
        <v>3179</v>
      </c>
      <c r="E6951" s="1" t="str">
        <f>IFERROR(__xludf.DUMMYFUNCTION("GOOGLETRANSLATE(D6951,""PT"",""EN"")"),"I am a client for many years, with a salary account, but in recent years the cooperative has denied loan renegotiation due to my age.")</f>
        <v>I am a client for many years, with a salary account, but in recent years the cooperative has denied loan renegotiation due to my age.</v>
      </c>
    </row>
    <row r="6952" ht="14.25" customHeight="1">
      <c r="A6952" s="1">
        <v>100.0</v>
      </c>
      <c r="B6952" s="1" t="s">
        <v>2969</v>
      </c>
      <c r="C6952" s="1">
        <v>9.0</v>
      </c>
      <c r="D6952" s="2" t="s">
        <v>3180</v>
      </c>
      <c r="E6952" s="1" t="str">
        <f>IFERROR(__xludf.DUMMYFUNCTION("GOOGLETRANSLATE(D6952,""PT"",""EN"")"),"It has served me very well in recent years. Both in the physical and on the internet.")</f>
        <v>It has served me very well in recent years. Both in the physical and on the internet.</v>
      </c>
    </row>
    <row r="6953" ht="14.25" customHeight="1">
      <c r="A6953" s="1">
        <v>100.0</v>
      </c>
      <c r="B6953" s="1" t="s">
        <v>2969</v>
      </c>
      <c r="C6953" s="1">
        <v>10.0</v>
      </c>
      <c r="D6953" s="1" t="s">
        <v>6</v>
      </c>
      <c r="E6953" s="1"/>
    </row>
    <row r="6954" ht="14.25" customHeight="1">
      <c r="A6954" s="1">
        <v>100.0</v>
      </c>
      <c r="B6954" s="1" t="s">
        <v>2969</v>
      </c>
      <c r="C6954" s="1">
        <v>9.0</v>
      </c>
      <c r="D6954" s="1" t="s">
        <v>9</v>
      </c>
      <c r="E6954" s="1" t="str">
        <f>IFERROR(__xludf.DUMMYFUNCTION("GOOGLETRANSLATE(D6954,""PT"",""EN"")"),"10")</f>
        <v>10</v>
      </c>
    </row>
    <row r="6955" ht="14.25" customHeight="1">
      <c r="A6955" s="1">
        <v>100.0</v>
      </c>
      <c r="B6955" s="1" t="s">
        <v>2969</v>
      </c>
      <c r="C6955" s="1">
        <v>10.0</v>
      </c>
      <c r="D6955" s="2" t="s">
        <v>3181</v>
      </c>
      <c r="E6955" s="1" t="str">
        <f>IFERROR(__xludf.DUMMYFUNCTION("GOOGLETRANSLATE(D6955,""PT"",""EN"")"),"Whenever I needed I was promptly attended. Always attentive employees.")</f>
        <v>Whenever I needed I was promptly attended. Always attentive employees.</v>
      </c>
    </row>
    <row r="6956" ht="14.25" customHeight="1">
      <c r="A6956" s="1">
        <v>100.0</v>
      </c>
      <c r="B6956" s="1" t="s">
        <v>2969</v>
      </c>
      <c r="C6956" s="1">
        <v>10.0</v>
      </c>
      <c r="D6956" s="2" t="s">
        <v>3182</v>
      </c>
      <c r="E6956" s="1" t="str">
        <f>IFERROR(__xludf.DUMMYFUNCTION("GOOGLETRANSLATE(D6956,""PT"",""EN"")"),"great service.")</f>
        <v>great service.</v>
      </c>
    </row>
    <row r="6957" ht="14.25" customHeight="1">
      <c r="A6957" s="1">
        <v>100.0</v>
      </c>
      <c r="B6957" s="1" t="s">
        <v>2969</v>
      </c>
      <c r="C6957" s="1">
        <v>10.0</v>
      </c>
      <c r="D6957" s="1" t="s">
        <v>6</v>
      </c>
      <c r="E6957" s="1"/>
    </row>
    <row r="6958" ht="14.25" customHeight="1">
      <c r="A6958" s="1">
        <v>100.0</v>
      </c>
      <c r="B6958" s="1" t="s">
        <v>2969</v>
      </c>
      <c r="C6958" s="1">
        <v>10.0</v>
      </c>
      <c r="D6958" s="2" t="s">
        <v>3183</v>
      </c>
      <c r="E6958" s="1" t="str">
        <f>IFERROR(__xludf.DUMMYFUNCTION("GOOGLETRANSLATE(D6958,""PT"",""EN"")"),"Good service is commitment to the customer.")</f>
        <v>Good service is commitment to the customer.</v>
      </c>
    </row>
    <row r="6959" ht="14.25" customHeight="1">
      <c r="A6959" s="1">
        <v>100.0</v>
      </c>
      <c r="B6959" s="1" t="s">
        <v>2969</v>
      </c>
      <c r="C6959" s="1">
        <v>10.0</v>
      </c>
      <c r="D6959" s="1" t="s">
        <v>3184</v>
      </c>
      <c r="E6959" s="1" t="str">
        <f>IFERROR(__xludf.DUMMYFUNCTION("GOOGLETRANSLATE(D6959,""PT"",""EN"")"),"CREDFAZ is a great cooperative always helps")</f>
        <v>CREDFAZ is a great cooperative always helps</v>
      </c>
    </row>
    <row r="6960" ht="14.25" customHeight="1">
      <c r="A6960" s="1">
        <v>33.0</v>
      </c>
      <c r="B6960" s="1" t="s">
        <v>2969</v>
      </c>
      <c r="C6960" s="1">
        <v>0.0</v>
      </c>
      <c r="D6960" s="2" t="s">
        <v>3185</v>
      </c>
      <c r="E6960" s="1" t="str">
        <f>IFERROR(__xludf.DUMMYFUNCTION("GOOGLETRANSLATE(D6960,""PT"",""EN"")"),"Everything is very difficult, to get credit, for loan for everything! All very bureaucratic.")</f>
        <v>Everything is very difficult, to get credit, for loan for everything! All very bureaucratic.</v>
      </c>
    </row>
    <row r="6961" ht="14.25" customHeight="1">
      <c r="A6961" s="1">
        <v>66.0</v>
      </c>
      <c r="B6961" s="1" t="s">
        <v>2969</v>
      </c>
      <c r="C6961" s="1">
        <v>8.0</v>
      </c>
      <c r="D6961" s="2" t="s">
        <v>3186</v>
      </c>
      <c r="E6961" s="1" t="str">
        <f>IFERROR(__xludf.DUMMYFUNCTION("GOOGLETRANSLATE(D6961,""PT"",""EN"")"),"Much demand is bureaucracy, because it is a cooperative, knowing that they will have all the security in receipt through our accounts is also the capital account.")</f>
        <v>Much demand is bureaucracy, because it is a cooperative, knowing that they will have all the security in receipt through our accounts is also the capital account.</v>
      </c>
    </row>
    <row r="6962" ht="14.25" customHeight="1">
      <c r="A6962" s="1">
        <v>100.0</v>
      </c>
      <c r="B6962" s="1" t="s">
        <v>2969</v>
      </c>
      <c r="C6962" s="1">
        <v>10.0</v>
      </c>
      <c r="D6962" s="1" t="s">
        <v>6</v>
      </c>
      <c r="E6962" s="1"/>
    </row>
    <row r="6963" ht="14.25" customHeight="1">
      <c r="A6963" s="1">
        <v>100.0</v>
      </c>
      <c r="B6963" s="1" t="s">
        <v>2969</v>
      </c>
      <c r="C6963" s="1">
        <v>10.0</v>
      </c>
      <c r="D6963" s="1" t="s">
        <v>9</v>
      </c>
      <c r="E6963" s="1" t="str">
        <f>IFERROR(__xludf.DUMMYFUNCTION("GOOGLETRANSLATE(D6963,""PT"",""EN"")"),"10")</f>
        <v>10</v>
      </c>
    </row>
    <row r="6964" ht="14.25" customHeight="1">
      <c r="A6964" s="1">
        <v>66.0</v>
      </c>
      <c r="B6964" s="1" t="s">
        <v>2969</v>
      </c>
      <c r="C6964" s="1">
        <v>8.0</v>
      </c>
      <c r="D6964" s="1" t="s">
        <v>6</v>
      </c>
      <c r="E6964" s="1"/>
    </row>
    <row r="6965" ht="14.25" customHeight="1">
      <c r="A6965" s="1">
        <v>66.0</v>
      </c>
      <c r="B6965" s="1" t="s">
        <v>2969</v>
      </c>
      <c r="C6965" s="1">
        <v>7.0</v>
      </c>
      <c r="D6965" s="2" t="s">
        <v>3187</v>
      </c>
      <c r="E6965" s="1" t="str">
        <f>IFERROR(__xludf.DUMMYFUNCTION("GOOGLETRANSLATE(D6965,""PT"",""EN"")"),"Does not demonstrate an effectively strong partnership with its customers during a financial negotiation")</f>
        <v>Does not demonstrate an effectively strong partnership with its customers during a financial negotiation</v>
      </c>
    </row>
    <row r="6966" ht="14.25" customHeight="1">
      <c r="A6966" s="1">
        <v>100.0</v>
      </c>
      <c r="B6966" s="1" t="s">
        <v>2969</v>
      </c>
      <c r="C6966" s="1">
        <v>10.0</v>
      </c>
      <c r="D6966" s="1" t="s">
        <v>3188</v>
      </c>
      <c r="E6966" s="1" t="str">
        <f>IFERROR(__xludf.DUMMYFUNCTION("GOOGLETRANSLATE(D6966,""PT"",""EN"")"),"I think your service is excellent")</f>
        <v>I think your service is excellent</v>
      </c>
    </row>
    <row r="6967" ht="14.25" customHeight="1">
      <c r="A6967" s="1">
        <v>33.0</v>
      </c>
      <c r="B6967" s="1" t="s">
        <v>2969</v>
      </c>
      <c r="C6967" s="1">
        <v>0.0</v>
      </c>
      <c r="D6967" s="1" t="s">
        <v>6</v>
      </c>
      <c r="E6967" s="1"/>
    </row>
    <row r="6968" ht="14.25" customHeight="1">
      <c r="A6968" s="1">
        <v>100.0</v>
      </c>
      <c r="B6968" s="1" t="s">
        <v>2969</v>
      </c>
      <c r="C6968" s="1">
        <v>10.0</v>
      </c>
      <c r="D6968" s="1" t="s">
        <v>6</v>
      </c>
      <c r="E6968" s="1"/>
    </row>
    <row r="6969" ht="14.25" customHeight="1">
      <c r="A6969" s="1">
        <v>100.0</v>
      </c>
      <c r="B6969" s="1" t="s">
        <v>2969</v>
      </c>
      <c r="C6969" s="1">
        <v>9.0</v>
      </c>
      <c r="D6969" s="2" t="s">
        <v>3189</v>
      </c>
      <c r="E6969" s="1" t="str">
        <f>IFERROR(__xludf.DUMMYFUNCTION("GOOGLETRANSLATE(D6969,""PT"",""EN"")"),"I believe this Sicoob space for family members. Ex.: Son of an associate. You can also associate")</f>
        <v>I believe this Sicoob space for family members. Ex.: Son of an associate. You can also associate</v>
      </c>
    </row>
    <row r="6970" ht="14.25" customHeight="1">
      <c r="A6970" s="1">
        <v>100.0</v>
      </c>
      <c r="B6970" s="1" t="s">
        <v>2969</v>
      </c>
      <c r="C6970" s="1">
        <v>10.0</v>
      </c>
      <c r="D6970" s="1" t="s">
        <v>6</v>
      </c>
      <c r="E6970" s="1"/>
    </row>
    <row r="6971" ht="14.25" customHeight="1">
      <c r="A6971" s="1">
        <v>100.0</v>
      </c>
      <c r="B6971" s="1" t="s">
        <v>2969</v>
      </c>
      <c r="C6971" s="1">
        <v>10.0</v>
      </c>
      <c r="D6971" s="1" t="s">
        <v>6</v>
      </c>
      <c r="E6971" s="1"/>
    </row>
    <row r="6972" ht="14.25" customHeight="1">
      <c r="A6972" s="1">
        <v>33.0</v>
      </c>
      <c r="B6972" s="1" t="s">
        <v>2969</v>
      </c>
      <c r="C6972" s="1">
        <v>1.0</v>
      </c>
      <c r="D6972" s="2" t="s">
        <v>3190</v>
      </c>
      <c r="E6972" s="1" t="str">
        <f>IFERROR(__xludf.DUMMYFUNCTION("GOOGLETRANSLATE(D6972,""PT"",""EN"")"),"CREDIT AFFECTION")</f>
        <v>CREDIT AFFECTION</v>
      </c>
    </row>
    <row r="6973" ht="14.25" customHeight="1">
      <c r="A6973" s="1">
        <v>100.0</v>
      </c>
      <c r="B6973" s="1" t="s">
        <v>2969</v>
      </c>
      <c r="C6973" s="1">
        <v>10.0</v>
      </c>
      <c r="D6973" s="1" t="s">
        <v>6</v>
      </c>
      <c r="E6973" s="1"/>
    </row>
    <row r="6974" ht="14.25" customHeight="1">
      <c r="A6974" s="1">
        <v>100.0</v>
      </c>
      <c r="B6974" s="1" t="s">
        <v>2969</v>
      </c>
      <c r="C6974" s="1">
        <v>9.0</v>
      </c>
      <c r="D6974" s="1" t="s">
        <v>6</v>
      </c>
      <c r="E6974" s="1"/>
    </row>
    <row r="6975" ht="14.25" customHeight="1">
      <c r="A6975" s="1">
        <v>33.0</v>
      </c>
      <c r="B6975" s="1" t="s">
        <v>2969</v>
      </c>
      <c r="C6975" s="1">
        <v>5.0</v>
      </c>
      <c r="D6975" s="1" t="s">
        <v>6</v>
      </c>
      <c r="E6975" s="1"/>
    </row>
    <row r="6976" ht="14.25" customHeight="1">
      <c r="A6976" s="1">
        <v>33.0</v>
      </c>
      <c r="B6976" s="1" t="s">
        <v>2969</v>
      </c>
      <c r="C6976" s="1">
        <v>5.0</v>
      </c>
      <c r="D6976" s="2" t="s">
        <v>3191</v>
      </c>
      <c r="E6976" s="1" t="str">
        <f>IFERROR(__xludf.DUMMYFUNCTION("GOOGLETRANSLATE(D6976,""PT"",""EN"")"),"Sicoob could do much more by account holders, many requests are taken to the committee, that's when this happens I know they never approve my requests, I have loans, one discounted on the paycheck is another debit in the checking account every month, is T"&amp;"his is not enough, I have more than 5 thousand reais capitalized is this is not enough to increase my credit limit the card is also increased of overdraft, even though Sicoob knowing that they will always receive my money. Today I pay more than 400 reais "&amp;"discount on my checking account this by joining what goes to capitalization.")</f>
        <v>Sicoob could do much more by account holders, many requests are taken to the committee, that's when this happens I know they never approve my requests, I have loans, one discounted on the paycheck is another debit in the checking account every month, is This is not enough, I have more than 5 thousand reais capitalized is this is not enough to increase my credit limit the card is also increased of overdraft, even though Sicoob knowing that they will always receive my money. Today I pay more than 400 reais discount on my checking account this by joining what goes to capitalization.</v>
      </c>
    </row>
    <row r="6977" ht="14.25" customHeight="1">
      <c r="A6977" s="1">
        <v>100.0</v>
      </c>
      <c r="B6977" s="1" t="s">
        <v>2969</v>
      </c>
      <c r="C6977" s="1">
        <v>10.0</v>
      </c>
      <c r="D6977" s="1" t="s">
        <v>3192</v>
      </c>
      <c r="E6977" s="1" t="str">
        <f>IFERROR(__xludf.DUMMYFUNCTION("GOOGLETRANSLATE(D6977,""PT"",""EN"")"),"It is a cooperative of great credibility")</f>
        <v>It is a cooperative of great credibility</v>
      </c>
    </row>
    <row r="6978" ht="14.25" customHeight="1">
      <c r="A6978" s="1">
        <v>100.0</v>
      </c>
      <c r="B6978" s="1" t="s">
        <v>2969</v>
      </c>
      <c r="C6978" s="1">
        <v>10.0</v>
      </c>
      <c r="D6978" s="1" t="s">
        <v>6</v>
      </c>
      <c r="E6978" s="1"/>
    </row>
    <row r="6979" ht="14.25" customHeight="1">
      <c r="A6979" s="1">
        <v>100.0</v>
      </c>
      <c r="B6979" s="1" t="s">
        <v>2969</v>
      </c>
      <c r="C6979" s="1">
        <v>10.0</v>
      </c>
      <c r="D6979" s="1" t="s">
        <v>6</v>
      </c>
      <c r="E6979" s="1"/>
    </row>
    <row r="6980" ht="14.25" customHeight="1">
      <c r="A6980" s="1">
        <v>100.0</v>
      </c>
      <c r="B6980" s="1" t="s">
        <v>2969</v>
      </c>
      <c r="C6980" s="1">
        <v>10.0</v>
      </c>
      <c r="D6980" s="1" t="s">
        <v>6</v>
      </c>
      <c r="E6980" s="1"/>
    </row>
    <row r="6981" ht="14.25" customHeight="1">
      <c r="A6981" s="1">
        <v>100.0</v>
      </c>
      <c r="B6981" s="1" t="s">
        <v>2969</v>
      </c>
      <c r="C6981" s="1">
        <v>9.0</v>
      </c>
      <c r="D6981" s="1" t="s">
        <v>6</v>
      </c>
      <c r="E6981" s="1"/>
    </row>
    <row r="6982" ht="14.25" customHeight="1">
      <c r="A6982" s="1">
        <v>33.0</v>
      </c>
      <c r="B6982" s="1" t="s">
        <v>2969</v>
      </c>
      <c r="C6982" s="1">
        <v>3.0</v>
      </c>
      <c r="D6982" s="1" t="s">
        <v>6</v>
      </c>
      <c r="E6982" s="1"/>
    </row>
    <row r="6983" ht="14.25" customHeight="1">
      <c r="A6983" s="1">
        <v>100.0</v>
      </c>
      <c r="B6983" s="1" t="s">
        <v>2969</v>
      </c>
      <c r="C6983" s="1">
        <v>10.0</v>
      </c>
      <c r="D6983" s="2" t="s">
        <v>3193</v>
      </c>
      <c r="E6983" s="1" t="str">
        <f>IFERROR(__xludf.DUMMYFUNCTION("GOOGLETRANSLATE(D6983,""PT"",""EN"")"),"The treatment given to associates is rewarding, attendants treat us very well.")</f>
        <v>The treatment given to associates is rewarding, attendants treat us very well.</v>
      </c>
    </row>
    <row r="6984" ht="14.25" customHeight="1">
      <c r="A6984" s="1">
        <v>100.0</v>
      </c>
      <c r="B6984" s="1" t="s">
        <v>2969</v>
      </c>
      <c r="C6984" s="1">
        <v>10.0</v>
      </c>
      <c r="D6984" s="1" t="s">
        <v>3194</v>
      </c>
      <c r="E6984" s="1" t="str">
        <f>IFERROR(__xludf.DUMMYFUNCTION("GOOGLETRANSLATE(D6984,""PT"",""EN"")"),"An institution of character.")</f>
        <v>An institution of character.</v>
      </c>
    </row>
    <row r="6985" ht="14.25" customHeight="1">
      <c r="A6985" s="1">
        <v>66.0</v>
      </c>
      <c r="B6985" s="1" t="s">
        <v>2969</v>
      </c>
      <c r="C6985" s="1">
        <v>8.0</v>
      </c>
      <c r="D6985" s="2" t="s">
        <v>3195</v>
      </c>
      <c r="E6985" s="1" t="str">
        <f>IFERROR(__xludf.DUMMYFUNCTION("GOOGLETRANSLATE(D6985,""PT"",""EN"")"),"There are several reasons")</f>
        <v>There are several reasons</v>
      </c>
    </row>
    <row r="6986" ht="14.25" customHeight="1">
      <c r="A6986" s="1">
        <v>100.0</v>
      </c>
      <c r="B6986" s="1" t="s">
        <v>2969</v>
      </c>
      <c r="C6986" s="1">
        <v>10.0</v>
      </c>
      <c r="D6986" s="2" t="s">
        <v>3196</v>
      </c>
      <c r="E6986" s="1" t="str">
        <f>IFERROR(__xludf.DUMMYFUNCTION("GOOGLETRANSLATE(D6986,""PT"",""EN"")"),"Excellent service and usual presctativity")</f>
        <v>Excellent service and usual presctativity</v>
      </c>
    </row>
    <row r="6987" ht="14.25" customHeight="1">
      <c r="A6987" s="1">
        <v>33.0</v>
      </c>
      <c r="B6987" s="1" t="s">
        <v>2969</v>
      </c>
      <c r="C6987" s="1">
        <v>5.0</v>
      </c>
      <c r="D6987" s="2" t="s">
        <v>3197</v>
      </c>
      <c r="E6987" s="1" t="str">
        <f>IFERROR(__xludf.DUMMYFUNCTION("GOOGLETRANSLATE(D6987,""PT"",""EN"")"),"In my particular case I had a loss in the order of 29,000, due to mismanagement, I still have an account with Sicoob solely and exclusively because of the agreement.")</f>
        <v>In my particular case I had a loss in the order of 29,000, due to mismanagement, I still have an account with Sicoob solely and exclusively because of the agreement.</v>
      </c>
    </row>
    <row r="6988" ht="14.25" customHeight="1">
      <c r="A6988" s="1">
        <v>100.0</v>
      </c>
      <c r="B6988" s="1" t="s">
        <v>2969</v>
      </c>
      <c r="C6988" s="1">
        <v>10.0</v>
      </c>
      <c r="D6988" s="2" t="s">
        <v>3198</v>
      </c>
      <c r="E6988" s="1" t="str">
        <f>IFERROR(__xludf.DUMMYFUNCTION("GOOGLETRANSLATE(D6988,""PT"",""EN"")"),"I was very well attended by manager Leonardo, is by 2 employees, I do not remember their names ....")</f>
        <v>I was very well attended by manager Leonardo, is by 2 employees, I do not remember their names ....</v>
      </c>
    </row>
    <row r="6989" ht="14.25" customHeight="1">
      <c r="A6989" s="1">
        <v>100.0</v>
      </c>
      <c r="B6989" s="1" t="s">
        <v>2969</v>
      </c>
      <c r="C6989" s="1">
        <v>10.0</v>
      </c>
      <c r="D6989" s="1" t="s">
        <v>3199</v>
      </c>
      <c r="E6989" s="1" t="str">
        <f>IFERROR(__xludf.DUMMYFUNCTION("GOOGLETRANSLATE(D6989,""PT"",""EN"")"),"One of the best bank applications I have.")</f>
        <v>One of the best bank applications I have.</v>
      </c>
    </row>
    <row r="6990" ht="14.25" customHeight="1">
      <c r="A6990" s="1">
        <v>100.0</v>
      </c>
      <c r="B6990" s="1" t="s">
        <v>2969</v>
      </c>
      <c r="C6990" s="1">
        <v>10.0</v>
      </c>
      <c r="D6990" s="1" t="s">
        <v>6</v>
      </c>
      <c r="E6990" s="1"/>
    </row>
    <row r="6991" ht="14.25" customHeight="1">
      <c r="A6991" s="1">
        <v>66.0</v>
      </c>
      <c r="B6991" s="1" t="s">
        <v>2969</v>
      </c>
      <c r="C6991" s="1">
        <v>7.0</v>
      </c>
      <c r="D6991" s="1" t="s">
        <v>6</v>
      </c>
      <c r="E6991" s="1"/>
    </row>
    <row r="6992" ht="14.25" customHeight="1">
      <c r="A6992" s="1">
        <v>100.0</v>
      </c>
      <c r="B6992" s="1" t="s">
        <v>2969</v>
      </c>
      <c r="C6992" s="1">
        <v>10.0</v>
      </c>
      <c r="D6992" s="1" t="s">
        <v>3200</v>
      </c>
      <c r="E6992" s="1" t="str">
        <f>IFERROR(__xludf.DUMMYFUNCTION("GOOGLETRANSLATE(D6992,""PT"",""EN"")"),"Proactivity in solutions! They never left me in hand.")</f>
        <v>Proactivity in solutions! They never left me in hand.</v>
      </c>
    </row>
    <row r="6993" ht="14.25" customHeight="1">
      <c r="A6993" s="1">
        <v>100.0</v>
      </c>
      <c r="B6993" s="1" t="s">
        <v>2969</v>
      </c>
      <c r="C6993" s="1">
        <v>10.0</v>
      </c>
      <c r="D6993" s="2" t="s">
        <v>3201</v>
      </c>
      <c r="E6993" s="1" t="str">
        <f>IFERROR(__xludf.DUMMYFUNCTION("GOOGLETRANSLATE(D6993,""PT"",""EN"")"),"I have been a customer for many years, I have been well served. I have a daughter who is a manager in one of her agencies.")</f>
        <v>I have been a customer for many years, I have been well served. I have a daughter who is a manager in one of her agencies.</v>
      </c>
    </row>
    <row r="6994" ht="14.25" customHeight="1">
      <c r="A6994" s="1">
        <v>33.0</v>
      </c>
      <c r="B6994" s="1" t="s">
        <v>2969</v>
      </c>
      <c r="C6994" s="1">
        <v>6.0</v>
      </c>
      <c r="D6994" s="1" t="s">
        <v>6</v>
      </c>
      <c r="E6994" s="1"/>
    </row>
    <row r="6995" ht="14.25" customHeight="1">
      <c r="A6995" s="1">
        <v>100.0</v>
      </c>
      <c r="B6995" s="1" t="s">
        <v>2969</v>
      </c>
      <c r="C6995" s="1">
        <v>10.0</v>
      </c>
      <c r="D6995" s="1" t="s">
        <v>3202</v>
      </c>
      <c r="E6995" s="1" t="str">
        <f>IFERROR(__xludf.DUMMYFUNCTION("GOOGLETRANSLATE(D6995,""PT"",""EN"")"),"I think when we are well attended. it is good,")</f>
        <v>I think when we are well attended. it is good,</v>
      </c>
    </row>
    <row r="6996" ht="14.25" customHeight="1">
      <c r="A6996" s="1">
        <v>100.0</v>
      </c>
      <c r="B6996" s="1" t="s">
        <v>2969</v>
      </c>
      <c r="C6996" s="1">
        <v>10.0</v>
      </c>
      <c r="D6996" s="1" t="s">
        <v>6</v>
      </c>
      <c r="E6996" s="1"/>
    </row>
    <row r="6997" ht="14.25" customHeight="1">
      <c r="A6997" s="1">
        <v>100.0</v>
      </c>
      <c r="B6997" s="1" t="s">
        <v>2969</v>
      </c>
      <c r="C6997" s="1">
        <v>10.0</v>
      </c>
      <c r="D6997" s="1" t="s">
        <v>6</v>
      </c>
      <c r="E6997" s="1"/>
    </row>
    <row r="6998" ht="14.25" customHeight="1">
      <c r="A6998" s="1">
        <v>100.0</v>
      </c>
      <c r="B6998" s="1" t="s">
        <v>2969</v>
      </c>
      <c r="C6998" s="1">
        <v>10.0</v>
      </c>
      <c r="D6998" s="1" t="s">
        <v>3203</v>
      </c>
      <c r="E6998" s="1" t="str">
        <f>IFERROR(__xludf.DUMMYFUNCTION("GOOGLETRANSLATE(D6998,""PT"",""EN"")"),"Be part of the Sicoob team")</f>
        <v>Be part of the Sicoob team</v>
      </c>
    </row>
    <row r="6999" ht="14.25" customHeight="1">
      <c r="A6999" s="1">
        <v>100.0</v>
      </c>
      <c r="B6999" s="1" t="s">
        <v>2969</v>
      </c>
      <c r="C6999" s="1">
        <v>10.0</v>
      </c>
      <c r="D6999" s="1" t="s">
        <v>6</v>
      </c>
      <c r="E6999" s="1"/>
    </row>
    <row r="7000" ht="14.25" customHeight="1">
      <c r="A7000" s="1">
        <v>100.0</v>
      </c>
      <c r="B7000" s="1" t="s">
        <v>2969</v>
      </c>
      <c r="C7000" s="1">
        <v>10.0</v>
      </c>
      <c r="D7000" s="1" t="s">
        <v>6</v>
      </c>
      <c r="E7000" s="1"/>
    </row>
    <row r="7001" ht="14.25" customHeight="1">
      <c r="A7001" s="1">
        <v>100.0</v>
      </c>
      <c r="B7001" s="1" t="s">
        <v>2969</v>
      </c>
      <c r="C7001" s="1">
        <v>10.0</v>
      </c>
      <c r="D7001" s="1" t="s">
        <v>6</v>
      </c>
      <c r="E7001" s="1"/>
    </row>
    <row r="7002" ht="14.25" customHeight="1">
      <c r="A7002" s="1">
        <v>100.0</v>
      </c>
      <c r="B7002" s="1" t="s">
        <v>2969</v>
      </c>
      <c r="C7002" s="1">
        <v>10.0</v>
      </c>
      <c r="D7002" s="1" t="s">
        <v>6</v>
      </c>
      <c r="E7002" s="1"/>
    </row>
    <row r="7003" ht="14.25" customHeight="1">
      <c r="A7003" s="1">
        <v>100.0</v>
      </c>
      <c r="B7003" s="1" t="s">
        <v>2969</v>
      </c>
      <c r="C7003" s="1">
        <v>10.0</v>
      </c>
      <c r="D7003" s="1" t="s">
        <v>3204</v>
      </c>
      <c r="E7003" s="1" t="str">
        <f>IFERROR(__xludf.DUMMYFUNCTION("GOOGLETRANSLATE(D7003,""PT"",""EN"")"),"Efficiency, responsibility. Everything I need they help me.")</f>
        <v>Efficiency, responsibility. Everything I need they help me.</v>
      </c>
    </row>
    <row r="7004" ht="14.25" customHeight="1">
      <c r="A7004" s="1">
        <v>100.0</v>
      </c>
      <c r="B7004" s="1" t="s">
        <v>2969</v>
      </c>
      <c r="C7004" s="1">
        <v>10.0</v>
      </c>
      <c r="D7004" s="1" t="s">
        <v>121</v>
      </c>
      <c r="E7004" s="1" t="str">
        <f>IFERROR(__xludf.DUMMYFUNCTION("GOOGLETRANSLATE(D7004,""PT"",""EN"")"),"Satisfaction.")</f>
        <v>Satisfaction.</v>
      </c>
    </row>
    <row r="7005" ht="14.25" customHeight="1">
      <c r="A7005" s="1">
        <v>100.0</v>
      </c>
      <c r="B7005" s="1" t="s">
        <v>2969</v>
      </c>
      <c r="C7005" s="1">
        <v>10.0</v>
      </c>
      <c r="D7005" s="1" t="s">
        <v>3205</v>
      </c>
      <c r="E7005" s="1" t="str">
        <f>IFERROR(__xludf.DUMMYFUNCTION("GOOGLETRANSLATE(D7005,""PT"",""EN"")"),"For excellent service")</f>
        <v>For excellent service</v>
      </c>
    </row>
    <row r="7006" ht="14.25" customHeight="1">
      <c r="A7006" s="1">
        <v>66.0</v>
      </c>
      <c r="B7006" s="1" t="s">
        <v>2969</v>
      </c>
      <c r="C7006" s="1">
        <v>8.0</v>
      </c>
      <c r="D7006" s="1" t="s">
        <v>3206</v>
      </c>
      <c r="E7006" s="1" t="str">
        <f>IFERROR(__xludf.DUMMYFUNCTION("GOOGLETRANSLATE(D7006,""PT"",""EN"")"),"positive the fact that it is a collective bank that yields the ""leftover"" separate")</f>
        <v>positive the fact that it is a collective bank that yields the "leftover" separate</v>
      </c>
    </row>
    <row r="7007" ht="14.25" customHeight="1">
      <c r="A7007" s="1">
        <v>100.0</v>
      </c>
      <c r="B7007" s="1" t="s">
        <v>2969</v>
      </c>
      <c r="C7007" s="1">
        <v>10.0</v>
      </c>
      <c r="D7007" s="1" t="s">
        <v>2515</v>
      </c>
      <c r="E7007" s="1" t="str">
        <f>IFERROR(__xludf.DUMMYFUNCTION("GOOGLETRANSLATE(D7007,""PT"",""EN"")"),"Practicality.")</f>
        <v>Practicality.</v>
      </c>
    </row>
    <row r="7008" ht="14.25" customHeight="1">
      <c r="A7008" s="1">
        <v>100.0</v>
      </c>
      <c r="B7008" s="1" t="s">
        <v>2969</v>
      </c>
      <c r="C7008" s="1">
        <v>10.0</v>
      </c>
      <c r="D7008" s="1" t="s">
        <v>6</v>
      </c>
      <c r="E7008" s="1"/>
    </row>
    <row r="7009" ht="14.25" customHeight="1">
      <c r="A7009" s="1">
        <v>100.0</v>
      </c>
      <c r="B7009" s="1" t="s">
        <v>2969</v>
      </c>
      <c r="C7009" s="1">
        <v>9.0</v>
      </c>
      <c r="D7009" s="1" t="s">
        <v>505</v>
      </c>
      <c r="E7009" s="1" t="str">
        <f>IFERROR(__xludf.DUMMYFUNCTION("GOOGLETRANSLATE(D7009,""PT"",""EN"")"),"9")</f>
        <v>9</v>
      </c>
    </row>
    <row r="7010" ht="14.25" customHeight="1">
      <c r="A7010" s="1">
        <v>100.0</v>
      </c>
      <c r="B7010" s="1" t="s">
        <v>2969</v>
      </c>
      <c r="C7010" s="1">
        <v>10.0</v>
      </c>
      <c r="D7010" s="2" t="s">
        <v>3207</v>
      </c>
      <c r="E7010" s="1" t="str">
        <f>IFERROR(__xludf.DUMMYFUNCTION("GOOGLETRANSLATE(D7010,""PT"",""EN"")"),"People do not know the benefits of being cooperated, so they are not interested.")</f>
        <v>People do not know the benefits of being cooperated, so they are not interested.</v>
      </c>
    </row>
    <row r="7011" ht="14.25" customHeight="1">
      <c r="A7011" s="1">
        <v>100.0</v>
      </c>
      <c r="B7011" s="1" t="s">
        <v>2969</v>
      </c>
      <c r="C7011" s="1">
        <v>10.0</v>
      </c>
      <c r="D7011" s="2" t="s">
        <v>3208</v>
      </c>
      <c r="E7011" s="1" t="str">
        <f>IFERROR(__xludf.DUMMYFUNCTION("GOOGLETRANSLATE(D7011,""PT"",""EN"")"),"Sicoob is excellent, it is still money!")</f>
        <v>Sicoob is excellent, it is still money!</v>
      </c>
    </row>
    <row r="7012" ht="14.25" customHeight="1">
      <c r="A7012" s="1">
        <v>100.0</v>
      </c>
      <c r="B7012" s="1" t="s">
        <v>2969</v>
      </c>
      <c r="C7012" s="1">
        <v>9.0</v>
      </c>
      <c r="D7012" s="1" t="s">
        <v>3209</v>
      </c>
      <c r="E7012" s="1" t="str">
        <f>IFERROR(__xludf.DUMMYFUNCTION("GOOGLETRANSLATE(D7012,""PT"",""EN"")"),"Great service")</f>
        <v>Great service</v>
      </c>
    </row>
    <row r="7013" ht="14.25" customHeight="1">
      <c r="A7013" s="1">
        <v>100.0</v>
      </c>
      <c r="B7013" s="1" t="s">
        <v>2969</v>
      </c>
      <c r="C7013" s="1">
        <v>10.0</v>
      </c>
      <c r="D7013" s="1" t="s">
        <v>6</v>
      </c>
      <c r="E7013" s="1"/>
    </row>
    <row r="7014" ht="14.25" customHeight="1">
      <c r="A7014" s="1">
        <v>100.0</v>
      </c>
      <c r="B7014" s="1" t="s">
        <v>2969</v>
      </c>
      <c r="C7014" s="1">
        <v>10.0</v>
      </c>
      <c r="D7014" s="1" t="s">
        <v>18</v>
      </c>
      <c r="E7014" s="1" t="str">
        <f>IFERROR(__xludf.DUMMYFUNCTION("GOOGLETRANSLATE(D7014,""PT"",""EN"")"),"Trust")</f>
        <v>Trust</v>
      </c>
    </row>
    <row r="7015" ht="14.25" customHeight="1">
      <c r="A7015" s="1">
        <v>66.0</v>
      </c>
      <c r="B7015" s="1" t="s">
        <v>2969</v>
      </c>
      <c r="C7015" s="1">
        <v>8.0</v>
      </c>
      <c r="D7015" s="1" t="s">
        <v>6</v>
      </c>
      <c r="E7015" s="1"/>
    </row>
    <row r="7016" ht="14.25" customHeight="1">
      <c r="A7016" s="1">
        <v>100.0</v>
      </c>
      <c r="B7016" s="1" t="s">
        <v>2969</v>
      </c>
      <c r="C7016" s="1">
        <v>10.0</v>
      </c>
      <c r="D7016" s="1" t="s">
        <v>6</v>
      </c>
      <c r="E7016" s="1"/>
    </row>
    <row r="7017" ht="14.25" customHeight="1">
      <c r="A7017" s="1">
        <v>66.0</v>
      </c>
      <c r="B7017" s="1" t="s">
        <v>2969</v>
      </c>
      <c r="C7017" s="1">
        <v>8.0</v>
      </c>
      <c r="D7017" s="1" t="s">
        <v>6</v>
      </c>
      <c r="E7017" s="1"/>
    </row>
    <row r="7018" ht="14.25" customHeight="1">
      <c r="A7018" s="1">
        <v>100.0</v>
      </c>
      <c r="B7018" s="1" t="s">
        <v>2969</v>
      </c>
      <c r="C7018" s="1">
        <v>10.0</v>
      </c>
      <c r="D7018" s="1" t="s">
        <v>6</v>
      </c>
      <c r="E7018" s="1"/>
    </row>
    <row r="7019" ht="14.25" customHeight="1">
      <c r="A7019" s="1">
        <v>100.0</v>
      </c>
      <c r="B7019" s="1" t="s">
        <v>2969</v>
      </c>
      <c r="C7019" s="1">
        <v>10.0</v>
      </c>
      <c r="D7019" s="1" t="s">
        <v>6</v>
      </c>
      <c r="E7019" s="1"/>
    </row>
    <row r="7020" ht="14.25" customHeight="1">
      <c r="A7020" s="1">
        <v>100.0</v>
      </c>
      <c r="B7020" s="1" t="s">
        <v>2969</v>
      </c>
      <c r="C7020" s="1">
        <v>10.0</v>
      </c>
      <c r="D7020" s="1" t="s">
        <v>6</v>
      </c>
      <c r="E7020" s="1"/>
    </row>
    <row r="7021" ht="14.25" customHeight="1">
      <c r="A7021" s="1">
        <v>66.0</v>
      </c>
      <c r="B7021" s="1" t="s">
        <v>2969</v>
      </c>
      <c r="C7021" s="1">
        <v>8.0</v>
      </c>
      <c r="D7021" s="1" t="s">
        <v>3210</v>
      </c>
      <c r="E7021" s="1" t="str">
        <f>IFERROR(__xludf.DUMMYFUNCTION("GOOGLETRANSLATE(D7021,""PT"",""EN"")"),"COOPERATIVE SYSTEM OF MUTUAL HELP.")</f>
        <v>COOPERATIVE SYSTEM OF MUTUAL HELP.</v>
      </c>
    </row>
    <row r="7022" ht="14.25" customHeight="1">
      <c r="A7022" s="1">
        <v>100.0</v>
      </c>
      <c r="B7022" s="1" t="s">
        <v>2969</v>
      </c>
      <c r="C7022" s="1">
        <v>10.0</v>
      </c>
      <c r="D7022" s="1" t="s">
        <v>6</v>
      </c>
      <c r="E7022" s="1"/>
    </row>
    <row r="7023" ht="14.25" customHeight="1">
      <c r="A7023" s="1">
        <v>100.0</v>
      </c>
      <c r="B7023" s="1" t="s">
        <v>2969</v>
      </c>
      <c r="C7023" s="1">
        <v>10.0</v>
      </c>
      <c r="D7023" s="1" t="s">
        <v>6</v>
      </c>
      <c r="E7023" s="1"/>
    </row>
    <row r="7024" ht="14.25" customHeight="1">
      <c r="A7024" s="1">
        <v>33.0</v>
      </c>
      <c r="B7024" s="1" t="s">
        <v>2969</v>
      </c>
      <c r="C7024" s="1">
        <v>0.0</v>
      </c>
      <c r="D7024" s="2" t="s">
        <v>3211</v>
      </c>
      <c r="E7024" s="1" t="str">
        <f>IFERROR(__xludf.DUMMYFUNCTION("GOOGLETRANSLATE(D7024,""PT"",""EN"")"),"Provision of services by very disabled members is bad.")</f>
        <v>Provision of services by very disabled members is bad.</v>
      </c>
    </row>
    <row r="7025" ht="14.25" customHeight="1">
      <c r="A7025" s="1">
        <v>100.0</v>
      </c>
      <c r="B7025" s="1" t="s">
        <v>2969</v>
      </c>
      <c r="C7025" s="1">
        <v>10.0</v>
      </c>
      <c r="D7025" s="1" t="s">
        <v>6</v>
      </c>
      <c r="E7025" s="1"/>
    </row>
    <row r="7026" ht="14.25" customHeight="1">
      <c r="A7026" s="1">
        <v>100.0</v>
      </c>
      <c r="B7026" s="1" t="s">
        <v>2969</v>
      </c>
      <c r="C7026" s="1">
        <v>10.0</v>
      </c>
      <c r="D7026" s="1" t="s">
        <v>6</v>
      </c>
      <c r="E7026" s="1"/>
    </row>
    <row r="7027" ht="14.25" customHeight="1">
      <c r="A7027" s="1">
        <v>100.0</v>
      </c>
      <c r="B7027" s="1" t="s">
        <v>2969</v>
      </c>
      <c r="C7027" s="1">
        <v>10.0</v>
      </c>
      <c r="D7027" s="1" t="s">
        <v>9</v>
      </c>
      <c r="E7027" s="1" t="str">
        <f>IFERROR(__xludf.DUMMYFUNCTION("GOOGLETRANSLATE(D7027,""PT"",""EN"")"),"10")</f>
        <v>10</v>
      </c>
    </row>
    <row r="7028" ht="14.25" customHeight="1">
      <c r="A7028" s="1">
        <v>66.0</v>
      </c>
      <c r="B7028" s="1" t="s">
        <v>2969</v>
      </c>
      <c r="C7028" s="1">
        <v>8.0</v>
      </c>
      <c r="D7028" s="1" t="s">
        <v>6</v>
      </c>
      <c r="E7028" s="1"/>
    </row>
    <row r="7029" ht="14.25" customHeight="1">
      <c r="A7029" s="1">
        <v>66.0</v>
      </c>
      <c r="B7029" s="1" t="s">
        <v>2969</v>
      </c>
      <c r="C7029" s="1">
        <v>7.0</v>
      </c>
      <c r="D7029" s="2" t="s">
        <v>3212</v>
      </c>
      <c r="E7029" s="1" t="str">
        <f>IFERROR(__xludf.DUMMYFUNCTION("GOOGLETRANSLATE(D7029,""PT"",""EN"")"),"because I have an account there is payment for unasp out there.")</f>
        <v>because I have an account there is payment for unasp out there.</v>
      </c>
    </row>
    <row r="7030" ht="14.25" customHeight="1">
      <c r="A7030" s="1">
        <v>100.0</v>
      </c>
      <c r="B7030" s="1" t="s">
        <v>2969</v>
      </c>
      <c r="C7030" s="1">
        <v>9.0</v>
      </c>
      <c r="D7030" s="2" t="s">
        <v>3213</v>
      </c>
      <c r="E7030" s="1" t="str">
        <f>IFERROR(__xludf.DUMMYFUNCTION("GOOGLETRANSLATE(D7030,""PT"",""EN"")"),"In the face -to -face space has more ease.")</f>
        <v>In the face -to -face space has more ease.</v>
      </c>
    </row>
    <row r="7031" ht="14.25" customHeight="1">
      <c r="A7031" s="1">
        <v>100.0</v>
      </c>
      <c r="B7031" s="1" t="s">
        <v>2969</v>
      </c>
      <c r="C7031" s="1">
        <v>10.0</v>
      </c>
      <c r="D7031" s="1" t="s">
        <v>2791</v>
      </c>
      <c r="E7031" s="1" t="str">
        <f>IFERROR(__xludf.DUMMYFUNCTION("GOOGLETRANSLATE(D7031,""PT"",""EN"")"),"Quality in service.")</f>
        <v>Quality in service.</v>
      </c>
    </row>
    <row r="7032" ht="14.25" customHeight="1">
      <c r="A7032" s="1">
        <v>33.0</v>
      </c>
      <c r="B7032" s="1" t="s">
        <v>2969</v>
      </c>
      <c r="C7032" s="1">
        <v>5.0</v>
      </c>
      <c r="D7032" s="1" t="s">
        <v>3214</v>
      </c>
      <c r="E7032" s="1" t="str">
        <f>IFERROR(__xludf.DUMMYFUNCTION("GOOGLETRANSLATE(D7032,""PT"",""EN"")"),"Unavailability in the return of messages; Difficulty of negotiation; INCORTENDING WITH UNDUE COLLECTIONS IN CASE OF INCORPORATION OF NEW COOPERATIVE.")</f>
        <v>Unavailability in the return of messages; Difficulty of negotiation; INCORTENDING WITH UNDUE COLLECTIONS IN CASE OF INCORPORATION OF NEW COOPERATIVE.</v>
      </c>
    </row>
    <row r="7033" ht="14.25" customHeight="1">
      <c r="A7033" s="1">
        <v>100.0</v>
      </c>
      <c r="B7033" s="1" t="s">
        <v>2969</v>
      </c>
      <c r="C7033" s="1">
        <v>9.0</v>
      </c>
      <c r="D7033" s="1" t="s">
        <v>6</v>
      </c>
      <c r="E7033" s="1"/>
    </row>
    <row r="7034" ht="14.25" customHeight="1">
      <c r="A7034" s="1">
        <v>100.0</v>
      </c>
      <c r="B7034" s="1" t="s">
        <v>2969</v>
      </c>
      <c r="C7034" s="1">
        <v>10.0</v>
      </c>
      <c r="D7034" s="1" t="s">
        <v>22</v>
      </c>
      <c r="E7034" s="1" t="str">
        <f>IFERROR(__xludf.DUMMYFUNCTION("GOOGLETRANSLATE(D7034,""PT"",""EN"")"),"Excellent service")</f>
        <v>Excellent service</v>
      </c>
    </row>
    <row r="7035" ht="14.25" customHeight="1">
      <c r="A7035" s="1">
        <v>100.0</v>
      </c>
      <c r="B7035" s="1" t="s">
        <v>2969</v>
      </c>
      <c r="C7035" s="1">
        <v>10.0</v>
      </c>
      <c r="D7035" s="1" t="s">
        <v>6</v>
      </c>
      <c r="E7035" s="1"/>
    </row>
    <row r="7036" ht="14.25" customHeight="1">
      <c r="A7036" s="1">
        <v>33.0</v>
      </c>
      <c r="B7036" s="1" t="s">
        <v>2969</v>
      </c>
      <c r="C7036" s="1">
        <v>6.0</v>
      </c>
      <c r="D7036" s="2" t="s">
        <v>3215</v>
      </c>
      <c r="E7036" s="1" t="str">
        <f>IFERROR(__xludf.DUMMYFUNCTION("GOOGLETRANSLATE(D7036,""PT"",""EN"")"),"Bureaucracy to be able to resolve things, it takes a long time to approve loans and services, high interest rates, have a delegate representing the associates is making decisions without even voting for this delegate to have been chosen, this is pessimal "&amp;"to business. Because it is a cooperative of associates we should vote for those who represent us. Taking this is usual")</f>
        <v>Bureaucracy to be able to resolve things, it takes a long time to approve loans and services, high interest rates, have a delegate representing the associates is making decisions without even voting for this delegate to have been chosen, this is pessimal to business. Because it is a cooperative of associates we should vote for those who represent us. Taking this is usual</v>
      </c>
    </row>
    <row r="7037" ht="14.25" customHeight="1">
      <c r="A7037" s="1">
        <v>100.0</v>
      </c>
      <c r="B7037" s="1" t="s">
        <v>2969</v>
      </c>
      <c r="C7037" s="1">
        <v>10.0</v>
      </c>
      <c r="D7037" s="2" t="s">
        <v>3216</v>
      </c>
      <c r="E7037" s="1" t="str">
        <f>IFERROR(__xludf.DUMMYFUNCTION("GOOGLETRANSLATE(D7037,""PT"",""EN"")"),"Sicoob, too good is an ally of the parallel employee.")</f>
        <v>Sicoob, too good is an ally of the parallel employee.</v>
      </c>
    </row>
    <row r="7038" ht="14.25" customHeight="1">
      <c r="A7038" s="1">
        <v>100.0</v>
      </c>
      <c r="B7038" s="1" t="s">
        <v>2969</v>
      </c>
      <c r="C7038" s="1">
        <v>10.0</v>
      </c>
      <c r="D7038" s="2" t="s">
        <v>3217</v>
      </c>
      <c r="E7038" s="1" t="str">
        <f>IFERROR(__xludf.DUMMYFUNCTION("GOOGLETRANSLATE(D7038,""PT"",""EN"")"),"Agility, transparency and reliability.")</f>
        <v>Agility, transparency and reliability.</v>
      </c>
    </row>
    <row r="7039" ht="14.25" customHeight="1">
      <c r="A7039" s="1">
        <v>100.0</v>
      </c>
      <c r="B7039" s="1" t="s">
        <v>2969</v>
      </c>
      <c r="C7039" s="1">
        <v>10.0</v>
      </c>
      <c r="D7039" s="1" t="s">
        <v>3218</v>
      </c>
      <c r="E7039" s="1" t="str">
        <f>IFERROR(__xludf.DUMMYFUNCTION("GOOGLETRANSLATE(D7039,""PT"",""EN"")"),"Agility Efficiency in service.")</f>
        <v>Agility Efficiency in service.</v>
      </c>
    </row>
    <row r="7040" ht="14.25" customHeight="1">
      <c r="A7040" s="1">
        <v>100.0</v>
      </c>
      <c r="B7040" s="1" t="s">
        <v>2969</v>
      </c>
      <c r="C7040" s="1">
        <v>10.0</v>
      </c>
      <c r="D7040" s="2" t="s">
        <v>3219</v>
      </c>
      <c r="E7040" s="1" t="str">
        <f>IFERROR(__xludf.DUMMYFUNCTION("GOOGLETRANSLATE(D7040,""PT"",""EN"")"),"Quality service, speed in answers is lower interest")</f>
        <v>Quality service, speed in answers is lower interest</v>
      </c>
    </row>
    <row r="7041" ht="14.25" customHeight="1">
      <c r="A7041" s="1">
        <v>100.0</v>
      </c>
      <c r="B7041" s="1" t="s">
        <v>2969</v>
      </c>
      <c r="C7041" s="1">
        <v>9.0</v>
      </c>
      <c r="D7041" s="1" t="s">
        <v>1187</v>
      </c>
      <c r="E7041" s="1" t="str">
        <f>IFERROR(__xludf.DUMMYFUNCTION("GOOGLETRANSLATE(D7041,""PT"",""EN"")"),"Security")</f>
        <v>Security</v>
      </c>
    </row>
    <row r="7042" ht="14.25" customHeight="1">
      <c r="A7042" s="1">
        <v>33.0</v>
      </c>
      <c r="B7042" s="1" t="s">
        <v>2969</v>
      </c>
      <c r="C7042" s="1">
        <v>1.0</v>
      </c>
      <c r="D7042" s="2" t="s">
        <v>3220</v>
      </c>
      <c r="E7042" s="1" t="str">
        <f>IFERROR(__xludf.DUMMYFUNCTION("GOOGLETRANSLATE(D7042,""PT"",""EN"")"),"My saint is Sicoob, do not close ...")</f>
        <v>My saint is Sicoob, do not close ...</v>
      </c>
    </row>
    <row r="7043" ht="14.25" customHeight="1">
      <c r="A7043" s="1">
        <v>100.0</v>
      </c>
      <c r="B7043" s="1" t="s">
        <v>2969</v>
      </c>
      <c r="C7043" s="1">
        <v>10.0</v>
      </c>
      <c r="D7043" s="1" t="s">
        <v>9</v>
      </c>
      <c r="E7043" s="1" t="str">
        <f>IFERROR(__xludf.DUMMYFUNCTION("GOOGLETRANSLATE(D7043,""PT"",""EN"")"),"10")</f>
        <v>10</v>
      </c>
    </row>
    <row r="7044" ht="14.25" customHeight="1">
      <c r="A7044" s="1">
        <v>33.0</v>
      </c>
      <c r="B7044" s="1" t="s">
        <v>2969</v>
      </c>
      <c r="C7044" s="1">
        <v>1.0</v>
      </c>
      <c r="D7044" s="1" t="s">
        <v>6</v>
      </c>
      <c r="E7044" s="1"/>
    </row>
    <row r="7045" ht="14.25" customHeight="1">
      <c r="A7045" s="1">
        <v>100.0</v>
      </c>
      <c r="B7045" s="1" t="s">
        <v>2969</v>
      </c>
      <c r="C7045" s="1">
        <v>10.0</v>
      </c>
      <c r="D7045" s="1" t="s">
        <v>6</v>
      </c>
      <c r="E7045" s="1"/>
    </row>
    <row r="7046" ht="14.25" customHeight="1">
      <c r="A7046" s="1">
        <v>100.0</v>
      </c>
      <c r="B7046" s="1" t="s">
        <v>2969</v>
      </c>
      <c r="C7046" s="1">
        <v>10.0</v>
      </c>
      <c r="D7046" s="2" t="s">
        <v>3221</v>
      </c>
      <c r="E7046" s="1" t="str">
        <f>IFERROR(__xludf.DUMMYFUNCTION("GOOGLETRANSLATE(D7046,""PT"",""EN"")"),"Responsibility is attention in service")</f>
        <v>Responsibility is attention in service</v>
      </c>
    </row>
    <row r="7047" ht="14.25" customHeight="1">
      <c r="A7047" s="1">
        <v>100.0</v>
      </c>
      <c r="B7047" s="1" t="s">
        <v>2969</v>
      </c>
      <c r="C7047" s="1">
        <v>10.0</v>
      </c>
      <c r="D7047" s="1" t="s">
        <v>3222</v>
      </c>
      <c r="E7047" s="1" t="str">
        <f>IFERROR(__xludf.DUMMYFUNCTION("GOOGLETRANSLATE(D7047,""PT"",""EN"")"),"I was always well attended to Sicoob.")</f>
        <v>I was always well attended to Sicoob.</v>
      </c>
    </row>
    <row r="7048" ht="14.25" customHeight="1">
      <c r="A7048" s="1">
        <v>33.0</v>
      </c>
      <c r="B7048" s="1" t="s">
        <v>2969</v>
      </c>
      <c r="C7048" s="1">
        <v>3.0</v>
      </c>
      <c r="D7048" s="1" t="s">
        <v>6</v>
      </c>
      <c r="E7048" s="1"/>
    </row>
    <row r="7049" ht="14.25" customHeight="1">
      <c r="A7049" s="1">
        <v>100.0</v>
      </c>
      <c r="B7049" s="1" t="s">
        <v>2969</v>
      </c>
      <c r="C7049" s="1">
        <v>10.0</v>
      </c>
      <c r="D7049" s="1" t="s">
        <v>6</v>
      </c>
      <c r="E7049" s="1"/>
    </row>
    <row r="7050" ht="14.25" customHeight="1">
      <c r="A7050" s="1">
        <v>100.0</v>
      </c>
      <c r="B7050" s="1" t="s">
        <v>2969</v>
      </c>
      <c r="C7050" s="1">
        <v>10.0</v>
      </c>
      <c r="D7050" s="1" t="s">
        <v>1629</v>
      </c>
      <c r="E7050" s="1" t="str">
        <f>IFERROR(__xludf.DUMMYFUNCTION("GOOGLETRANSLATE(D7050,""PT"",""EN"")"),"Excellence in service.")</f>
        <v>Excellence in service.</v>
      </c>
    </row>
    <row r="7051" ht="14.25" customHeight="1">
      <c r="A7051" s="1">
        <v>100.0</v>
      </c>
      <c r="B7051" s="1" t="s">
        <v>2969</v>
      </c>
      <c r="C7051" s="1">
        <v>10.0</v>
      </c>
      <c r="D7051" s="2" t="s">
        <v>3223</v>
      </c>
      <c r="E7051" s="1" t="str">
        <f>IFERROR(__xludf.DUMMYFUNCTION("GOOGLETRANSLATE(D7051,""PT"",""EN"")"),"Sicoob is excellent, great service. In everything she is excellent.")</f>
        <v>Sicoob is excellent, great service. In everything she is excellent.</v>
      </c>
    </row>
    <row r="7052" ht="14.25" customHeight="1">
      <c r="A7052" s="1">
        <v>100.0</v>
      </c>
      <c r="B7052" s="1" t="s">
        <v>2969</v>
      </c>
      <c r="C7052" s="1">
        <v>10.0</v>
      </c>
      <c r="D7052" s="1" t="s">
        <v>3224</v>
      </c>
      <c r="E7052" s="1" t="str">
        <f>IFERROR(__xludf.DUMMYFUNCTION("GOOGLETRANSLATE(D7052,""PT"",""EN"")"),"Service, respect")</f>
        <v>Service, respect</v>
      </c>
    </row>
    <row r="7053" ht="14.25" customHeight="1">
      <c r="A7053" s="1">
        <v>100.0</v>
      </c>
      <c r="B7053" s="1" t="s">
        <v>2969</v>
      </c>
      <c r="C7053" s="1">
        <v>10.0</v>
      </c>
      <c r="D7053" s="2" t="s">
        <v>3225</v>
      </c>
      <c r="E7053" s="1" t="str">
        <f>IFERROR(__xludf.DUMMYFUNCTION("GOOGLETRANSLATE(D7053,""PT"",""EN"")"),"Efficiency is competence")</f>
        <v>Efficiency is competence</v>
      </c>
    </row>
    <row r="7054" ht="14.25" customHeight="1">
      <c r="A7054" s="1">
        <v>33.0</v>
      </c>
      <c r="B7054" s="1" t="s">
        <v>2969</v>
      </c>
      <c r="C7054" s="1">
        <v>3.0</v>
      </c>
      <c r="D7054" s="2" t="s">
        <v>3226</v>
      </c>
      <c r="E7054" s="1" t="str">
        <f>IFERROR(__xludf.DUMMYFUNCTION("GOOGLETRANSLATE(D7054,""PT"",""EN"")"),"I have an account so far I have no credit limit.")</f>
        <v>I have an account so far I have no credit limit.</v>
      </c>
    </row>
    <row r="7055" ht="14.25" customHeight="1">
      <c r="A7055" s="1">
        <v>100.0</v>
      </c>
      <c r="B7055" s="1" t="s">
        <v>2969</v>
      </c>
      <c r="C7055" s="1">
        <v>10.0</v>
      </c>
      <c r="D7055" s="1" t="s">
        <v>3227</v>
      </c>
      <c r="E7055" s="1" t="str">
        <f>IFERROR(__xludf.DUMMYFUNCTION("GOOGLETRANSLATE(D7055,""PT"",""EN"")"),"I like cooperativism")</f>
        <v>I like cooperativism</v>
      </c>
    </row>
    <row r="7056" ht="14.25" customHeight="1">
      <c r="A7056" s="1">
        <v>100.0</v>
      </c>
      <c r="B7056" s="1" t="s">
        <v>2969</v>
      </c>
      <c r="C7056" s="1">
        <v>10.0</v>
      </c>
      <c r="D7056" s="1" t="s">
        <v>17</v>
      </c>
      <c r="E7056" s="1" t="str">
        <f>IFERROR(__xludf.DUMMYFUNCTION("GOOGLETRANSLATE(D7056,""PT"",""EN"")"),"Satisfaction")</f>
        <v>Satisfaction</v>
      </c>
    </row>
    <row r="7057" ht="14.25" customHeight="1">
      <c r="A7057" s="1">
        <v>100.0</v>
      </c>
      <c r="B7057" s="1" t="s">
        <v>2969</v>
      </c>
      <c r="C7057" s="1">
        <v>9.0</v>
      </c>
      <c r="D7057" s="1" t="s">
        <v>6</v>
      </c>
      <c r="E7057" s="1"/>
    </row>
    <row r="7058" ht="14.25" customHeight="1">
      <c r="A7058" s="1">
        <v>100.0</v>
      </c>
      <c r="B7058" s="1" t="s">
        <v>2969</v>
      </c>
      <c r="C7058" s="1">
        <v>10.0</v>
      </c>
      <c r="D7058" s="1" t="s">
        <v>6</v>
      </c>
      <c r="E7058" s="1"/>
    </row>
    <row r="7059" ht="14.25" customHeight="1">
      <c r="A7059" s="1">
        <v>100.0</v>
      </c>
      <c r="B7059" s="1" t="s">
        <v>2969</v>
      </c>
      <c r="C7059" s="1">
        <v>10.0</v>
      </c>
      <c r="D7059" s="1" t="s">
        <v>6</v>
      </c>
      <c r="E7059" s="1"/>
    </row>
    <row r="7060" ht="14.25" customHeight="1">
      <c r="A7060" s="1">
        <v>100.0</v>
      </c>
      <c r="B7060" s="1" t="s">
        <v>2969</v>
      </c>
      <c r="C7060" s="1">
        <v>10.0</v>
      </c>
      <c r="D7060" s="1" t="s">
        <v>3228</v>
      </c>
      <c r="E7060" s="1" t="str">
        <f>IFERROR(__xludf.DUMMYFUNCTION("GOOGLETRANSLATE(D7060,""PT"",""EN"")"),"Being cooperated for over 10 years.")</f>
        <v>Being cooperated for over 10 years.</v>
      </c>
    </row>
    <row r="7061" ht="14.25" customHeight="1">
      <c r="A7061" s="1">
        <v>100.0</v>
      </c>
      <c r="B7061" s="1" t="s">
        <v>2969</v>
      </c>
      <c r="C7061" s="1">
        <v>10.0</v>
      </c>
      <c r="D7061" s="1" t="s">
        <v>6</v>
      </c>
      <c r="E7061" s="1"/>
    </row>
    <row r="7062" ht="14.25" customHeight="1">
      <c r="A7062" s="1">
        <v>33.0</v>
      </c>
      <c r="B7062" s="1" t="s">
        <v>2969</v>
      </c>
      <c r="C7062" s="1">
        <v>4.0</v>
      </c>
      <c r="D7062" s="1" t="s">
        <v>6</v>
      </c>
      <c r="E7062" s="1"/>
    </row>
    <row r="7063" ht="14.25" customHeight="1">
      <c r="A7063" s="1">
        <v>100.0</v>
      </c>
      <c r="B7063" s="1" t="s">
        <v>2969</v>
      </c>
      <c r="C7063" s="1">
        <v>10.0</v>
      </c>
      <c r="D7063" s="1" t="s">
        <v>6</v>
      </c>
      <c r="E7063" s="1"/>
    </row>
    <row r="7064" ht="14.25" customHeight="1">
      <c r="A7064" s="1">
        <v>100.0</v>
      </c>
      <c r="B7064" s="1" t="s">
        <v>2969</v>
      </c>
      <c r="C7064" s="1">
        <v>10.0</v>
      </c>
      <c r="D7064" s="1" t="s">
        <v>6</v>
      </c>
      <c r="E7064" s="1"/>
    </row>
    <row r="7065" ht="14.25" customHeight="1">
      <c r="A7065" s="1">
        <v>100.0</v>
      </c>
      <c r="B7065" s="1" t="s">
        <v>2969</v>
      </c>
      <c r="C7065" s="1">
        <v>10.0</v>
      </c>
      <c r="D7065" s="1" t="s">
        <v>6</v>
      </c>
      <c r="E7065" s="1"/>
    </row>
    <row r="7066" ht="14.25" customHeight="1">
      <c r="A7066" s="1">
        <v>100.0</v>
      </c>
      <c r="B7066" s="1" t="s">
        <v>2969</v>
      </c>
      <c r="C7066" s="1">
        <v>10.0</v>
      </c>
      <c r="D7066" s="1" t="s">
        <v>3229</v>
      </c>
      <c r="E7066" s="1" t="str">
        <f>IFERROR(__xludf.DUMMYFUNCTION("GOOGLETRANSLATE(D7066,""PT"",""EN"")"),"Modernity")</f>
        <v>Modernity</v>
      </c>
    </row>
    <row r="7067" ht="14.25" customHeight="1">
      <c r="A7067" s="1">
        <v>100.0</v>
      </c>
      <c r="B7067" s="1" t="s">
        <v>2969</v>
      </c>
      <c r="C7067" s="1">
        <v>10.0</v>
      </c>
      <c r="D7067" s="2" t="s">
        <v>3230</v>
      </c>
      <c r="E7067" s="1" t="str">
        <f>IFERROR(__xludf.DUMMYFUNCTION("GOOGLETRANSLATE(D7067,""PT"",""EN"")"),"BEST BANK THAT MOVEMENT MY MONEY IS SIMPLE IS EASY THE EI APP!")</f>
        <v>BEST BANK THAT MOVEMENT MY MONEY IS SIMPLE IS EASY THE EI APP!</v>
      </c>
    </row>
    <row r="7068" ht="14.25" customHeight="1">
      <c r="A7068" s="1">
        <v>100.0</v>
      </c>
      <c r="B7068" s="1" t="s">
        <v>2969</v>
      </c>
      <c r="C7068" s="1">
        <v>10.0</v>
      </c>
      <c r="D7068" s="2" t="s">
        <v>3231</v>
      </c>
      <c r="E7068" s="1" t="str">
        <f>IFERROR(__xludf.DUMMYFUNCTION("GOOGLETRANSLATE(D7068,""PT"",""EN"")"),"I have been cooperated for years has always found a solution, carefully in the subjects I sought.")</f>
        <v>I have been cooperated for years has always found a solution, carefully in the subjects I sought.</v>
      </c>
    </row>
    <row r="7069" ht="14.25" customHeight="1">
      <c r="A7069" s="1">
        <v>100.0</v>
      </c>
      <c r="B7069" s="1" t="s">
        <v>2969</v>
      </c>
      <c r="C7069" s="1">
        <v>10.0</v>
      </c>
      <c r="D7069" s="2" t="s">
        <v>3232</v>
      </c>
      <c r="E7069" s="1" t="str">
        <f>IFERROR(__xludf.DUMMYFUNCTION("GOOGLETRANSLATE(D7069,""PT"",""EN"")"),"It has a great service.")</f>
        <v>It has a great service.</v>
      </c>
    </row>
    <row r="7070" ht="14.25" customHeight="1">
      <c r="A7070" s="1">
        <v>33.0</v>
      </c>
      <c r="B7070" s="1" t="s">
        <v>2969</v>
      </c>
      <c r="C7070" s="1">
        <v>0.0</v>
      </c>
      <c r="D7070" s="2" t="s">
        <v>3233</v>
      </c>
      <c r="E7070" s="1" t="str">
        <f>IFERROR(__xludf.DUMMYFUNCTION("GOOGLETRANSLATE(D7070,""PT"",""EN"")"),"I am not happy with this cooperative, it is useful is only the elite .....")</f>
        <v>I am not happy with this cooperative, it is useful is only the elite .....</v>
      </c>
    </row>
    <row r="7071" ht="14.25" customHeight="1">
      <c r="A7071" s="1">
        <v>66.0</v>
      </c>
      <c r="B7071" s="1" t="s">
        <v>2969</v>
      </c>
      <c r="C7071" s="1">
        <v>7.0</v>
      </c>
      <c r="D7071" s="1" t="s">
        <v>6</v>
      </c>
      <c r="E7071" s="1"/>
    </row>
    <row r="7072" ht="14.25" customHeight="1">
      <c r="A7072" s="1">
        <v>100.0</v>
      </c>
      <c r="B7072" s="1" t="s">
        <v>2969</v>
      </c>
      <c r="C7072" s="1">
        <v>10.0</v>
      </c>
      <c r="D7072" s="1" t="s">
        <v>3234</v>
      </c>
      <c r="E7072" s="1" t="str">
        <f>IFERROR(__xludf.DUMMYFUNCTION("GOOGLETRANSLATE(D7072,""PT"",""EN"")"),"I like Sicoob very much")</f>
        <v>I like Sicoob very much</v>
      </c>
    </row>
    <row r="7073" ht="14.25" customHeight="1">
      <c r="A7073" s="1">
        <v>33.0</v>
      </c>
      <c r="B7073" s="1" t="s">
        <v>2969</v>
      </c>
      <c r="C7073" s="1">
        <v>0.0</v>
      </c>
      <c r="D7073" s="1" t="s">
        <v>6</v>
      </c>
      <c r="E7073" s="1"/>
    </row>
    <row r="7074" ht="14.25" customHeight="1">
      <c r="A7074" s="1">
        <v>66.0</v>
      </c>
      <c r="B7074" s="1" t="s">
        <v>2969</v>
      </c>
      <c r="C7074" s="1">
        <v>8.0</v>
      </c>
      <c r="D7074" s="1" t="s">
        <v>3235</v>
      </c>
      <c r="E7074" s="1" t="str">
        <f>IFERROR(__xludf.DUMMYFUNCTION("GOOGLETRANSLATE(D7074,""PT"",""EN"")"),"Taste Removed Cushion in the mouth of the cashier")</f>
        <v>Taste Removed Cushion in the mouth of the cashier</v>
      </c>
    </row>
    <row r="7075" ht="14.25" customHeight="1">
      <c r="A7075" s="1">
        <v>33.0</v>
      </c>
      <c r="B7075" s="1" t="s">
        <v>2969</v>
      </c>
      <c r="C7075" s="1">
        <v>3.0</v>
      </c>
      <c r="D7075" s="2" t="s">
        <v>3236</v>
      </c>
      <c r="E7075" s="1" t="str">
        <f>IFERROR(__xludf.DUMMYFUNCTION("GOOGLETRANSLATE(D7075,""PT"",""EN"")"),"It is difficult to operate with Sicoob, do not use technology in your app, while other banks you do everything through the loan application of all modalities, credit cards is released on time in the checking account. Missing technology.")</f>
        <v>It is difficult to operate with Sicoob, do not use technology in your app, while other banks you do everything through the loan application of all modalities, credit cards is released on time in the checking account. Missing technology.</v>
      </c>
    </row>
    <row r="7076" ht="14.25" customHeight="1">
      <c r="A7076" s="1">
        <v>100.0</v>
      </c>
      <c r="B7076" s="1" t="s">
        <v>2969</v>
      </c>
      <c r="C7076" s="1">
        <v>10.0</v>
      </c>
      <c r="D7076" s="1" t="s">
        <v>3237</v>
      </c>
      <c r="E7076" s="1" t="str">
        <f>IFERROR(__xludf.DUMMYFUNCTION("GOOGLETRANSLATE(D7076,""PT"",""EN"")"),"Cordial service")</f>
        <v>Cordial service</v>
      </c>
    </row>
    <row r="7077" ht="14.25" customHeight="1">
      <c r="A7077" s="1">
        <v>33.0</v>
      </c>
      <c r="B7077" s="1" t="s">
        <v>2969</v>
      </c>
      <c r="C7077" s="1">
        <v>4.0</v>
      </c>
      <c r="D7077" s="2" t="s">
        <v>3238</v>
      </c>
      <c r="E7077" s="1" t="str">
        <f>IFERROR(__xludf.DUMMYFUNCTION("GOOGLETRANSLATE(D7077,""PT"",""EN"")"),"Change of service.")</f>
        <v>Change of service.</v>
      </c>
    </row>
    <row r="7078" ht="14.25" customHeight="1">
      <c r="A7078" s="1">
        <v>100.0</v>
      </c>
      <c r="B7078" s="1" t="s">
        <v>2969</v>
      </c>
      <c r="C7078" s="1">
        <v>10.0</v>
      </c>
      <c r="D7078" s="2" t="s">
        <v>3239</v>
      </c>
      <c r="E7078" s="1" t="str">
        <f>IFERROR(__xludf.DUMMYFUNCTION("GOOGLETRANSLATE(D7078,""PT"",""EN"")"),"Note 10 they are very polite and attentive every time I needed. 1000000000")</f>
        <v>Note 10 they are very polite and attentive every time I needed. 1000000000</v>
      </c>
    </row>
    <row r="7079" ht="14.25" customHeight="1">
      <c r="A7079" s="1">
        <v>66.0</v>
      </c>
      <c r="B7079" s="1" t="s">
        <v>2969</v>
      </c>
      <c r="C7079" s="1">
        <v>8.0</v>
      </c>
      <c r="D7079" s="1" t="s">
        <v>3240</v>
      </c>
      <c r="E7079" s="1" t="str">
        <f>IFERROR(__xludf.DUMMYFUNCTION("GOOGLETRANSLATE(D7079,""PT"",""EN"")"),"Distance from the agency")</f>
        <v>Distance from the agency</v>
      </c>
    </row>
    <row r="7080" ht="14.25" customHeight="1">
      <c r="A7080" s="1">
        <v>100.0</v>
      </c>
      <c r="B7080" s="1" t="s">
        <v>2969</v>
      </c>
      <c r="C7080" s="1">
        <v>10.0</v>
      </c>
      <c r="D7080" s="1" t="s">
        <v>6</v>
      </c>
      <c r="E7080" s="1"/>
    </row>
    <row r="7081" ht="14.25" customHeight="1">
      <c r="A7081" s="1">
        <v>100.0</v>
      </c>
      <c r="B7081" s="1" t="s">
        <v>2969</v>
      </c>
      <c r="C7081" s="1">
        <v>10.0</v>
      </c>
      <c r="D7081" s="1" t="s">
        <v>6</v>
      </c>
      <c r="E7081" s="1"/>
    </row>
    <row r="7082" ht="14.25" customHeight="1">
      <c r="A7082" s="1">
        <v>100.0</v>
      </c>
      <c r="B7082" s="1" t="s">
        <v>2969</v>
      </c>
      <c r="C7082" s="1">
        <v>10.0</v>
      </c>
      <c r="D7082" s="1" t="s">
        <v>3241</v>
      </c>
      <c r="E7082" s="1" t="str">
        <f>IFERROR(__xludf.DUMMYFUNCTION("GOOGLETRANSLATE(D7082,""PT"",""EN"")"),"Cost")</f>
        <v>Cost</v>
      </c>
    </row>
    <row r="7083" ht="14.25" customHeight="1">
      <c r="A7083" s="1">
        <v>100.0</v>
      </c>
      <c r="B7083" s="1" t="s">
        <v>2969</v>
      </c>
      <c r="C7083" s="1">
        <v>10.0</v>
      </c>
      <c r="D7083" s="2" t="s">
        <v>3242</v>
      </c>
      <c r="E7083" s="1" t="str">
        <f>IFERROR(__xludf.DUMMYFUNCTION("GOOGLETRANSLATE(D7083,""PT"",""EN"")"),"Employee attention, ease of contact is low rates offered")</f>
        <v>Employee attention, ease of contact is low rates offered</v>
      </c>
    </row>
    <row r="7084" ht="14.25" customHeight="1">
      <c r="A7084" s="1">
        <v>100.0</v>
      </c>
      <c r="B7084" s="1" t="s">
        <v>2969</v>
      </c>
      <c r="C7084" s="1">
        <v>10.0</v>
      </c>
      <c r="D7084" s="1" t="s">
        <v>6</v>
      </c>
      <c r="E7084" s="1"/>
    </row>
    <row r="7085" ht="14.25" customHeight="1">
      <c r="A7085" s="1">
        <v>100.0</v>
      </c>
      <c r="B7085" s="1" t="s">
        <v>2969</v>
      </c>
      <c r="C7085" s="1">
        <v>9.0</v>
      </c>
      <c r="D7085" s="1" t="s">
        <v>3243</v>
      </c>
      <c r="E7085" s="1" t="str">
        <f>IFERROR(__xludf.DUMMYFUNCTION("GOOGLETRANSLATE(D7085,""PT"",""EN"")"),"Service, promptness, finally, very good the relationship.")</f>
        <v>Service, promptness, finally, very good the relationship.</v>
      </c>
    </row>
    <row r="7086" ht="14.25" customHeight="1">
      <c r="A7086" s="1">
        <v>100.0</v>
      </c>
      <c r="B7086" s="1" t="s">
        <v>2969</v>
      </c>
      <c r="C7086" s="1">
        <v>10.0</v>
      </c>
      <c r="D7086" s="1" t="s">
        <v>6</v>
      </c>
      <c r="E7086" s="1"/>
    </row>
    <row r="7087" ht="14.25" customHeight="1">
      <c r="A7087" s="1">
        <v>100.0</v>
      </c>
      <c r="B7087" s="1" t="s">
        <v>2969</v>
      </c>
      <c r="C7087" s="1">
        <v>10.0</v>
      </c>
      <c r="D7087" s="2" t="s">
        <v>3244</v>
      </c>
      <c r="E7087" s="1" t="str">
        <f>IFERROR(__xludf.DUMMYFUNCTION("GOOGLETRANSLATE(D7087,""PT"",""EN"")"),"Efficiency is the speed in meeting the needs of the members.")</f>
        <v>Efficiency is the speed in meeting the needs of the members.</v>
      </c>
    </row>
    <row r="7088" ht="14.25" customHeight="1">
      <c r="A7088" s="1">
        <v>100.0</v>
      </c>
      <c r="B7088" s="1" t="s">
        <v>2969</v>
      </c>
      <c r="C7088" s="1">
        <v>10.0</v>
      </c>
      <c r="D7088" s="1" t="s">
        <v>6</v>
      </c>
      <c r="E7088" s="1"/>
    </row>
    <row r="7089" ht="14.25" customHeight="1">
      <c r="A7089" s="1">
        <v>33.0</v>
      </c>
      <c r="B7089" s="1" t="s">
        <v>2969</v>
      </c>
      <c r="C7089" s="1">
        <v>6.0</v>
      </c>
      <c r="D7089" s="1" t="s">
        <v>6</v>
      </c>
      <c r="E7089" s="1"/>
    </row>
    <row r="7090" ht="14.25" customHeight="1">
      <c r="A7090" s="1">
        <v>100.0</v>
      </c>
      <c r="B7090" s="1" t="s">
        <v>2969</v>
      </c>
      <c r="C7090" s="1">
        <v>10.0</v>
      </c>
      <c r="D7090" s="1" t="s">
        <v>3245</v>
      </c>
      <c r="E7090" s="1" t="str">
        <f>IFERROR(__xludf.DUMMYFUNCTION("GOOGLETRANSLATE(D7090,""PT"",""EN"")"),"Efficiency, cordiality, professionalism, empathy.")</f>
        <v>Efficiency, cordiality, professionalism, empathy.</v>
      </c>
    </row>
    <row r="7091" ht="14.25" customHeight="1">
      <c r="A7091" s="1">
        <v>33.0</v>
      </c>
      <c r="B7091" s="1" t="s">
        <v>2969</v>
      </c>
      <c r="C7091" s="1">
        <v>3.0</v>
      </c>
      <c r="D7091" s="1" t="s">
        <v>6</v>
      </c>
      <c r="E7091" s="1"/>
    </row>
    <row r="7092" ht="14.25" customHeight="1">
      <c r="A7092" s="1">
        <v>100.0</v>
      </c>
      <c r="B7092" s="1" t="s">
        <v>2969</v>
      </c>
      <c r="C7092" s="1">
        <v>10.0</v>
      </c>
      <c r="D7092" s="1" t="s">
        <v>1630</v>
      </c>
      <c r="E7092" s="1"/>
    </row>
    <row r="7093" ht="14.25" customHeight="1">
      <c r="A7093" s="1">
        <v>100.0</v>
      </c>
      <c r="B7093" s="1" t="s">
        <v>2969</v>
      </c>
      <c r="C7093" s="1">
        <v>10.0</v>
      </c>
      <c r="D7093" s="1" t="s">
        <v>3246</v>
      </c>
      <c r="E7093" s="1" t="str">
        <f>IFERROR(__xludf.DUMMYFUNCTION("GOOGLETRANSLATE(D7093,""PT"",""EN"")"),"The attention of your employees!")</f>
        <v>The attention of your employees!</v>
      </c>
    </row>
    <row r="7094" ht="14.25" customHeight="1">
      <c r="A7094" s="1">
        <v>100.0</v>
      </c>
      <c r="B7094" s="1" t="s">
        <v>2969</v>
      </c>
      <c r="C7094" s="1">
        <v>9.0</v>
      </c>
      <c r="D7094" s="1" t="s">
        <v>6</v>
      </c>
      <c r="E7094" s="1"/>
    </row>
    <row r="7095" ht="14.25" customHeight="1">
      <c r="A7095" s="1">
        <v>33.0</v>
      </c>
      <c r="B7095" s="1" t="s">
        <v>2969</v>
      </c>
      <c r="C7095" s="1">
        <v>0.0</v>
      </c>
      <c r="D7095" s="1" t="s">
        <v>6</v>
      </c>
      <c r="E7095" s="1"/>
    </row>
    <row r="7096" ht="14.25" customHeight="1">
      <c r="A7096" s="1">
        <v>100.0</v>
      </c>
      <c r="B7096" s="1" t="s">
        <v>2969</v>
      </c>
      <c r="C7096" s="1">
        <v>10.0</v>
      </c>
      <c r="D7096" s="1" t="s">
        <v>62</v>
      </c>
      <c r="E7096" s="1" t="str">
        <f>IFERROR(__xludf.DUMMYFUNCTION("GOOGLETRANSLATE(D7096,""PT"",""EN"")"),"Good service")</f>
        <v>Good service</v>
      </c>
    </row>
    <row r="7097" ht="14.25" customHeight="1">
      <c r="A7097" s="1">
        <v>100.0</v>
      </c>
      <c r="B7097" s="1" t="s">
        <v>2969</v>
      </c>
      <c r="C7097" s="1">
        <v>10.0</v>
      </c>
      <c r="D7097" s="1" t="s">
        <v>6</v>
      </c>
      <c r="E7097" s="1"/>
    </row>
    <row r="7098" ht="14.25" customHeight="1">
      <c r="A7098" s="1">
        <v>100.0</v>
      </c>
      <c r="B7098" s="1" t="s">
        <v>2969</v>
      </c>
      <c r="C7098" s="1">
        <v>10.0</v>
      </c>
      <c r="D7098" s="1" t="s">
        <v>3247</v>
      </c>
      <c r="E7098" s="1" t="str">
        <f>IFERROR(__xludf.DUMMYFUNCTION("GOOGLETRANSLATE(D7098,""PT"",""EN"")"),"The best financial institution in Brazil!")</f>
        <v>The best financial institution in Brazil!</v>
      </c>
    </row>
    <row r="7099" ht="14.25" customHeight="1">
      <c r="A7099" s="1">
        <v>33.0</v>
      </c>
      <c r="B7099" s="1" t="s">
        <v>2969</v>
      </c>
      <c r="C7099" s="1">
        <v>1.0</v>
      </c>
      <c r="D7099" s="2" t="s">
        <v>3248</v>
      </c>
      <c r="E7099" s="1" t="str">
        <f>IFERROR(__xludf.DUMMYFUNCTION("GOOGLETRANSLATE(D7099,""PT"",""EN"")"),"There is no accompaniment of the account or its movement. I am without access is still without access")</f>
        <v>There is no accompaniment of the account or its movement. I am without access is still without access</v>
      </c>
    </row>
    <row r="7100" ht="14.25" customHeight="1">
      <c r="A7100" s="1">
        <v>33.0</v>
      </c>
      <c r="B7100" s="1" t="s">
        <v>2969</v>
      </c>
      <c r="C7100" s="1">
        <v>2.0</v>
      </c>
      <c r="D7100" s="1" t="s">
        <v>6</v>
      </c>
      <c r="E7100" s="1"/>
    </row>
    <row r="7101" ht="14.25" customHeight="1">
      <c r="A7101" s="1">
        <v>66.0</v>
      </c>
      <c r="B7101" s="1" t="s">
        <v>2969</v>
      </c>
      <c r="C7101" s="1">
        <v>7.0</v>
      </c>
      <c r="D7101" s="1" t="s">
        <v>6</v>
      </c>
      <c r="E7101" s="1"/>
    </row>
    <row r="7102" ht="14.25" customHeight="1">
      <c r="A7102" s="1">
        <v>33.0</v>
      </c>
      <c r="B7102" s="1" t="s">
        <v>2969</v>
      </c>
      <c r="C7102" s="1">
        <v>5.0</v>
      </c>
      <c r="D7102" s="2" t="s">
        <v>3249</v>
      </c>
      <c r="E7102" s="1" t="str">
        <f>IFERROR(__xludf.DUMMYFUNCTION("GOOGLETRANSLATE(D7102,""PT"",""EN"")"),"At least the Guaraense Sports Union has not been receiving the minimum service.")</f>
        <v>At least the Guaraense Sports Union has not been receiving the minimum service.</v>
      </c>
    </row>
    <row r="7103" ht="14.25" customHeight="1">
      <c r="A7103" s="1">
        <v>100.0</v>
      </c>
      <c r="B7103" s="1" t="s">
        <v>2969</v>
      </c>
      <c r="C7103" s="1">
        <v>9.0</v>
      </c>
      <c r="D7103" s="1" t="s">
        <v>6</v>
      </c>
      <c r="E7103" s="1"/>
    </row>
    <row r="7104" ht="14.25" customHeight="1">
      <c r="A7104" s="1">
        <v>66.0</v>
      </c>
      <c r="B7104" s="1" t="s">
        <v>2969</v>
      </c>
      <c r="C7104" s="1">
        <v>8.0</v>
      </c>
      <c r="D7104" s="1" t="s">
        <v>6</v>
      </c>
      <c r="E7104" s="1"/>
    </row>
    <row r="7105" ht="14.25" customHeight="1">
      <c r="A7105" s="1">
        <v>100.0</v>
      </c>
      <c r="B7105" s="1" t="s">
        <v>2969</v>
      </c>
      <c r="C7105" s="1">
        <v>10.0</v>
      </c>
      <c r="D7105" s="1" t="s">
        <v>6</v>
      </c>
      <c r="E7105" s="1"/>
    </row>
    <row r="7106" ht="14.25" customHeight="1">
      <c r="A7106" s="1">
        <v>100.0</v>
      </c>
      <c r="B7106" s="1" t="s">
        <v>2969</v>
      </c>
      <c r="C7106" s="1">
        <v>10.0</v>
      </c>
      <c r="D7106" s="1" t="s">
        <v>393</v>
      </c>
      <c r="E7106" s="1" t="str">
        <f>IFERROR(__xludf.DUMMYFUNCTION("GOOGLETRANSLATE(D7106,""PT"",""EN"")"),"great")</f>
        <v>great</v>
      </c>
    </row>
    <row r="7107" ht="14.25" customHeight="1">
      <c r="A7107" s="1">
        <v>33.0</v>
      </c>
      <c r="B7107" s="1" t="s">
        <v>2969</v>
      </c>
      <c r="C7107" s="1">
        <v>0.0</v>
      </c>
      <c r="D7107" s="1" t="s">
        <v>6</v>
      </c>
      <c r="E7107" s="1"/>
    </row>
    <row r="7108" ht="14.25" customHeight="1">
      <c r="A7108" s="1">
        <v>100.0</v>
      </c>
      <c r="B7108" s="1" t="s">
        <v>2969</v>
      </c>
      <c r="C7108" s="1">
        <v>10.0</v>
      </c>
      <c r="D7108" s="1" t="s">
        <v>6</v>
      </c>
      <c r="E7108" s="1"/>
    </row>
    <row r="7109" ht="14.25" customHeight="1">
      <c r="A7109" s="1">
        <v>66.0</v>
      </c>
      <c r="B7109" s="1" t="s">
        <v>2969</v>
      </c>
      <c r="C7109" s="1">
        <v>8.0</v>
      </c>
      <c r="D7109" s="1" t="s">
        <v>62</v>
      </c>
      <c r="E7109" s="1" t="str">
        <f>IFERROR(__xludf.DUMMYFUNCTION("GOOGLETRANSLATE(D7109,""PT"",""EN"")"),"Good service")</f>
        <v>Good service</v>
      </c>
    </row>
    <row r="7110" ht="14.25" customHeight="1">
      <c r="A7110" s="1">
        <v>100.0</v>
      </c>
      <c r="B7110" s="1" t="s">
        <v>2969</v>
      </c>
      <c r="C7110" s="1">
        <v>10.0</v>
      </c>
      <c r="D7110" s="1" t="s">
        <v>3250</v>
      </c>
      <c r="E7110" s="1" t="str">
        <f>IFERROR(__xludf.DUMMYFUNCTION("GOOGLETRANSLATE(D7110,""PT"",""EN"")"),"This bank is a show")</f>
        <v>This bank is a show</v>
      </c>
    </row>
    <row r="7111" ht="14.25" customHeight="1">
      <c r="A7111" s="1">
        <v>33.0</v>
      </c>
      <c r="B7111" s="1" t="s">
        <v>2969</v>
      </c>
      <c r="C7111" s="1">
        <v>2.0</v>
      </c>
      <c r="D7111" s="1" t="s">
        <v>3251</v>
      </c>
      <c r="E7111" s="1" t="str">
        <f>IFERROR(__xludf.DUMMYFUNCTION("GOOGLETRANSLATE(D7111,""PT"",""EN"")"),"Few physical agencies in Rio de Janeiro")</f>
        <v>Few physical agencies in Rio de Janeiro</v>
      </c>
    </row>
    <row r="7112" ht="14.25" customHeight="1">
      <c r="A7112" s="1">
        <v>100.0</v>
      </c>
      <c r="B7112" s="1" t="s">
        <v>2969</v>
      </c>
      <c r="C7112" s="1">
        <v>10.0</v>
      </c>
      <c r="D7112" s="2" t="s">
        <v>3252</v>
      </c>
      <c r="E7112" s="1" t="str">
        <f>IFERROR(__xludf.DUMMYFUNCTION("GOOGLETRANSLATE(D7112,""PT"",""EN"")"),"Promptness and cordiality")</f>
        <v>Promptness and cordiality</v>
      </c>
    </row>
    <row r="7113" ht="14.25" customHeight="1">
      <c r="A7113" s="1">
        <v>66.0</v>
      </c>
      <c r="B7113" s="1" t="s">
        <v>2969</v>
      </c>
      <c r="C7113" s="1">
        <v>7.0</v>
      </c>
      <c r="D7113" s="2" t="s">
        <v>3253</v>
      </c>
      <c r="E7113" s="1" t="str">
        <f>IFERROR(__xludf.DUMMYFUNCTION("GOOGLETRANSLATE(D7113,""PT"",""EN"")"),"Excellent reason to present another?")</f>
        <v>Excellent reason to present another?</v>
      </c>
    </row>
    <row r="7114" ht="14.25" customHeight="1">
      <c r="A7114" s="1">
        <v>100.0</v>
      </c>
      <c r="B7114" s="1" t="s">
        <v>2969</v>
      </c>
      <c r="C7114" s="1">
        <v>10.0</v>
      </c>
      <c r="D7114" s="1" t="s">
        <v>3254</v>
      </c>
      <c r="E7114" s="1" t="str">
        <f>IFERROR(__xludf.DUMMYFUNCTION("GOOGLETRANSLATE(D7114,""PT"",""EN"")"),"An exemplary service of good quality.")</f>
        <v>An exemplary service of good quality.</v>
      </c>
    </row>
    <row r="7115" ht="14.25" customHeight="1">
      <c r="A7115" s="1">
        <v>33.0</v>
      </c>
      <c r="B7115" s="1" t="s">
        <v>2969</v>
      </c>
      <c r="C7115" s="1">
        <v>0.0</v>
      </c>
      <c r="D7115" s="1" t="s">
        <v>6</v>
      </c>
      <c r="E7115" s="1"/>
    </row>
    <row r="7116" ht="14.25" customHeight="1">
      <c r="A7116" s="1">
        <v>33.0</v>
      </c>
      <c r="B7116" s="1" t="s">
        <v>2969</v>
      </c>
      <c r="C7116" s="1">
        <v>4.0</v>
      </c>
      <c r="D7116" s="1" t="s">
        <v>6</v>
      </c>
      <c r="E7116" s="1"/>
    </row>
    <row r="7117" ht="14.25" customHeight="1">
      <c r="A7117" s="1">
        <v>33.0</v>
      </c>
      <c r="B7117" s="1" t="s">
        <v>2969</v>
      </c>
      <c r="C7117" s="1">
        <v>6.0</v>
      </c>
      <c r="D7117" s="1" t="s">
        <v>6</v>
      </c>
      <c r="E7117" s="1"/>
    </row>
    <row r="7118" ht="14.25" customHeight="1">
      <c r="A7118" s="1">
        <v>33.0</v>
      </c>
      <c r="B7118" s="1" t="s">
        <v>2969</v>
      </c>
      <c r="C7118" s="1">
        <v>3.0</v>
      </c>
      <c r="D7118" s="1" t="s">
        <v>3255</v>
      </c>
      <c r="E7118" s="1" t="str">
        <f>IFERROR(__xludf.DUMMYFUNCTION("GOOGLETRANSLATE(D7118,""PT"",""EN"")"),"The compliance of the cooperative failed! We are owed but $ 10,000 due to failures in a single agency.")</f>
        <v>The compliance of the cooperative failed! We are owed but $ 10,000 due to failures in a single agency.</v>
      </c>
    </row>
    <row r="7119" ht="14.25" customHeight="1">
      <c r="A7119" s="1">
        <v>33.0</v>
      </c>
      <c r="B7119" s="1" t="s">
        <v>2969</v>
      </c>
      <c r="C7119" s="1">
        <v>1.0</v>
      </c>
      <c r="D7119" s="2" t="s">
        <v>3256</v>
      </c>
      <c r="E7119" s="1" t="str">
        <f>IFERROR(__xludf.DUMMYFUNCTION("GOOGLETRANSLATE(D7119,""PT"",""EN"")"),"I have been associated for many years, I always found it is wrong the way you manage the capitalized money of members, a lot of bureaucracy to have our money returned. You hold our money a lot.")</f>
        <v>I have been associated for many years, I always found it is wrong the way you manage the capitalized money of members, a lot of bureaucracy to have our money returned. You hold our money a lot.</v>
      </c>
    </row>
    <row r="7120" ht="14.25" customHeight="1">
      <c r="A7120" s="1">
        <v>100.0</v>
      </c>
      <c r="B7120" s="1" t="s">
        <v>2969</v>
      </c>
      <c r="C7120" s="1">
        <v>10.0</v>
      </c>
      <c r="D7120" s="1" t="s">
        <v>22</v>
      </c>
      <c r="E7120" s="1" t="str">
        <f>IFERROR(__xludf.DUMMYFUNCTION("GOOGLETRANSLATE(D7120,""PT"",""EN"")"),"Excellent service")</f>
        <v>Excellent service</v>
      </c>
    </row>
    <row r="7121" ht="14.25" customHeight="1">
      <c r="A7121" s="1">
        <v>100.0</v>
      </c>
      <c r="B7121" s="1" t="s">
        <v>2969</v>
      </c>
      <c r="C7121" s="1">
        <v>10.0</v>
      </c>
      <c r="D7121" s="2" t="s">
        <v>3257</v>
      </c>
      <c r="E7121" s="1" t="str">
        <f>IFERROR(__xludf.DUMMYFUNCTION("GOOGLETRANSLATE(D7121,""PT"",""EN"")"),"NOTE TEN. EXCELLENT COMPANY. Note I need to transfer my money to B from Piraí/RJ.")</f>
        <v>NOTE TEN. EXCELLENT COMPANY. Note I need to transfer my money to B from Piraí/RJ.</v>
      </c>
    </row>
    <row r="7122" ht="14.25" customHeight="1">
      <c r="A7122" s="1">
        <v>100.0</v>
      </c>
      <c r="B7122" s="1" t="s">
        <v>2969</v>
      </c>
      <c r="C7122" s="1">
        <v>10.0</v>
      </c>
      <c r="D7122" s="1" t="s">
        <v>6</v>
      </c>
      <c r="E7122" s="1"/>
    </row>
    <row r="7123" ht="14.25" customHeight="1">
      <c r="A7123" s="1">
        <v>100.0</v>
      </c>
      <c r="B7123" s="1" t="s">
        <v>2969</v>
      </c>
      <c r="C7123" s="1">
        <v>10.0</v>
      </c>
      <c r="D7123" s="1" t="s">
        <v>3258</v>
      </c>
      <c r="E7123" s="1" t="str">
        <f>IFERROR(__xludf.DUMMYFUNCTION("GOOGLETRANSLATE(D7123,""PT"",""EN"")"),"Emergency Care")</f>
        <v>Emergency Care</v>
      </c>
    </row>
    <row r="7124" ht="14.25" customHeight="1">
      <c r="A7124" s="1">
        <v>33.0</v>
      </c>
      <c r="B7124" s="1" t="s">
        <v>2969</v>
      </c>
      <c r="C7124" s="1">
        <v>6.0</v>
      </c>
      <c r="D7124" s="1" t="s">
        <v>6</v>
      </c>
      <c r="E7124" s="1"/>
    </row>
    <row r="7125" ht="14.25" customHeight="1">
      <c r="A7125" s="1">
        <v>100.0</v>
      </c>
      <c r="B7125" s="1" t="s">
        <v>2969</v>
      </c>
      <c r="C7125" s="1">
        <v>10.0</v>
      </c>
      <c r="D7125" s="1" t="s">
        <v>3259</v>
      </c>
      <c r="E7125" s="1" t="str">
        <f>IFERROR(__xludf.DUMMYFUNCTION("GOOGLETRANSLATE(D7125,""PT"",""EN"")"),"Very good, innovative")</f>
        <v>Very good, innovative</v>
      </c>
    </row>
    <row r="7126" ht="14.25" customHeight="1">
      <c r="A7126" s="1">
        <v>100.0</v>
      </c>
      <c r="B7126" s="1" t="s">
        <v>2969</v>
      </c>
      <c r="C7126" s="1">
        <v>10.0</v>
      </c>
      <c r="D7126" s="1" t="s">
        <v>1777</v>
      </c>
      <c r="E7126" s="1" t="str">
        <f>IFERROR(__xludf.DUMMYFUNCTION("GOOGLETRANSLATE(D7126,""PT"",""EN"")"),"Excellent service.")</f>
        <v>Excellent service.</v>
      </c>
    </row>
    <row r="7127" ht="14.25" customHeight="1">
      <c r="A7127" s="1">
        <v>100.0</v>
      </c>
      <c r="B7127" s="1" t="s">
        <v>2969</v>
      </c>
      <c r="C7127" s="1">
        <v>10.0</v>
      </c>
      <c r="D7127" s="2" t="s">
        <v>3260</v>
      </c>
      <c r="E7127" s="1" t="str">
        <f>IFERROR(__xludf.DUMMYFUNCTION("GOOGLETRANSLATE(D7127,""PT"",""EN"")"),"very efficient employees")</f>
        <v>very efficient employees</v>
      </c>
    </row>
    <row r="7128" ht="14.25" customHeight="1">
      <c r="A7128" s="1">
        <v>33.0</v>
      </c>
      <c r="B7128" s="1" t="s">
        <v>2969</v>
      </c>
      <c r="C7128" s="1">
        <v>6.0</v>
      </c>
      <c r="D7128" s="2" t="s">
        <v>904</v>
      </c>
      <c r="E7128" s="1" t="str">
        <f>IFERROR(__xludf.DUMMYFUNCTION("GOOGLETRANSLATE(D7128,""PT"",""EN"")"),"a lot of bureaucracy")</f>
        <v>a lot of bureaucracy</v>
      </c>
    </row>
    <row r="7129" ht="14.25" customHeight="1">
      <c r="A7129" s="1">
        <v>100.0</v>
      </c>
      <c r="B7129" s="1" t="s">
        <v>2969</v>
      </c>
      <c r="C7129" s="1">
        <v>10.0</v>
      </c>
      <c r="D7129" s="2" t="s">
        <v>3261</v>
      </c>
      <c r="E7129" s="1" t="str">
        <f>IFERROR(__xludf.DUMMYFUNCTION("GOOGLETRANSLATE(D7129,""PT"",""EN"")"),"Friendship, commitment and responsibility.")</f>
        <v>Friendship, commitment and responsibility.</v>
      </c>
    </row>
    <row r="7130" ht="14.25" customHeight="1">
      <c r="A7130" s="1">
        <v>33.0</v>
      </c>
      <c r="B7130" s="1" t="s">
        <v>2969</v>
      </c>
      <c r="C7130" s="1">
        <v>4.0</v>
      </c>
      <c r="D7130" s="2" t="s">
        <v>3262</v>
      </c>
      <c r="E7130" s="1" t="str">
        <f>IFERROR(__xludf.DUMMYFUNCTION("GOOGLETRANSLATE(D7130,""PT"",""EN"")"),"I am associated with more than 20 years is I have not been met in my claims and loan rates are the highest on the market today")</f>
        <v>I am associated with more than 20 years is I have not been met in my claims and loan rates are the highest on the market today</v>
      </c>
    </row>
    <row r="7131" ht="14.25" customHeight="1">
      <c r="A7131" s="1">
        <v>33.0</v>
      </c>
      <c r="B7131" s="1" t="s">
        <v>2969</v>
      </c>
      <c r="C7131" s="1">
        <v>0.0</v>
      </c>
      <c r="D7131" s="2" t="s">
        <v>3263</v>
      </c>
      <c r="E7131" s="1" t="str">
        <f>IFERROR(__xludf.DUMMYFUNCTION("GOOGLETRANSLATE(D7131,""PT"",""EN"")"),"No credit opportunity")</f>
        <v>No credit opportunity</v>
      </c>
    </row>
    <row r="7132" ht="14.25" customHeight="1">
      <c r="A7132" s="1">
        <v>100.0</v>
      </c>
      <c r="B7132" s="1" t="s">
        <v>2969</v>
      </c>
      <c r="C7132" s="1">
        <v>10.0</v>
      </c>
      <c r="D7132" s="1" t="s">
        <v>6</v>
      </c>
      <c r="E7132" s="1"/>
    </row>
    <row r="7133" ht="14.25" customHeight="1">
      <c r="A7133" s="1">
        <v>100.0</v>
      </c>
      <c r="B7133" s="1" t="s">
        <v>2969</v>
      </c>
      <c r="C7133" s="1">
        <v>9.0</v>
      </c>
      <c r="D7133" s="1" t="s">
        <v>3264</v>
      </c>
      <c r="E7133" s="1" t="str">
        <f>IFERROR(__xludf.DUMMYFUNCTION("GOOGLETRANSLATE(D7133,""PT"",""EN"")"),"It works as it should")</f>
        <v>It works as it should</v>
      </c>
    </row>
    <row r="7134" ht="14.25" customHeight="1">
      <c r="A7134" s="1">
        <v>100.0</v>
      </c>
      <c r="B7134" s="1" t="s">
        <v>2969</v>
      </c>
      <c r="C7134" s="1">
        <v>9.0</v>
      </c>
      <c r="D7134" s="2" t="s">
        <v>3265</v>
      </c>
      <c r="E7134" s="1" t="str">
        <f>IFERROR(__xludf.DUMMYFUNCTION("GOOGLETRANSLATE(D7134,""PT"",""EN"")"),"For the practicality that Sicoob has")</f>
        <v>For the practicality that Sicoob has</v>
      </c>
    </row>
    <row r="7135" ht="14.25" customHeight="1">
      <c r="A7135" s="1">
        <v>33.0</v>
      </c>
      <c r="B7135" s="1" t="s">
        <v>2969</v>
      </c>
      <c r="C7135" s="1">
        <v>0.0</v>
      </c>
      <c r="D7135" s="1" t="s">
        <v>6</v>
      </c>
      <c r="E7135" s="1"/>
    </row>
    <row r="7136" ht="14.25" customHeight="1">
      <c r="A7136" s="1">
        <v>66.0</v>
      </c>
      <c r="B7136" s="1" t="s">
        <v>2969</v>
      </c>
      <c r="C7136" s="1">
        <v>8.0</v>
      </c>
      <c r="D7136" s="1" t="s">
        <v>6</v>
      </c>
      <c r="E7136" s="1"/>
    </row>
    <row r="7137" ht="14.25" customHeight="1">
      <c r="A7137" s="1">
        <v>100.0</v>
      </c>
      <c r="B7137" s="1" t="s">
        <v>2969</v>
      </c>
      <c r="C7137" s="1">
        <v>10.0</v>
      </c>
      <c r="D7137" s="1" t="s">
        <v>3266</v>
      </c>
      <c r="E7137" s="1" t="str">
        <f>IFERROR(__xludf.DUMMYFUNCTION("GOOGLETRANSLATE(D7137,""PT"",""EN"")"),"Sensational")</f>
        <v>Sensational</v>
      </c>
    </row>
    <row r="7138" ht="14.25" customHeight="1">
      <c r="A7138" s="1">
        <v>100.0</v>
      </c>
      <c r="B7138" s="1" t="s">
        <v>3267</v>
      </c>
      <c r="C7138" s="1">
        <v>10.0</v>
      </c>
      <c r="D7138" s="1" t="s">
        <v>6</v>
      </c>
      <c r="E7138" s="1"/>
    </row>
    <row r="7139" ht="14.25" customHeight="1">
      <c r="A7139" s="1">
        <v>100.0</v>
      </c>
      <c r="B7139" s="1" t="s">
        <v>2969</v>
      </c>
      <c r="C7139" s="1">
        <v>10.0</v>
      </c>
      <c r="D7139" s="1" t="s">
        <v>1405</v>
      </c>
      <c r="E7139" s="1" t="str">
        <f>IFERROR(__xludf.DUMMYFUNCTION("GOOGLETRANSLATE(D7139,""PT"",""EN"")"),"Agility in service")</f>
        <v>Agility in service</v>
      </c>
    </row>
    <row r="7140" ht="14.25" customHeight="1">
      <c r="A7140" s="1">
        <v>66.0</v>
      </c>
      <c r="B7140" s="1" t="s">
        <v>3267</v>
      </c>
      <c r="C7140" s="1">
        <v>7.0</v>
      </c>
      <c r="D7140" s="1" t="s">
        <v>6</v>
      </c>
      <c r="E7140" s="1"/>
    </row>
    <row r="7141" ht="14.25" customHeight="1">
      <c r="A7141" s="1">
        <v>100.0</v>
      </c>
      <c r="B7141" s="1" t="s">
        <v>2969</v>
      </c>
      <c r="C7141" s="1">
        <v>10.0</v>
      </c>
      <c r="D7141" s="2" t="s">
        <v>3268</v>
      </c>
      <c r="E7141" s="1" t="str">
        <f>IFERROR(__xludf.DUMMYFUNCTION("GOOGLETRANSLATE(D7141,""PT"",""EN"")"),"The service is immediate is the answers are accurate")</f>
        <v>The service is immediate is the answers are accurate</v>
      </c>
    </row>
    <row r="7142" ht="14.25" customHeight="1">
      <c r="A7142" s="1">
        <v>33.0</v>
      </c>
      <c r="B7142" s="1" t="s">
        <v>2969</v>
      </c>
      <c r="C7142" s="1">
        <v>2.0</v>
      </c>
      <c r="D7142" s="2" t="s">
        <v>3269</v>
      </c>
      <c r="E7142" s="1" t="str">
        <f>IFERROR(__xludf.DUMMYFUNCTION("GOOGLETRANSLATE(D7142,""PT"",""EN"")"),"You can't speak directly to you.")</f>
        <v>You can't speak directly to you.</v>
      </c>
    </row>
    <row r="7143" ht="14.25" customHeight="1">
      <c r="A7143" s="1">
        <v>100.0</v>
      </c>
      <c r="B7143" s="1" t="s">
        <v>3267</v>
      </c>
      <c r="C7143" s="1">
        <v>10.0</v>
      </c>
      <c r="D7143" s="1" t="s">
        <v>135</v>
      </c>
      <c r="E7143" s="1" t="str">
        <f>IFERROR(__xludf.DUMMYFUNCTION("GOOGLETRANSLATE(D7143,""PT"",""EN"")"),"very good")</f>
        <v>very good</v>
      </c>
    </row>
    <row r="7144" ht="14.25" customHeight="1">
      <c r="A7144" s="1">
        <v>100.0</v>
      </c>
      <c r="B7144" s="1" t="s">
        <v>3267</v>
      </c>
      <c r="C7144" s="1">
        <v>10.0</v>
      </c>
      <c r="D7144" s="2" t="s">
        <v>3270</v>
      </c>
      <c r="E7144" s="1" t="str">
        <f>IFERROR(__xludf.DUMMYFUNCTION("GOOGLETRANSLATE(D7144,""PT"",""EN"")"),"Excellent service, clarity and commitment to the financial health of its customers.")</f>
        <v>Excellent service, clarity and commitment to the financial health of its customers.</v>
      </c>
    </row>
    <row r="7145" ht="14.25" customHeight="1">
      <c r="A7145" s="1">
        <v>66.0</v>
      </c>
      <c r="B7145" s="1" t="s">
        <v>3267</v>
      </c>
      <c r="C7145" s="1">
        <v>8.0</v>
      </c>
      <c r="D7145" s="1" t="s">
        <v>3271</v>
      </c>
      <c r="E7145" s="1" t="str">
        <f>IFERROR(__xludf.DUMMYFUNCTION("GOOGLETRANSLATE(D7145,""PT"",""EN"")"),"In fact, my grade goes to the app.")</f>
        <v>In fact, my grade goes to the app.</v>
      </c>
    </row>
    <row r="7146" ht="14.25" customHeight="1">
      <c r="A7146" s="1">
        <v>66.0</v>
      </c>
      <c r="B7146" s="1" t="s">
        <v>3267</v>
      </c>
      <c r="C7146" s="1">
        <v>8.0</v>
      </c>
      <c r="D7146" s="1" t="s">
        <v>6</v>
      </c>
      <c r="E7146" s="1"/>
    </row>
    <row r="7147" ht="14.25" customHeight="1">
      <c r="A7147" s="1">
        <v>100.0</v>
      </c>
      <c r="B7147" s="1" t="s">
        <v>3267</v>
      </c>
      <c r="C7147" s="1">
        <v>10.0</v>
      </c>
      <c r="D7147" s="2" t="s">
        <v>3272</v>
      </c>
      <c r="E7147" s="1" t="str">
        <f>IFERROR(__xludf.DUMMYFUNCTION("GOOGLETRANSLATE(D7147,""PT"",""EN"")"),"The best bank that was a client, great relationship, great fees, makes everything easier for the member, I've brought several friends, including my son, now I'm in default, but it's not the bank's fault, it's my fault for not knowing how to manage my Econ"&amp;"omic life. Thank you for everything this institution has done for me.")</f>
        <v>The best bank that was a client, great relationship, great fees, makes everything easier for the member, I've brought several friends, including my son, now I'm in default, but it's not the bank's fault, it's my fault for not knowing how to manage my Economic life. Thank you for everything this institution has done for me.</v>
      </c>
    </row>
    <row r="7148" ht="14.25" customHeight="1">
      <c r="A7148" s="1">
        <v>100.0</v>
      </c>
      <c r="B7148" s="1" t="s">
        <v>3267</v>
      </c>
      <c r="C7148" s="1">
        <v>9.0</v>
      </c>
      <c r="D7148" s="2" t="s">
        <v>3273</v>
      </c>
      <c r="E7148" s="1" t="str">
        <f>IFERROR(__xludf.DUMMYFUNCTION("GOOGLETRANSLATE(D7148,""PT"",""EN"")"),"Excellent service special interest rates, but I only read loans with debit if the cooperative receives the salary in the cooperative is greatly restricted the right to use part of the capital to pay debts.")</f>
        <v>Excellent service special interest rates, but I only read loans with debit if the cooperative receives the salary in the cooperative is greatly restricted the right to use part of the capital to pay debts.</v>
      </c>
    </row>
    <row r="7149" ht="14.25" customHeight="1">
      <c r="A7149" s="1">
        <v>100.0</v>
      </c>
      <c r="B7149" s="1" t="s">
        <v>3267</v>
      </c>
      <c r="C7149" s="1">
        <v>10.0</v>
      </c>
      <c r="D7149" s="2" t="s">
        <v>3274</v>
      </c>
      <c r="E7149" s="1" t="str">
        <f>IFERROR(__xludf.DUMMYFUNCTION("GOOGLETRANSLATE(D7149,""PT"",""EN"")"),"Excellent bank, practicality is top quality service.")</f>
        <v>Excellent bank, practicality is top quality service.</v>
      </c>
    </row>
    <row r="7150" ht="14.25" customHeight="1">
      <c r="A7150" s="1">
        <v>100.0</v>
      </c>
      <c r="B7150" s="1" t="s">
        <v>3267</v>
      </c>
      <c r="C7150" s="1">
        <v>10.0</v>
      </c>
      <c r="D7150" s="1" t="s">
        <v>6</v>
      </c>
      <c r="E7150" s="1"/>
    </row>
    <row r="7151" ht="14.25" customHeight="1">
      <c r="A7151" s="1">
        <v>100.0</v>
      </c>
      <c r="B7151" s="1" t="s">
        <v>3267</v>
      </c>
      <c r="C7151" s="1">
        <v>10.0</v>
      </c>
      <c r="D7151" s="2" t="s">
        <v>3275</v>
      </c>
      <c r="E7151" s="1" t="str">
        <f>IFERROR(__xludf.DUMMYFUNCTION("GOOGLETRANSLATE(D7151,""PT"",""EN"")"),"Great service, economy is still very clear a capital/ savings with the rates it stopped paying.")</f>
        <v>Great service, economy is still very clear a capital/ savings with the rates it stopped paying.</v>
      </c>
    </row>
    <row r="7152" ht="14.25" customHeight="1">
      <c r="A7152" s="1">
        <v>33.0</v>
      </c>
      <c r="B7152" s="1" t="s">
        <v>3267</v>
      </c>
      <c r="C7152" s="1">
        <v>5.0</v>
      </c>
      <c r="D7152" s="1" t="s">
        <v>6</v>
      </c>
      <c r="E7152" s="1"/>
    </row>
    <row r="7153" ht="14.25" customHeight="1">
      <c r="A7153" s="1">
        <v>100.0</v>
      </c>
      <c r="B7153" s="1" t="s">
        <v>3267</v>
      </c>
      <c r="C7153" s="1">
        <v>10.0</v>
      </c>
      <c r="D7153" s="1" t="s">
        <v>190</v>
      </c>
      <c r="E7153" s="1" t="str">
        <f>IFERROR(__xludf.DUMMYFUNCTION("GOOGLETRANSLATE(D7153,""PT"",""EN"")"),"Agility")</f>
        <v>Agility</v>
      </c>
    </row>
    <row r="7154" ht="14.25" customHeight="1">
      <c r="A7154" s="1">
        <v>100.0</v>
      </c>
      <c r="B7154" s="1" t="s">
        <v>3267</v>
      </c>
      <c r="C7154" s="1">
        <v>9.0</v>
      </c>
      <c r="D7154" s="1" t="s">
        <v>6</v>
      </c>
      <c r="E7154" s="1"/>
    </row>
    <row r="7155" ht="14.25" customHeight="1">
      <c r="A7155" s="1">
        <v>100.0</v>
      </c>
      <c r="B7155" s="1" t="s">
        <v>3267</v>
      </c>
      <c r="C7155" s="1">
        <v>10.0</v>
      </c>
      <c r="D7155" s="2" t="s">
        <v>3276</v>
      </c>
      <c r="E7155" s="1" t="str">
        <f>IFERROR(__xludf.DUMMYFUNCTION("GOOGLETRANSLATE(D7155,""PT"",""EN"")"),"The cooperative offers all banking services very well is still much more accessible to the non -participant.")</f>
        <v>The cooperative offers all banking services very well is still much more accessible to the non -participant.</v>
      </c>
    </row>
    <row r="7156" ht="14.25" customHeight="1">
      <c r="A7156" s="1">
        <v>100.0</v>
      </c>
      <c r="B7156" s="1" t="s">
        <v>3267</v>
      </c>
      <c r="C7156" s="1">
        <v>10.0</v>
      </c>
      <c r="D7156" s="2" t="s">
        <v>3277</v>
      </c>
      <c r="E7156" s="1" t="str">
        <f>IFERROR(__xludf.DUMMYFUNCTION("GOOGLETRANSLATE(D7156,""PT"",""EN"")"),"I have always been able to make all my transactions easily and quickly.")</f>
        <v>I have always been able to make all my transactions easily and quickly.</v>
      </c>
    </row>
    <row r="7157" ht="14.25" customHeight="1">
      <c r="A7157" s="1">
        <v>100.0</v>
      </c>
      <c r="B7157" s="1" t="s">
        <v>3267</v>
      </c>
      <c r="C7157" s="1">
        <v>10.0</v>
      </c>
      <c r="D7157" s="1" t="s">
        <v>6</v>
      </c>
      <c r="E7157" s="1"/>
    </row>
    <row r="7158" ht="14.25" customHeight="1">
      <c r="A7158" s="1">
        <v>100.0</v>
      </c>
      <c r="B7158" s="1" t="s">
        <v>3267</v>
      </c>
      <c r="C7158" s="1">
        <v>10.0</v>
      </c>
      <c r="D7158" s="1" t="s">
        <v>6</v>
      </c>
      <c r="E7158" s="1"/>
    </row>
    <row r="7159" ht="14.25" customHeight="1">
      <c r="A7159" s="1">
        <v>100.0</v>
      </c>
      <c r="B7159" s="1" t="s">
        <v>3267</v>
      </c>
      <c r="C7159" s="1">
        <v>10.0</v>
      </c>
      <c r="D7159" s="1" t="s">
        <v>6</v>
      </c>
      <c r="E7159" s="1"/>
    </row>
    <row r="7160" ht="14.25" customHeight="1">
      <c r="A7160" s="1">
        <v>100.0</v>
      </c>
      <c r="B7160" s="1" t="s">
        <v>3267</v>
      </c>
      <c r="C7160" s="1">
        <v>9.0</v>
      </c>
      <c r="D7160" s="1" t="s">
        <v>6</v>
      </c>
      <c r="E7160" s="1"/>
    </row>
    <row r="7161" ht="14.25" customHeight="1">
      <c r="A7161" s="1">
        <v>100.0</v>
      </c>
      <c r="B7161" s="1" t="s">
        <v>3267</v>
      </c>
      <c r="C7161" s="1">
        <v>10.0</v>
      </c>
      <c r="D7161" s="2" t="s">
        <v>3278</v>
      </c>
      <c r="E7161" s="1" t="str">
        <f>IFERROR(__xludf.DUMMYFUNCTION("GOOGLETRANSLATE(D7161,""PT"",""EN"")"),"I like Sicoob, txs good is very simplified.")</f>
        <v>I like Sicoob, txs good is very simplified.</v>
      </c>
    </row>
    <row r="7162" ht="14.25" customHeight="1">
      <c r="A7162" s="1">
        <v>100.0</v>
      </c>
      <c r="B7162" s="1" t="s">
        <v>3267</v>
      </c>
      <c r="C7162" s="1">
        <v>10.0</v>
      </c>
      <c r="D7162" s="1" t="s">
        <v>6</v>
      </c>
      <c r="E7162" s="1"/>
    </row>
    <row r="7163" ht="14.25" customHeight="1">
      <c r="A7163" s="1">
        <v>100.0</v>
      </c>
      <c r="B7163" s="1" t="s">
        <v>3267</v>
      </c>
      <c r="C7163" s="1">
        <v>10.0</v>
      </c>
      <c r="D7163" s="2" t="s">
        <v>3279</v>
      </c>
      <c r="E7163" s="1" t="str">
        <f>IFERROR(__xludf.DUMMYFUNCTION("GOOGLETRANSLATE(D7163,""PT"",""EN"")"),"The satisfaction of being a cooperative is to participate in our results")</f>
        <v>The satisfaction of being a cooperative is to participate in our results</v>
      </c>
    </row>
    <row r="7164" ht="14.25" customHeight="1">
      <c r="A7164" s="1">
        <v>100.0</v>
      </c>
      <c r="B7164" s="1" t="s">
        <v>3267</v>
      </c>
      <c r="C7164" s="1">
        <v>10.0</v>
      </c>
      <c r="D7164" s="1" t="s">
        <v>6</v>
      </c>
      <c r="E7164" s="1"/>
    </row>
    <row r="7165" ht="14.25" customHeight="1">
      <c r="A7165" s="1">
        <v>100.0</v>
      </c>
      <c r="B7165" s="1" t="s">
        <v>3267</v>
      </c>
      <c r="C7165" s="1">
        <v>10.0</v>
      </c>
      <c r="D7165" s="1" t="s">
        <v>6</v>
      </c>
      <c r="E7165" s="1"/>
    </row>
    <row r="7166" ht="14.25" customHeight="1">
      <c r="A7166" s="1">
        <v>100.0</v>
      </c>
      <c r="B7166" s="1" t="s">
        <v>3267</v>
      </c>
      <c r="C7166" s="1">
        <v>10.0</v>
      </c>
      <c r="D7166" s="1" t="s">
        <v>3280</v>
      </c>
      <c r="E7166" s="1" t="str">
        <f>IFERROR(__xludf.DUMMYFUNCTION("GOOGLETRANSLATE(D7166,""PT"",""EN"")"),"Show")</f>
        <v>Show</v>
      </c>
    </row>
    <row r="7167" ht="14.25" customHeight="1">
      <c r="A7167" s="1">
        <v>100.0</v>
      </c>
      <c r="B7167" s="1" t="s">
        <v>3267</v>
      </c>
      <c r="C7167" s="1">
        <v>9.0</v>
      </c>
      <c r="D7167" s="2" t="s">
        <v>3281</v>
      </c>
      <c r="E7167" s="1" t="str">
        <f>IFERROR(__xludf.DUMMYFUNCTION("GOOGLETRANSLATE(D7167,""PT"",""EN"")"),"Fast service, availability and ease of navigation of the application.")</f>
        <v>Fast service, availability and ease of navigation of the application.</v>
      </c>
    </row>
    <row r="7168" ht="14.25" customHeight="1">
      <c r="A7168" s="1">
        <v>33.0</v>
      </c>
      <c r="B7168" s="1" t="s">
        <v>3267</v>
      </c>
      <c r="C7168" s="1">
        <v>1.0</v>
      </c>
      <c r="D7168" s="2" t="s">
        <v>3282</v>
      </c>
      <c r="E7168" s="1" t="str">
        <f>IFERROR(__xludf.DUMMYFUNCTION("GOOGLETRANSLATE(D7168,""PT"",""EN"")"),"The service does not give me priority as an elderly I am 65 years old is all I need takes a long time.")</f>
        <v>The service does not give me priority as an elderly I am 65 years old is all I need takes a long time.</v>
      </c>
    </row>
    <row r="7169" ht="14.25" customHeight="1">
      <c r="A7169" s="1">
        <v>100.0</v>
      </c>
      <c r="B7169" s="1" t="s">
        <v>3267</v>
      </c>
      <c r="C7169" s="1">
        <v>10.0</v>
      </c>
      <c r="D7169" s="1" t="s">
        <v>3283</v>
      </c>
      <c r="E7169" s="1" t="str">
        <f>IFERROR(__xludf.DUMMYFUNCTION("GOOGLETRANSLATE(D7169,""PT"",""EN"")"),"Cordiality of employees !!")</f>
        <v>Cordiality of employees !!</v>
      </c>
    </row>
    <row r="7170" ht="14.25" customHeight="1">
      <c r="A7170" s="1">
        <v>100.0</v>
      </c>
      <c r="B7170" s="1" t="s">
        <v>3267</v>
      </c>
      <c r="C7170" s="1">
        <v>10.0</v>
      </c>
      <c r="D7170" s="1" t="s">
        <v>6</v>
      </c>
      <c r="E7170" s="1"/>
    </row>
    <row r="7171" ht="14.25" customHeight="1">
      <c r="A7171" s="1">
        <v>100.0</v>
      </c>
      <c r="B7171" s="1" t="s">
        <v>3267</v>
      </c>
      <c r="C7171" s="1">
        <v>10.0</v>
      </c>
      <c r="D7171" s="1" t="s">
        <v>3284</v>
      </c>
      <c r="E7171" s="1" t="str">
        <f>IFERROR(__xludf.DUMMYFUNCTION("GOOGLETRANSLATE(D7171,""PT"",""EN"")"),"Honest dedication.")</f>
        <v>Honest dedication.</v>
      </c>
    </row>
    <row r="7172" ht="14.25" customHeight="1">
      <c r="A7172" s="1">
        <v>33.0</v>
      </c>
      <c r="B7172" s="1" t="s">
        <v>3267</v>
      </c>
      <c r="C7172" s="1">
        <v>4.0</v>
      </c>
      <c r="D7172" s="2" t="s">
        <v>3285</v>
      </c>
      <c r="E7172" s="1" t="str">
        <f>IFERROR(__xludf.DUMMYFUNCTION("GOOGLETRANSLATE(D7172,""PT"",""EN"")"),"One of the reasons was this merger with this Credsef")</f>
        <v>One of the reasons was this merger with this Credsef</v>
      </c>
    </row>
    <row r="7173" ht="14.25" customHeight="1">
      <c r="A7173" s="1">
        <v>100.0</v>
      </c>
      <c r="B7173" s="1" t="s">
        <v>3267</v>
      </c>
      <c r="C7173" s="1">
        <v>10.0</v>
      </c>
      <c r="D7173" s="1" t="s">
        <v>6</v>
      </c>
      <c r="E7173" s="1"/>
    </row>
    <row r="7174" ht="14.25" customHeight="1">
      <c r="A7174" s="1">
        <v>100.0</v>
      </c>
      <c r="B7174" s="1" t="s">
        <v>3267</v>
      </c>
      <c r="C7174" s="1">
        <v>10.0</v>
      </c>
      <c r="D7174" s="1" t="s">
        <v>6</v>
      </c>
      <c r="E7174" s="1"/>
    </row>
    <row r="7175" ht="14.25" customHeight="1">
      <c r="A7175" s="1">
        <v>33.0</v>
      </c>
      <c r="B7175" s="1" t="s">
        <v>3267</v>
      </c>
      <c r="C7175" s="1">
        <v>0.0</v>
      </c>
      <c r="D7175" s="1" t="s">
        <v>6</v>
      </c>
      <c r="E7175" s="1"/>
    </row>
    <row r="7176" ht="14.25" customHeight="1">
      <c r="A7176" s="1">
        <v>100.0</v>
      </c>
      <c r="B7176" s="1" t="s">
        <v>3267</v>
      </c>
      <c r="C7176" s="1">
        <v>10.0</v>
      </c>
      <c r="D7176" s="1" t="s">
        <v>571</v>
      </c>
      <c r="E7176" s="1" t="str">
        <f>IFERROR(__xludf.DUMMYFUNCTION("GOOGLETRANSLATE(D7176,""PT"",""EN"")"),"The service")</f>
        <v>The service</v>
      </c>
    </row>
    <row r="7177" ht="14.25" customHeight="1">
      <c r="A7177" s="1">
        <v>100.0</v>
      </c>
      <c r="B7177" s="1" t="s">
        <v>3267</v>
      </c>
      <c r="C7177" s="1">
        <v>10.0</v>
      </c>
      <c r="D7177" s="1" t="s">
        <v>6</v>
      </c>
      <c r="E7177" s="1"/>
    </row>
    <row r="7178" ht="14.25" customHeight="1">
      <c r="A7178" s="1">
        <v>100.0</v>
      </c>
      <c r="B7178" s="1" t="s">
        <v>3267</v>
      </c>
      <c r="C7178" s="1">
        <v>10.0</v>
      </c>
      <c r="D7178" s="2" t="s">
        <v>3286</v>
      </c>
      <c r="E7178" s="1" t="str">
        <f>IFERROR(__xludf.DUMMYFUNCTION("GOOGLETRANSLATE(D7178,""PT"",""EN"")"),"Service and quality of services")</f>
        <v>Service and quality of services</v>
      </c>
    </row>
    <row r="7179" ht="14.25" customHeight="1">
      <c r="A7179" s="1">
        <v>100.0</v>
      </c>
      <c r="B7179" s="1" t="s">
        <v>3267</v>
      </c>
      <c r="C7179" s="1">
        <v>10.0</v>
      </c>
      <c r="D7179" s="1" t="s">
        <v>9</v>
      </c>
      <c r="E7179" s="1" t="str">
        <f>IFERROR(__xludf.DUMMYFUNCTION("GOOGLETRANSLATE(D7179,""PT"",""EN"")"),"10")</f>
        <v>10</v>
      </c>
    </row>
    <row r="7180" ht="14.25" customHeight="1">
      <c r="A7180" s="1">
        <v>100.0</v>
      </c>
      <c r="B7180" s="1" t="s">
        <v>3267</v>
      </c>
      <c r="C7180" s="1">
        <v>10.0</v>
      </c>
      <c r="D7180" s="1" t="s">
        <v>6</v>
      </c>
      <c r="E7180" s="1"/>
    </row>
    <row r="7181" ht="14.25" customHeight="1">
      <c r="A7181" s="1">
        <v>100.0</v>
      </c>
      <c r="B7181" s="1" t="s">
        <v>3267</v>
      </c>
      <c r="C7181" s="1">
        <v>10.0</v>
      </c>
      <c r="D7181" s="1" t="s">
        <v>3287</v>
      </c>
      <c r="E7181" s="1" t="str">
        <f>IFERROR(__xludf.DUMMYFUNCTION("GOOGLETRANSLATE(D7181,""PT"",""EN"")"),"It is a very practical bank")</f>
        <v>It is a very practical bank</v>
      </c>
    </row>
    <row r="7182" ht="14.25" customHeight="1">
      <c r="A7182" s="1">
        <v>33.0</v>
      </c>
      <c r="B7182" s="1" t="s">
        <v>3267</v>
      </c>
      <c r="C7182" s="1">
        <v>0.0</v>
      </c>
      <c r="D7182" s="1" t="s">
        <v>3288</v>
      </c>
      <c r="E7182" s="1" t="str">
        <f>IFERROR(__xludf.DUMMYFUNCTION("GOOGLETRANSLATE(D7182,""PT"",""EN"")"),"fake promisses")</f>
        <v>fake promisses</v>
      </c>
    </row>
    <row r="7183" ht="14.25" customHeight="1">
      <c r="A7183" s="1">
        <v>33.0</v>
      </c>
      <c r="B7183" s="1" t="s">
        <v>3267</v>
      </c>
      <c r="C7183" s="1">
        <v>0.0</v>
      </c>
      <c r="D7183" s="2" t="s">
        <v>3289</v>
      </c>
      <c r="E7183" s="1" t="str">
        <f>IFERROR(__xludf.DUMMYFUNCTION("GOOGLETRANSLATE(D7183,""PT"",""EN"")"),"I can't care")</f>
        <v>I can't care</v>
      </c>
    </row>
    <row r="7184" ht="14.25" customHeight="1">
      <c r="A7184" s="1">
        <v>100.0</v>
      </c>
      <c r="B7184" s="1" t="s">
        <v>3267</v>
      </c>
      <c r="C7184" s="1">
        <v>10.0</v>
      </c>
      <c r="D7184" s="1" t="s">
        <v>17</v>
      </c>
      <c r="E7184" s="1" t="str">
        <f>IFERROR(__xludf.DUMMYFUNCTION("GOOGLETRANSLATE(D7184,""PT"",""EN"")"),"Satisfaction")</f>
        <v>Satisfaction</v>
      </c>
    </row>
    <row r="7185" ht="14.25" customHeight="1">
      <c r="A7185" s="1">
        <v>100.0</v>
      </c>
      <c r="B7185" s="1" t="s">
        <v>3267</v>
      </c>
      <c r="C7185" s="1">
        <v>10.0</v>
      </c>
      <c r="D7185" s="1" t="s">
        <v>3290</v>
      </c>
      <c r="E7185" s="1" t="str">
        <f>IFERROR(__xludf.DUMMYFUNCTION("GOOGLETRANSLATE(D7185,""PT"",""EN"")"),"Great service, worthy interest")</f>
        <v>Great service, worthy interest</v>
      </c>
    </row>
    <row r="7186" ht="14.25" customHeight="1">
      <c r="A7186" s="1">
        <v>100.0</v>
      </c>
      <c r="B7186" s="1" t="s">
        <v>3267</v>
      </c>
      <c r="C7186" s="1">
        <v>9.0</v>
      </c>
      <c r="D7186" s="1" t="s">
        <v>3291</v>
      </c>
      <c r="E7186" s="1" t="str">
        <f>IFERROR(__xludf.DUMMYFUNCTION("GOOGLETRANSLATE(D7186,""PT"",""EN"")"),"facilities")</f>
        <v>facilities</v>
      </c>
    </row>
    <row r="7187" ht="14.25" customHeight="1">
      <c r="A7187" s="1">
        <v>100.0</v>
      </c>
      <c r="B7187" s="1" t="s">
        <v>3267</v>
      </c>
      <c r="C7187" s="1">
        <v>10.0</v>
      </c>
      <c r="D7187" s="2" t="s">
        <v>3292</v>
      </c>
      <c r="E7187" s="1" t="str">
        <f>IFERROR(__xludf.DUMMYFUNCTION("GOOGLETRANSLATE(D7187,""PT"",""EN"")"),"Always a good service, quality, efficiency, good facilities a bank that has an excellent image is being greatly expanding agencies in states and municipalities. top.")</f>
        <v>Always a good service, quality, efficiency, good facilities a bank that has an excellent image is being greatly expanding agencies in states and municipalities. top.</v>
      </c>
    </row>
    <row r="7188" ht="14.25" customHeight="1">
      <c r="A7188" s="1">
        <v>100.0</v>
      </c>
      <c r="B7188" s="1" t="s">
        <v>3267</v>
      </c>
      <c r="C7188" s="1">
        <v>10.0</v>
      </c>
      <c r="D7188" s="1" t="s">
        <v>6</v>
      </c>
      <c r="E7188" s="1"/>
    </row>
    <row r="7189" ht="14.25" customHeight="1">
      <c r="A7189" s="1">
        <v>100.0</v>
      </c>
      <c r="B7189" s="1" t="s">
        <v>3267</v>
      </c>
      <c r="C7189" s="1">
        <v>10.0</v>
      </c>
      <c r="D7189" s="1" t="s">
        <v>3293</v>
      </c>
      <c r="E7189" s="1" t="str">
        <f>IFERROR(__xludf.DUMMYFUNCTION("GOOGLETRANSLATE(D7189,""PT"",""EN"")"),"Excellent professionalism!")</f>
        <v>Excellent professionalism!</v>
      </c>
    </row>
    <row r="7190" ht="14.25" customHeight="1">
      <c r="A7190" s="1">
        <v>33.0</v>
      </c>
      <c r="B7190" s="1" t="s">
        <v>3267</v>
      </c>
      <c r="C7190" s="1">
        <v>3.0</v>
      </c>
      <c r="D7190" s="1" t="s">
        <v>3294</v>
      </c>
      <c r="E7190" s="1" t="str">
        <f>IFERROR(__xludf.DUMMYFUNCTION("GOOGLETRANSLATE(D7190,""PT"",""EN"")"),"Problem solving")</f>
        <v>Problem solving</v>
      </c>
    </row>
    <row r="7191" ht="14.25" customHeight="1">
      <c r="A7191" s="1">
        <v>100.0</v>
      </c>
      <c r="B7191" s="1" t="s">
        <v>3267</v>
      </c>
      <c r="C7191" s="1">
        <v>10.0</v>
      </c>
      <c r="D7191" s="1" t="s">
        <v>6</v>
      </c>
      <c r="E7191" s="1"/>
    </row>
    <row r="7192" ht="14.25" customHeight="1">
      <c r="A7192" s="1">
        <v>100.0</v>
      </c>
      <c r="B7192" s="1" t="s">
        <v>3267</v>
      </c>
      <c r="C7192" s="1">
        <v>10.0</v>
      </c>
      <c r="D7192" s="2" t="s">
        <v>3295</v>
      </c>
      <c r="E7192" s="1" t="str">
        <f>IFERROR(__xludf.DUMMYFUNCTION("GOOGLETRANSLATE(D7192,""PT"",""EN"")"),"It contains practicality, in this sense, with focus is to want to assist in a pleasant way.")</f>
        <v>It contains practicality, in this sense, with focus is to want to assist in a pleasant way.</v>
      </c>
    </row>
    <row r="7193" ht="14.25" customHeight="1">
      <c r="A7193" s="1">
        <v>100.0</v>
      </c>
      <c r="B7193" s="1" t="s">
        <v>3267</v>
      </c>
      <c r="C7193" s="1">
        <v>10.0</v>
      </c>
      <c r="D7193" s="1" t="s">
        <v>6</v>
      </c>
      <c r="E7193" s="1"/>
    </row>
    <row r="7194" ht="14.25" customHeight="1">
      <c r="A7194" s="1">
        <v>66.0</v>
      </c>
      <c r="B7194" s="1" t="s">
        <v>3267</v>
      </c>
      <c r="C7194" s="1">
        <v>8.0</v>
      </c>
      <c r="D7194" s="1" t="s">
        <v>6</v>
      </c>
      <c r="E7194" s="1"/>
    </row>
    <row r="7195" ht="14.25" customHeight="1">
      <c r="A7195" s="1">
        <v>100.0</v>
      </c>
      <c r="B7195" s="1" t="s">
        <v>3267</v>
      </c>
      <c r="C7195" s="1">
        <v>10.0</v>
      </c>
      <c r="D7195" s="1" t="s">
        <v>62</v>
      </c>
      <c r="E7195" s="1" t="str">
        <f>IFERROR(__xludf.DUMMYFUNCTION("GOOGLETRANSLATE(D7195,""PT"",""EN"")"),"Good service")</f>
        <v>Good service</v>
      </c>
    </row>
    <row r="7196" ht="14.25" customHeight="1">
      <c r="A7196" s="1">
        <v>66.0</v>
      </c>
      <c r="B7196" s="1" t="s">
        <v>3267</v>
      </c>
      <c r="C7196" s="1">
        <v>8.0</v>
      </c>
      <c r="D7196" s="1" t="s">
        <v>6</v>
      </c>
      <c r="E7196" s="1"/>
    </row>
    <row r="7197" ht="14.25" customHeight="1">
      <c r="A7197" s="1">
        <v>100.0</v>
      </c>
      <c r="B7197" s="1" t="s">
        <v>3267</v>
      </c>
      <c r="C7197" s="1">
        <v>10.0</v>
      </c>
      <c r="D7197" s="1" t="s">
        <v>6</v>
      </c>
      <c r="E7197" s="1"/>
    </row>
    <row r="7198" ht="14.25" customHeight="1">
      <c r="A7198" s="1">
        <v>100.0</v>
      </c>
      <c r="B7198" s="1" t="s">
        <v>3267</v>
      </c>
      <c r="C7198" s="1">
        <v>9.0</v>
      </c>
      <c r="D7198" s="2" t="s">
        <v>2458</v>
      </c>
      <c r="E7198" s="1" t="str">
        <f>IFERROR(__xludf.DUMMYFUNCTION("GOOGLETRANSLATE(D7198,""PT"",""EN"")"),"Practicality and security")</f>
        <v>Practicality and security</v>
      </c>
    </row>
    <row r="7199" ht="14.25" customHeight="1">
      <c r="A7199" s="1">
        <v>33.0</v>
      </c>
      <c r="B7199" s="1" t="s">
        <v>3267</v>
      </c>
      <c r="C7199" s="1">
        <v>5.0</v>
      </c>
      <c r="D7199" s="1" t="s">
        <v>6</v>
      </c>
      <c r="E7199" s="1"/>
    </row>
    <row r="7200" ht="14.25" customHeight="1">
      <c r="A7200" s="1">
        <v>33.0</v>
      </c>
      <c r="B7200" s="1" t="s">
        <v>3267</v>
      </c>
      <c r="C7200" s="1">
        <v>2.0</v>
      </c>
      <c r="D7200" s="1" t="s">
        <v>6</v>
      </c>
      <c r="E7200" s="1"/>
    </row>
    <row r="7201" ht="14.25" customHeight="1">
      <c r="A7201" s="1">
        <v>33.0</v>
      </c>
      <c r="B7201" s="1" t="s">
        <v>3267</v>
      </c>
      <c r="C7201" s="1">
        <v>4.0</v>
      </c>
      <c r="D7201" s="1" t="s">
        <v>3296</v>
      </c>
      <c r="E7201" s="1" t="str">
        <f>IFERROR(__xludf.DUMMYFUNCTION("GOOGLETRANSLATE(D7201,""PT"",""EN"")"),"Why is it too helpful?")</f>
        <v>Why is it too helpful?</v>
      </c>
    </row>
    <row r="7202" ht="14.25" customHeight="1">
      <c r="A7202" s="1">
        <v>100.0</v>
      </c>
      <c r="B7202" s="1" t="s">
        <v>3267</v>
      </c>
      <c r="C7202" s="1">
        <v>10.0</v>
      </c>
      <c r="D7202" s="2" t="s">
        <v>3297</v>
      </c>
      <c r="E7202" s="1" t="str">
        <f>IFERROR(__xludf.DUMMYFUNCTION("GOOGLETRANSLATE(D7202,""PT"",""EN"")"),"Good afternoon, I'm in the cooperative for a long time is that made me see the work of the group for the associates, I come here to congratulate them.")</f>
        <v>Good afternoon, I'm in the cooperative for a long time is that made me see the work of the group for the associates, I come here to congratulate them.</v>
      </c>
    </row>
    <row r="7203" ht="14.25" customHeight="1">
      <c r="A7203" s="1">
        <v>100.0</v>
      </c>
      <c r="B7203" s="1" t="s">
        <v>3267</v>
      </c>
      <c r="C7203" s="1">
        <v>10.0</v>
      </c>
      <c r="D7203" s="1" t="s">
        <v>357</v>
      </c>
      <c r="E7203" s="1" t="str">
        <f>IFERROR(__xludf.DUMMYFUNCTION("GOOGLETRANSLATE(D7203,""PT"",""EN"")"),"PRACTICALITY")</f>
        <v>PRACTICALITY</v>
      </c>
    </row>
    <row r="7204" ht="14.25" customHeight="1">
      <c r="A7204" s="1">
        <v>66.0</v>
      </c>
      <c r="B7204" s="1" t="s">
        <v>3267</v>
      </c>
      <c r="C7204" s="1">
        <v>8.0</v>
      </c>
      <c r="D7204" s="2" t="s">
        <v>3298</v>
      </c>
      <c r="E7204" s="1" t="str">
        <f>IFERROR(__xludf.DUMMYFUNCTION("GOOGLETRANSLATE(D7204,""PT"",""EN"")"),"It was better, now everything I ask there no longer, unfortunate.")</f>
        <v>It was better, now everything I ask there no longer, unfortunate.</v>
      </c>
    </row>
    <row r="7205" ht="14.25" customHeight="1">
      <c r="A7205" s="1">
        <v>100.0</v>
      </c>
      <c r="B7205" s="1" t="s">
        <v>3267</v>
      </c>
      <c r="C7205" s="1">
        <v>10.0</v>
      </c>
      <c r="D7205" s="2" t="s">
        <v>3299</v>
      </c>
      <c r="E7205" s="1" t="str">
        <f>IFERROR(__xludf.DUMMYFUNCTION("GOOGLETRANSLATE(D7205,""PT"",""EN"")"),"Personalized and differentiated treatment !!")</f>
        <v>Personalized and differentiated treatment !!</v>
      </c>
    </row>
    <row r="7206" ht="14.25" customHeight="1">
      <c r="A7206" s="1">
        <v>100.0</v>
      </c>
      <c r="B7206" s="1" t="s">
        <v>3267</v>
      </c>
      <c r="C7206" s="1">
        <v>10.0</v>
      </c>
      <c r="D7206" s="2" t="s">
        <v>3300</v>
      </c>
      <c r="E7206" s="1" t="str">
        <f>IFERROR(__xludf.DUMMYFUNCTION("GOOGLETRANSLATE(D7206,""PT"",""EN"")"),"Fast and effective service")</f>
        <v>Fast and effective service</v>
      </c>
    </row>
    <row r="7207" ht="14.25" customHeight="1">
      <c r="A7207" s="1">
        <v>100.0</v>
      </c>
      <c r="B7207" s="1" t="s">
        <v>3267</v>
      </c>
      <c r="C7207" s="1">
        <v>10.0</v>
      </c>
      <c r="D7207" s="1" t="s">
        <v>6</v>
      </c>
      <c r="E7207" s="1"/>
    </row>
    <row r="7208" ht="14.25" customHeight="1">
      <c r="A7208" s="1">
        <v>100.0</v>
      </c>
      <c r="B7208" s="1" t="s">
        <v>3267</v>
      </c>
      <c r="C7208" s="1">
        <v>10.0</v>
      </c>
      <c r="D7208" s="2" t="s">
        <v>3301</v>
      </c>
      <c r="E7208" s="1" t="str">
        <f>IFERROR(__xludf.DUMMYFUNCTION("GOOGLETRANSLATE(D7208,""PT"",""EN"")"),"Differentiated management of management is all employees of the Sicoob unit where I have an account.")</f>
        <v>Differentiated management of management is all employees of the Sicoob unit where I have an account.</v>
      </c>
    </row>
    <row r="7209" ht="14.25" customHeight="1">
      <c r="A7209" s="1">
        <v>100.0</v>
      </c>
      <c r="B7209" s="1" t="s">
        <v>3267</v>
      </c>
      <c r="C7209" s="1">
        <v>9.0</v>
      </c>
      <c r="D7209" s="2" t="s">
        <v>3302</v>
      </c>
      <c r="E7209" s="1" t="str">
        <f>IFERROR(__xludf.DUMMYFUNCTION("GOOGLETRANSLATE(D7209,""PT"",""EN"")"),"Excellent bank in service and quality")</f>
        <v>Excellent bank in service and quality</v>
      </c>
    </row>
    <row r="7210" ht="14.25" customHeight="1">
      <c r="A7210" s="1">
        <v>100.0</v>
      </c>
      <c r="B7210" s="1" t="s">
        <v>3267</v>
      </c>
      <c r="C7210" s="1">
        <v>9.0</v>
      </c>
      <c r="D7210" s="1" t="s">
        <v>62</v>
      </c>
      <c r="E7210" s="1" t="str">
        <f>IFERROR(__xludf.DUMMYFUNCTION("GOOGLETRANSLATE(D7210,""PT"",""EN"")"),"Good service")</f>
        <v>Good service</v>
      </c>
    </row>
    <row r="7211" ht="14.25" customHeight="1">
      <c r="A7211" s="1">
        <v>100.0</v>
      </c>
      <c r="B7211" s="1" t="s">
        <v>3267</v>
      </c>
      <c r="C7211" s="1">
        <v>10.0</v>
      </c>
      <c r="D7211" s="1" t="s">
        <v>6</v>
      </c>
      <c r="E7211" s="1"/>
    </row>
    <row r="7212" ht="14.25" customHeight="1">
      <c r="A7212" s="1">
        <v>66.0</v>
      </c>
      <c r="B7212" s="1" t="s">
        <v>3267</v>
      </c>
      <c r="C7212" s="1">
        <v>8.0</v>
      </c>
      <c r="D7212" s="1" t="s">
        <v>3303</v>
      </c>
      <c r="E7212" s="1" t="str">
        <f>IFERROR(__xludf.DUMMYFUNCTION("GOOGLETRANSLATE(D7212,""PT"",""EN"")"),"Missing agencies. It is very centralized.")</f>
        <v>Missing agencies. It is very centralized.</v>
      </c>
    </row>
    <row r="7213" ht="14.25" customHeight="1">
      <c r="A7213" s="1">
        <v>100.0</v>
      </c>
      <c r="B7213" s="1" t="s">
        <v>3267</v>
      </c>
      <c r="C7213" s="1">
        <v>10.0</v>
      </c>
      <c r="D7213" s="1" t="s">
        <v>1448</v>
      </c>
      <c r="E7213" s="1" t="str">
        <f>IFERROR(__xludf.DUMMYFUNCTION("GOOGLETRANSLATE(D7213,""PT"",""EN"")"),"Excellence in service")</f>
        <v>Excellence in service</v>
      </c>
    </row>
    <row r="7214" ht="14.25" customHeight="1">
      <c r="A7214" s="1">
        <v>100.0</v>
      </c>
      <c r="B7214" s="1" t="s">
        <v>3267</v>
      </c>
      <c r="C7214" s="1">
        <v>10.0</v>
      </c>
      <c r="D7214" s="2" t="s">
        <v>3304</v>
      </c>
      <c r="E7214" s="1" t="str">
        <f>IFERROR(__xludf.DUMMYFUNCTION("GOOGLETRANSLATE(D7214,""PT"",""EN"")"),"Promptness, education dedication,")</f>
        <v>Promptness, education dedication,</v>
      </c>
    </row>
    <row r="7215" ht="14.25" customHeight="1">
      <c r="A7215" s="1">
        <v>100.0</v>
      </c>
      <c r="B7215" s="1" t="s">
        <v>3267</v>
      </c>
      <c r="C7215" s="1">
        <v>10.0</v>
      </c>
      <c r="D7215" s="2" t="s">
        <v>3305</v>
      </c>
      <c r="E7215" s="1" t="str">
        <f>IFERROR(__xludf.DUMMYFUNCTION("GOOGLETRANSLATE(D7215,""PT"",""EN"")"),"I was convinced that cooperativism is the best banking system alternative is banking services")</f>
        <v>I was convinced that cooperativism is the best banking system alternative is banking services</v>
      </c>
    </row>
    <row r="7216" ht="14.25" customHeight="1">
      <c r="A7216" s="1">
        <v>100.0</v>
      </c>
      <c r="B7216" s="1" t="s">
        <v>3267</v>
      </c>
      <c r="C7216" s="1">
        <v>10.0</v>
      </c>
      <c r="D7216" s="1" t="s">
        <v>6</v>
      </c>
      <c r="E7216" s="1"/>
    </row>
    <row r="7217" ht="14.25" customHeight="1">
      <c r="A7217" s="1">
        <v>100.0</v>
      </c>
      <c r="B7217" s="1" t="s">
        <v>3267</v>
      </c>
      <c r="C7217" s="1">
        <v>10.0</v>
      </c>
      <c r="D7217" s="2" t="s">
        <v>3306</v>
      </c>
      <c r="E7217" s="1" t="str">
        <f>IFERROR(__xludf.DUMMYFUNCTION("GOOGLETRANSLATE(D7217,""PT"",""EN"")"),"An agile and helpful bank to the customer.")</f>
        <v>An agile and helpful bank to the customer.</v>
      </c>
    </row>
    <row r="7218" ht="14.25" customHeight="1">
      <c r="A7218" s="1">
        <v>100.0</v>
      </c>
      <c r="B7218" s="1" t="s">
        <v>3267</v>
      </c>
      <c r="C7218" s="1">
        <v>10.0</v>
      </c>
      <c r="D7218" s="1" t="s">
        <v>3307</v>
      </c>
      <c r="E7218" s="1" t="str">
        <f>IFERROR(__xludf.DUMMYFUNCTION("GOOGLETRANSLATE(D7218,""PT"",""EN"")"),"Quality management")</f>
        <v>Quality management</v>
      </c>
    </row>
    <row r="7219" ht="14.25" customHeight="1">
      <c r="A7219" s="1">
        <v>100.0</v>
      </c>
      <c r="B7219" s="1" t="s">
        <v>3267</v>
      </c>
      <c r="C7219" s="1">
        <v>9.0</v>
      </c>
      <c r="D7219" s="2" t="s">
        <v>3308</v>
      </c>
      <c r="E7219" s="1" t="str">
        <f>IFERROR(__xludf.DUMMYFUNCTION("GOOGLETRANSLATE(D7219,""PT"",""EN"")"),"Financial institution that operates with efficiency and transparency within the principles of cooperativism")</f>
        <v>Financial institution that operates with efficiency and transparency within the principles of cooperativism</v>
      </c>
    </row>
    <row r="7220" ht="14.25" customHeight="1">
      <c r="A7220" s="1">
        <v>66.0</v>
      </c>
      <c r="B7220" s="1" t="s">
        <v>3267</v>
      </c>
      <c r="C7220" s="1">
        <v>7.0</v>
      </c>
      <c r="D7220" s="1" t="s">
        <v>6</v>
      </c>
      <c r="E7220" s="1"/>
    </row>
    <row r="7221" ht="14.25" customHeight="1">
      <c r="A7221" s="1">
        <v>100.0</v>
      </c>
      <c r="B7221" s="1" t="s">
        <v>3267</v>
      </c>
      <c r="C7221" s="1">
        <v>9.0</v>
      </c>
      <c r="D7221" s="1" t="s">
        <v>6</v>
      </c>
      <c r="E7221" s="1"/>
    </row>
    <row r="7222" ht="14.25" customHeight="1">
      <c r="A7222" s="1">
        <v>33.0</v>
      </c>
      <c r="B7222" s="1" t="s">
        <v>3267</v>
      </c>
      <c r="C7222" s="1">
        <v>5.0</v>
      </c>
      <c r="D7222" s="1" t="s">
        <v>3309</v>
      </c>
      <c r="E7222" s="1" t="str">
        <f>IFERROR(__xludf.DUMMYFUNCTION("GOOGLETRANSLATE(D7222,""PT"",""EN"")"),"Issues of supposed security, made by people who think they know what they are talking about.")</f>
        <v>Issues of supposed security, made by people who think they know what they are talking about.</v>
      </c>
    </row>
    <row r="7223" ht="14.25" customHeight="1">
      <c r="A7223" s="1">
        <v>33.0</v>
      </c>
      <c r="B7223" s="1" t="s">
        <v>3267</v>
      </c>
      <c r="C7223" s="1">
        <v>5.0</v>
      </c>
      <c r="D7223" s="2" t="s">
        <v>3310</v>
      </c>
      <c r="E7223" s="1" t="str">
        <f>IFERROR(__xludf.DUMMYFUNCTION("GOOGLETRANSLATE(D7223,""PT"",""EN"")"),"There is no attractions")</f>
        <v>There is no attractions</v>
      </c>
    </row>
    <row r="7224" ht="14.25" customHeight="1">
      <c r="A7224" s="1">
        <v>33.0</v>
      </c>
      <c r="B7224" s="1" t="s">
        <v>3267</v>
      </c>
      <c r="C7224" s="1">
        <v>6.0</v>
      </c>
      <c r="D7224" s="1" t="s">
        <v>6</v>
      </c>
      <c r="E7224" s="1"/>
    </row>
    <row r="7225" ht="14.25" customHeight="1">
      <c r="A7225" s="1">
        <v>100.0</v>
      </c>
      <c r="B7225" s="1" t="s">
        <v>3267</v>
      </c>
      <c r="C7225" s="1">
        <v>10.0</v>
      </c>
      <c r="D7225" s="1" t="s">
        <v>6</v>
      </c>
      <c r="E7225" s="1"/>
    </row>
    <row r="7226" ht="14.25" customHeight="1">
      <c r="A7226" s="1">
        <v>100.0</v>
      </c>
      <c r="B7226" s="1" t="s">
        <v>3267</v>
      </c>
      <c r="C7226" s="1">
        <v>9.0</v>
      </c>
      <c r="D7226" s="1" t="s">
        <v>3311</v>
      </c>
      <c r="E7226" s="1" t="str">
        <f>IFERROR(__xludf.DUMMYFUNCTION("GOOGLETRANSLATE(D7226,""PT"",""EN"")"),"NOTE 9 because there will always be something to improve")</f>
        <v>NOTE 9 because there will always be something to improve</v>
      </c>
    </row>
    <row r="7227" ht="14.25" customHeight="1">
      <c r="A7227" s="1">
        <v>100.0</v>
      </c>
      <c r="B7227" s="1" t="s">
        <v>3267</v>
      </c>
      <c r="C7227" s="1">
        <v>10.0</v>
      </c>
      <c r="D7227" s="1" t="s">
        <v>22</v>
      </c>
      <c r="E7227" s="1" t="str">
        <f>IFERROR(__xludf.DUMMYFUNCTION("GOOGLETRANSLATE(D7227,""PT"",""EN"")"),"Excellent service")</f>
        <v>Excellent service</v>
      </c>
    </row>
    <row r="7228" ht="14.25" customHeight="1">
      <c r="A7228" s="1">
        <v>100.0</v>
      </c>
      <c r="B7228" s="1" t="s">
        <v>3267</v>
      </c>
      <c r="C7228" s="1">
        <v>10.0</v>
      </c>
      <c r="D7228" s="1" t="s">
        <v>3312</v>
      </c>
      <c r="E7228" s="1" t="str">
        <f>IFERROR(__xludf.DUMMYFUNCTION("GOOGLETRANSLATE(D7228,""PT"",""EN"")"),"I like treatment, application, ease of solving things. I always indicate to friends.")</f>
        <v>I like treatment, application, ease of solving things. I always indicate to friends.</v>
      </c>
    </row>
    <row r="7229" ht="14.25" customHeight="1">
      <c r="A7229" s="1">
        <v>100.0</v>
      </c>
      <c r="B7229" s="1" t="s">
        <v>3267</v>
      </c>
      <c r="C7229" s="1">
        <v>10.0</v>
      </c>
      <c r="D7229" s="2" t="s">
        <v>3313</v>
      </c>
      <c r="E7229" s="1" t="str">
        <f>IFERROR(__xludf.DUMMYFUNCTION("GOOGLETRANSLATE(D7229,""PT"",""EN"")"),"I was always well attended to is the treatment is very good on the part of the team.")</f>
        <v>I was always well attended to is the treatment is very good on the part of the team.</v>
      </c>
    </row>
    <row r="7230" ht="14.25" customHeight="1">
      <c r="A7230" s="1">
        <v>100.0</v>
      </c>
      <c r="B7230" s="1" t="s">
        <v>3267</v>
      </c>
      <c r="C7230" s="1">
        <v>9.0</v>
      </c>
      <c r="D7230" s="1" t="s">
        <v>3314</v>
      </c>
      <c r="E7230" s="1" t="str">
        <f>IFERROR(__xludf.DUMMYFUNCTION("GOOGLETRANSLATE(D7230,""PT"",""EN"")"),"agility of the attendant in service")</f>
        <v>agility of the attendant in service</v>
      </c>
    </row>
    <row r="7231" ht="14.25" customHeight="1">
      <c r="A7231" s="1">
        <v>100.0</v>
      </c>
      <c r="B7231" s="1" t="s">
        <v>3267</v>
      </c>
      <c r="C7231" s="1">
        <v>10.0</v>
      </c>
      <c r="D7231" s="1" t="s">
        <v>3315</v>
      </c>
      <c r="E7231" s="1" t="str">
        <f>IFERROR(__xludf.DUMMYFUNCTION("GOOGLETRANSLATE(D7231,""PT"",""EN"")"),"Every time I needed I was very well served, the employees are great")</f>
        <v>Every time I needed I was very well served, the employees are great</v>
      </c>
    </row>
    <row r="7232" ht="14.25" customHeight="1">
      <c r="A7232" s="1">
        <v>100.0</v>
      </c>
      <c r="B7232" s="1" t="s">
        <v>3267</v>
      </c>
      <c r="C7232" s="1">
        <v>10.0</v>
      </c>
      <c r="D7232" s="1" t="s">
        <v>6</v>
      </c>
      <c r="E7232" s="1"/>
    </row>
    <row r="7233" ht="14.25" customHeight="1">
      <c r="A7233" s="1">
        <v>100.0</v>
      </c>
      <c r="B7233" s="1" t="s">
        <v>3267</v>
      </c>
      <c r="C7233" s="1">
        <v>10.0</v>
      </c>
      <c r="D7233" s="1" t="s">
        <v>541</v>
      </c>
      <c r="E7233" s="1" t="str">
        <f>IFERROR(__xludf.DUMMYFUNCTION("GOOGLETRANSLATE(D7233,""PT"",""EN"")"),"Benefits")</f>
        <v>Benefits</v>
      </c>
    </row>
    <row r="7234" ht="14.25" customHeight="1">
      <c r="A7234" s="1">
        <v>100.0</v>
      </c>
      <c r="B7234" s="1" t="s">
        <v>3267</v>
      </c>
      <c r="C7234" s="1">
        <v>9.0</v>
      </c>
      <c r="D7234" s="1" t="s">
        <v>6</v>
      </c>
      <c r="E7234" s="1"/>
    </row>
    <row r="7235" ht="14.25" customHeight="1">
      <c r="A7235" s="1">
        <v>100.0</v>
      </c>
      <c r="B7235" s="1" t="s">
        <v>3267</v>
      </c>
      <c r="C7235" s="1">
        <v>10.0</v>
      </c>
      <c r="D7235" s="1" t="s">
        <v>6</v>
      </c>
      <c r="E7235" s="1"/>
    </row>
    <row r="7236" ht="14.25" customHeight="1">
      <c r="A7236" s="1">
        <v>100.0</v>
      </c>
      <c r="B7236" s="1" t="s">
        <v>3267</v>
      </c>
      <c r="C7236" s="1">
        <v>10.0</v>
      </c>
      <c r="D7236" s="1" t="s">
        <v>3316</v>
      </c>
      <c r="E7236" s="1" t="str">
        <f>IFERROR(__xludf.DUMMYFUNCTION("GOOGLETRANSLATE(D7236,""PT"",""EN"")"),"meets all requirements")</f>
        <v>meets all requirements</v>
      </c>
    </row>
    <row r="7237" ht="14.25" customHeight="1">
      <c r="A7237" s="1">
        <v>33.0</v>
      </c>
      <c r="B7237" s="1" t="s">
        <v>3267</v>
      </c>
      <c r="C7237" s="1">
        <v>3.0</v>
      </c>
      <c r="D7237" s="2" t="s">
        <v>3317</v>
      </c>
      <c r="E7237" s="1" t="str">
        <f>IFERROR(__xludf.DUMMYFUNCTION("GOOGLETRANSLATE(D7237,""PT"",""EN"")"),"Nothing is offered to the account holder")</f>
        <v>Nothing is offered to the account holder</v>
      </c>
    </row>
    <row r="7238" ht="14.25" customHeight="1">
      <c r="A7238" s="1">
        <v>33.0</v>
      </c>
      <c r="B7238" s="1" t="s">
        <v>3267</v>
      </c>
      <c r="C7238" s="1">
        <v>4.0</v>
      </c>
      <c r="D7238" s="2" t="s">
        <v>3318</v>
      </c>
      <c r="E7238" s="1" t="str">
        <f>IFERROR(__xludf.DUMMYFUNCTION("GOOGLETRANSLATE(D7238,""PT"",""EN"")"),"Very high interest rates is the same as banks the cooperative has already acted with better rates is differentiated from the market")</f>
        <v>Very high interest rates is the same as banks the cooperative has already acted with better rates is differentiated from the market</v>
      </c>
    </row>
    <row r="7239" ht="14.25" customHeight="1">
      <c r="A7239" s="1">
        <v>100.0</v>
      </c>
      <c r="B7239" s="1" t="s">
        <v>3267</v>
      </c>
      <c r="C7239" s="1">
        <v>10.0</v>
      </c>
      <c r="D7239" s="1" t="s">
        <v>626</v>
      </c>
      <c r="E7239" s="1" t="str">
        <f>IFERROR(__xludf.DUMMYFUNCTION("GOOGLETRANSLATE(D7239,""PT"",""EN"")"),"Great service.")</f>
        <v>Great service.</v>
      </c>
    </row>
    <row r="7240" ht="14.25" customHeight="1">
      <c r="A7240" s="1">
        <v>33.0</v>
      </c>
      <c r="B7240" s="1" t="s">
        <v>3267</v>
      </c>
      <c r="C7240" s="1">
        <v>6.0</v>
      </c>
      <c r="D7240" s="2" t="s">
        <v>3319</v>
      </c>
      <c r="E7240" s="1" t="str">
        <f>IFERROR(__xludf.DUMMYFUNCTION("GOOGLETRANSLATE(D7240,""PT"",""EN"")"),"You are not registered with Pronamp, which makes operations difficult with my company")</f>
        <v>You are not registered with Pronamp, which makes operations difficult with my company</v>
      </c>
    </row>
    <row r="7241" ht="14.25" customHeight="1">
      <c r="A7241" s="1">
        <v>66.0</v>
      </c>
      <c r="B7241" s="1" t="s">
        <v>3267</v>
      </c>
      <c r="C7241" s="1">
        <v>8.0</v>
      </c>
      <c r="D7241" s="1" t="s">
        <v>6</v>
      </c>
      <c r="E7241" s="1"/>
    </row>
    <row r="7242" ht="14.25" customHeight="1">
      <c r="A7242" s="1">
        <v>100.0</v>
      </c>
      <c r="B7242" s="1" t="s">
        <v>3267</v>
      </c>
      <c r="C7242" s="1">
        <v>10.0</v>
      </c>
      <c r="D7242" s="1" t="s">
        <v>659</v>
      </c>
      <c r="E7242" s="1" t="str">
        <f>IFERROR(__xludf.DUMMYFUNCTION("GOOGLETRANSLATE(D7242,""PT"",""EN"")"),"Good service.")</f>
        <v>Good service.</v>
      </c>
    </row>
    <row r="7243" ht="14.25" customHeight="1">
      <c r="A7243" s="1">
        <v>100.0</v>
      </c>
      <c r="B7243" s="1" t="s">
        <v>3267</v>
      </c>
      <c r="C7243" s="1">
        <v>9.0</v>
      </c>
      <c r="D7243" s="1" t="s">
        <v>3320</v>
      </c>
      <c r="E7243" s="1" t="str">
        <f>IFERROR(__xludf.DUMMYFUNCTION("GOOGLETRANSLATE(D7243,""PT"",""EN"")"),"It is a bank that brings perspective to improve the financial conditions of account holders.")</f>
        <v>It is a bank that brings perspective to improve the financial conditions of account holders.</v>
      </c>
    </row>
    <row r="7244" ht="14.25" customHeight="1">
      <c r="A7244" s="1">
        <v>100.0</v>
      </c>
      <c r="B7244" s="1" t="s">
        <v>3267</v>
      </c>
      <c r="C7244" s="1">
        <v>10.0</v>
      </c>
      <c r="D7244" s="1" t="s">
        <v>3321</v>
      </c>
      <c r="E7244" s="1" t="str">
        <f>IFERROR(__xludf.DUMMYFUNCTION("GOOGLETRANSLATE(D7244,""PT"",""EN"")"),"It is a bank committed to its customers.")</f>
        <v>It is a bank committed to its customers.</v>
      </c>
    </row>
    <row r="7245" ht="14.25" customHeight="1">
      <c r="A7245" s="1">
        <v>100.0</v>
      </c>
      <c r="B7245" s="1" t="s">
        <v>3267</v>
      </c>
      <c r="C7245" s="1">
        <v>9.0</v>
      </c>
      <c r="D7245" s="1" t="s">
        <v>3322</v>
      </c>
      <c r="E7245" s="1" t="str">
        <f>IFERROR(__xludf.DUMMYFUNCTION("GOOGLETRANSLATE(D7245,""PT"",""EN"")"),"Easy environmental environment.")</f>
        <v>Easy environmental environment.</v>
      </c>
    </row>
    <row r="7246" ht="14.25" customHeight="1">
      <c r="A7246" s="1">
        <v>100.0</v>
      </c>
      <c r="B7246" s="1" t="s">
        <v>3267</v>
      </c>
      <c r="C7246" s="1">
        <v>10.0</v>
      </c>
      <c r="D7246" s="1" t="s">
        <v>9</v>
      </c>
      <c r="E7246" s="1" t="str">
        <f>IFERROR(__xludf.DUMMYFUNCTION("GOOGLETRANSLATE(D7246,""PT"",""EN"")"),"10")</f>
        <v>10</v>
      </c>
    </row>
    <row r="7247" ht="14.25" customHeight="1">
      <c r="A7247" s="1">
        <v>100.0</v>
      </c>
      <c r="B7247" s="1" t="s">
        <v>3267</v>
      </c>
      <c r="C7247" s="1">
        <v>10.0</v>
      </c>
      <c r="D7247" s="1" t="s">
        <v>9</v>
      </c>
      <c r="E7247" s="1" t="str">
        <f>IFERROR(__xludf.DUMMYFUNCTION("GOOGLETRANSLATE(D7247,""PT"",""EN"")"),"10")</f>
        <v>10</v>
      </c>
    </row>
    <row r="7248" ht="14.25" customHeight="1">
      <c r="A7248" s="1">
        <v>100.0</v>
      </c>
      <c r="B7248" s="1" t="s">
        <v>3267</v>
      </c>
      <c r="C7248" s="1">
        <v>9.0</v>
      </c>
      <c r="D7248" s="1" t="s">
        <v>6</v>
      </c>
      <c r="E7248" s="1"/>
    </row>
    <row r="7249" ht="14.25" customHeight="1">
      <c r="A7249" s="1">
        <v>100.0</v>
      </c>
      <c r="B7249" s="1" t="s">
        <v>3267</v>
      </c>
      <c r="C7249" s="1">
        <v>10.0</v>
      </c>
      <c r="D7249" s="1" t="s">
        <v>3323</v>
      </c>
      <c r="E7249" s="1" t="str">
        <f>IFERROR(__xludf.DUMMYFUNCTION("GOOGLETRANSLATE(D7249,""PT"",""EN"")"),"Fair fees for customers")</f>
        <v>Fair fees for customers</v>
      </c>
    </row>
    <row r="7250" ht="14.25" customHeight="1">
      <c r="A7250" s="1">
        <v>33.0</v>
      </c>
      <c r="B7250" s="1" t="s">
        <v>3267</v>
      </c>
      <c r="C7250" s="1">
        <v>5.0</v>
      </c>
      <c r="D7250" s="1" t="s">
        <v>6</v>
      </c>
      <c r="E7250" s="1"/>
    </row>
    <row r="7251" ht="14.25" customHeight="1">
      <c r="A7251" s="1">
        <v>66.0</v>
      </c>
      <c r="B7251" s="1" t="s">
        <v>3267</v>
      </c>
      <c r="C7251" s="1">
        <v>8.0</v>
      </c>
      <c r="D7251" s="2" t="s">
        <v>3324</v>
      </c>
      <c r="E7251" s="1" t="str">
        <f>IFERROR(__xludf.DUMMYFUNCTION("GOOGLETRANSLATE(D7251,""PT"",""EN"")"),"Sicoob has been better, but my singular cooperative has left a lot to be desired compared to the competition. Today I still wonder because I keep ties with her or because it gave high notes to the Sicoob system, I think for a longing attachment, because f"&amp;"inancially is very much to who.")</f>
        <v>Sicoob has been better, but my singular cooperative has left a lot to be desired compared to the competition. Today I still wonder because I keep ties with her or because it gave high notes to the Sicoob system, I think for a longing attachment, because financially is very much to who.</v>
      </c>
    </row>
    <row r="7252" ht="14.25" customHeight="1">
      <c r="A7252" s="1">
        <v>100.0</v>
      </c>
      <c r="B7252" s="1" t="s">
        <v>3267</v>
      </c>
      <c r="C7252" s="1">
        <v>10.0</v>
      </c>
      <c r="D7252" s="1" t="s">
        <v>6</v>
      </c>
      <c r="E7252" s="1"/>
    </row>
    <row r="7253" ht="14.25" customHeight="1">
      <c r="A7253" s="1">
        <v>100.0</v>
      </c>
      <c r="B7253" s="1" t="s">
        <v>3267</v>
      </c>
      <c r="C7253" s="1">
        <v>10.0</v>
      </c>
      <c r="D7253" s="1" t="s">
        <v>6</v>
      </c>
      <c r="E7253" s="1"/>
    </row>
    <row r="7254" ht="14.25" customHeight="1">
      <c r="A7254" s="1">
        <v>100.0</v>
      </c>
      <c r="B7254" s="1" t="s">
        <v>3267</v>
      </c>
      <c r="C7254" s="1">
        <v>10.0</v>
      </c>
      <c r="D7254" s="1" t="s">
        <v>6</v>
      </c>
      <c r="E7254" s="1"/>
    </row>
    <row r="7255" ht="14.25" customHeight="1">
      <c r="A7255" s="1">
        <v>100.0</v>
      </c>
      <c r="B7255" s="1" t="s">
        <v>3267</v>
      </c>
      <c r="C7255" s="1">
        <v>9.0</v>
      </c>
      <c r="D7255" s="2" t="s">
        <v>3325</v>
      </c>
      <c r="E7255" s="1" t="str">
        <f>IFERROR(__xludf.DUMMYFUNCTION("GOOGLETRANSLATE(D7255,""PT"",""EN"")"),"It's very attentive")</f>
        <v>It's very attentive</v>
      </c>
    </row>
    <row r="7256" ht="14.25" customHeight="1">
      <c r="A7256" s="1">
        <v>100.0</v>
      </c>
      <c r="B7256" s="1" t="s">
        <v>3267</v>
      </c>
      <c r="C7256" s="1">
        <v>10.0</v>
      </c>
      <c r="D7256" s="1" t="s">
        <v>6</v>
      </c>
      <c r="E7256" s="1"/>
    </row>
    <row r="7257" ht="14.25" customHeight="1">
      <c r="A7257" s="1">
        <v>33.0</v>
      </c>
      <c r="B7257" s="1" t="s">
        <v>3267</v>
      </c>
      <c r="C7257" s="1">
        <v>0.0</v>
      </c>
      <c r="D7257" s="1" t="s">
        <v>6</v>
      </c>
      <c r="E7257" s="1"/>
    </row>
    <row r="7258" ht="14.25" customHeight="1">
      <c r="A7258" s="1">
        <v>100.0</v>
      </c>
      <c r="B7258" s="1" t="s">
        <v>3267</v>
      </c>
      <c r="C7258" s="1">
        <v>9.0</v>
      </c>
      <c r="D7258" s="1" t="s">
        <v>135</v>
      </c>
      <c r="E7258" s="1" t="str">
        <f>IFERROR(__xludf.DUMMYFUNCTION("GOOGLETRANSLATE(D7258,""PT"",""EN"")"),"very good")</f>
        <v>very good</v>
      </c>
    </row>
    <row r="7259" ht="14.25" customHeight="1">
      <c r="A7259" s="1">
        <v>100.0</v>
      </c>
      <c r="B7259" s="1" t="s">
        <v>3267</v>
      </c>
      <c r="C7259" s="1">
        <v>10.0</v>
      </c>
      <c r="D7259" s="2" t="s">
        <v>3326</v>
      </c>
      <c r="E7259" s="1" t="str">
        <f>IFERROR(__xludf.DUMMYFUNCTION("GOOGLETRANSLATE(D7259,""PT"",""EN"")"),"Great service is agility")</f>
        <v>Great service is agility</v>
      </c>
    </row>
    <row r="7260" ht="14.25" customHeight="1">
      <c r="A7260" s="1">
        <v>33.0</v>
      </c>
      <c r="B7260" s="1" t="s">
        <v>3267</v>
      </c>
      <c r="C7260" s="1">
        <v>4.0</v>
      </c>
      <c r="D7260" s="1" t="s">
        <v>6</v>
      </c>
      <c r="E7260" s="1"/>
    </row>
    <row r="7261" ht="14.25" customHeight="1">
      <c r="A7261" s="1">
        <v>66.0</v>
      </c>
      <c r="B7261" s="1" t="s">
        <v>3267</v>
      </c>
      <c r="C7261" s="1">
        <v>8.0</v>
      </c>
      <c r="D7261" s="1" t="s">
        <v>6</v>
      </c>
      <c r="E7261" s="1"/>
    </row>
    <row r="7262" ht="14.25" customHeight="1">
      <c r="A7262" s="1">
        <v>100.0</v>
      </c>
      <c r="B7262" s="1" t="s">
        <v>3267</v>
      </c>
      <c r="C7262" s="1">
        <v>10.0</v>
      </c>
      <c r="D7262" s="1" t="s">
        <v>3327</v>
      </c>
      <c r="E7262" s="1" t="str">
        <f>IFERROR(__xludf.DUMMYFUNCTION("GOOGLETRANSLATE(D7262,""PT"",""EN"")"),"Financial justice")</f>
        <v>Financial justice</v>
      </c>
    </row>
    <row r="7263" ht="14.25" customHeight="1">
      <c r="A7263" s="1">
        <v>100.0</v>
      </c>
      <c r="B7263" s="1" t="s">
        <v>3267</v>
      </c>
      <c r="C7263" s="1">
        <v>10.0</v>
      </c>
      <c r="D7263" s="1" t="s">
        <v>3328</v>
      </c>
      <c r="E7263" s="1" t="str">
        <f>IFERROR(__xludf.DUMMYFUNCTION("GOOGLETRANSLATE(D7263,""PT"",""EN"")"),"It is the bank with the best rates")</f>
        <v>It is the bank with the best rates</v>
      </c>
    </row>
    <row r="7264" ht="14.25" customHeight="1">
      <c r="A7264" s="1">
        <v>100.0</v>
      </c>
      <c r="B7264" s="1" t="s">
        <v>3267</v>
      </c>
      <c r="C7264" s="1">
        <v>10.0</v>
      </c>
      <c r="D7264" s="2" t="s">
        <v>3329</v>
      </c>
      <c r="E7264" s="1" t="str">
        <f>IFERROR(__xludf.DUMMYFUNCTION("GOOGLETRANSLATE(D7264,""PT"",""EN"")"),"Efficiency is security")</f>
        <v>Efficiency is security</v>
      </c>
    </row>
    <row r="7265" ht="14.25" customHeight="1">
      <c r="A7265" s="1">
        <v>100.0</v>
      </c>
      <c r="B7265" s="1" t="s">
        <v>3267</v>
      </c>
      <c r="C7265" s="1">
        <v>10.0</v>
      </c>
      <c r="D7265" s="1" t="s">
        <v>6</v>
      </c>
      <c r="E7265" s="1"/>
    </row>
    <row r="7266" ht="14.25" customHeight="1">
      <c r="A7266" s="1">
        <v>100.0</v>
      </c>
      <c r="B7266" s="1" t="s">
        <v>3267</v>
      </c>
      <c r="C7266" s="1">
        <v>10.0</v>
      </c>
      <c r="D7266" s="1" t="s">
        <v>3330</v>
      </c>
      <c r="E7266" s="1" t="str">
        <f>IFERROR(__xludf.DUMMYFUNCTION("GOOGLETRANSLATE(D7266,""PT"",""EN"")"),"The service, great relationship with customers.")</f>
        <v>The service, great relationship with customers.</v>
      </c>
    </row>
    <row r="7267" ht="14.25" customHeight="1">
      <c r="A7267" s="1">
        <v>100.0</v>
      </c>
      <c r="B7267" s="1" t="s">
        <v>3267</v>
      </c>
      <c r="C7267" s="1">
        <v>9.0</v>
      </c>
      <c r="D7267" s="1" t="s">
        <v>6</v>
      </c>
      <c r="E7267" s="1"/>
    </row>
    <row r="7268" ht="14.25" customHeight="1">
      <c r="A7268" s="1">
        <v>66.0</v>
      </c>
      <c r="B7268" s="1" t="s">
        <v>3267</v>
      </c>
      <c r="C7268" s="1">
        <v>8.0</v>
      </c>
      <c r="D7268" s="1" t="s">
        <v>6</v>
      </c>
      <c r="E7268" s="1"/>
    </row>
    <row r="7269" ht="14.25" customHeight="1">
      <c r="A7269" s="1">
        <v>100.0</v>
      </c>
      <c r="B7269" s="1" t="s">
        <v>3267</v>
      </c>
      <c r="C7269" s="1">
        <v>10.0</v>
      </c>
      <c r="D7269" s="1" t="s">
        <v>3331</v>
      </c>
      <c r="E7269" s="1" t="str">
        <f>IFERROR(__xludf.DUMMYFUNCTION("GOOGLETRANSLATE(D7269,""PT"",""EN"")"),"I was always very well served in Sicoob")</f>
        <v>I was always very well served in Sicoob</v>
      </c>
    </row>
    <row r="7270" ht="14.25" customHeight="1">
      <c r="A7270" s="1">
        <v>100.0</v>
      </c>
      <c r="B7270" s="1" t="s">
        <v>3267</v>
      </c>
      <c r="C7270" s="1">
        <v>10.0</v>
      </c>
      <c r="D7270" s="1" t="s">
        <v>659</v>
      </c>
      <c r="E7270" s="1" t="str">
        <f>IFERROR(__xludf.DUMMYFUNCTION("GOOGLETRANSLATE(D7270,""PT"",""EN"")"),"Good service.")</f>
        <v>Good service.</v>
      </c>
    </row>
    <row r="7271" ht="14.25" customHeight="1">
      <c r="A7271" s="1">
        <v>100.0</v>
      </c>
      <c r="B7271" s="1" t="s">
        <v>3267</v>
      </c>
      <c r="C7271" s="1">
        <v>10.0</v>
      </c>
      <c r="D7271" s="1" t="s">
        <v>6</v>
      </c>
      <c r="E7271" s="1"/>
    </row>
    <row r="7272" ht="14.25" customHeight="1">
      <c r="A7272" s="1">
        <v>100.0</v>
      </c>
      <c r="B7272" s="1" t="s">
        <v>3267</v>
      </c>
      <c r="C7272" s="1">
        <v>10.0</v>
      </c>
      <c r="D7272" s="2" t="s">
        <v>3332</v>
      </c>
      <c r="E7272" s="1" t="str">
        <f>IFERROR(__xludf.DUMMYFUNCTION("GOOGLETRANSLATE(D7272,""PT"",""EN"")"),"Service is education")</f>
        <v>Service is education</v>
      </c>
    </row>
    <row r="7273" ht="14.25" customHeight="1">
      <c r="A7273" s="1">
        <v>100.0</v>
      </c>
      <c r="B7273" s="1" t="s">
        <v>3267</v>
      </c>
      <c r="C7273" s="1">
        <v>9.0</v>
      </c>
      <c r="D7273" s="1" t="s">
        <v>6</v>
      </c>
      <c r="E7273" s="1"/>
    </row>
    <row r="7274" ht="14.25" customHeight="1">
      <c r="A7274" s="1">
        <v>33.0</v>
      </c>
      <c r="B7274" s="1" t="s">
        <v>3267</v>
      </c>
      <c r="C7274" s="1">
        <v>0.0</v>
      </c>
      <c r="D7274" s="1" t="s">
        <v>6</v>
      </c>
      <c r="E7274" s="1"/>
    </row>
    <row r="7275" ht="14.25" customHeight="1">
      <c r="A7275" s="1">
        <v>100.0</v>
      </c>
      <c r="B7275" s="1" t="s">
        <v>3267</v>
      </c>
      <c r="C7275" s="1">
        <v>10.0</v>
      </c>
      <c r="D7275" s="1" t="s">
        <v>712</v>
      </c>
      <c r="E7275" s="1" t="str">
        <f>IFERROR(__xludf.DUMMYFUNCTION("GOOGLETRANSLATE(D7275,""PT"",""EN"")"),"Ten")</f>
        <v>Ten</v>
      </c>
    </row>
    <row r="7276" ht="14.25" customHeight="1">
      <c r="A7276" s="1">
        <v>100.0</v>
      </c>
      <c r="B7276" s="1" t="s">
        <v>3333</v>
      </c>
      <c r="C7276" s="1">
        <v>10.0</v>
      </c>
      <c r="D7276" s="1" t="s">
        <v>3334</v>
      </c>
      <c r="E7276" s="1" t="str">
        <f>IFERROR(__xludf.DUMMYFUNCTION("GOOGLETRANSLATE(D7276,""PT"",""EN"")"),"The app is great, excellent service.")</f>
        <v>The app is great, excellent service.</v>
      </c>
    </row>
    <row r="7277" ht="14.25" customHeight="1">
      <c r="A7277" s="1">
        <v>100.0</v>
      </c>
      <c r="B7277" s="1" t="s">
        <v>3333</v>
      </c>
      <c r="C7277" s="1">
        <v>10.0</v>
      </c>
      <c r="D7277" s="2" t="s">
        <v>3335</v>
      </c>
      <c r="E7277" s="1" t="str">
        <f>IFERROR(__xludf.DUMMYFUNCTION("GOOGLETRANSLATE(D7277,""PT"",""EN"")"),"Excellent relationship with manager is attendants")</f>
        <v>Excellent relationship with manager is attendants</v>
      </c>
    </row>
    <row r="7278" ht="14.25" customHeight="1">
      <c r="A7278" s="1">
        <v>100.0</v>
      </c>
      <c r="B7278" s="1" t="s">
        <v>3267</v>
      </c>
      <c r="C7278" s="1">
        <v>9.0</v>
      </c>
      <c r="D7278" s="2" t="s">
        <v>3336</v>
      </c>
      <c r="E7278" s="1" t="str">
        <f>IFERROR(__xludf.DUMMYFUNCTION("GOOGLETRANSLATE(D7278,""PT"",""EN"")"),"Facilities, bureaucracy is service")</f>
        <v>Facilities, bureaucracy is service</v>
      </c>
    </row>
    <row r="7279" ht="14.25" customHeight="1">
      <c r="A7279" s="1">
        <v>100.0</v>
      </c>
      <c r="B7279" s="1" t="s">
        <v>3333</v>
      </c>
      <c r="C7279" s="1">
        <v>10.0</v>
      </c>
      <c r="D7279" s="2" t="s">
        <v>3337</v>
      </c>
      <c r="E7279" s="1" t="str">
        <f>IFERROR(__xludf.DUMMYFUNCTION("GOOGLETRANSLATE(D7279,""PT"",""EN"")"),"Ease of access to the manager is customization of service.")</f>
        <v>Ease of access to the manager is customization of service.</v>
      </c>
    </row>
    <row r="7280" ht="14.25" customHeight="1">
      <c r="A7280" s="1">
        <v>33.0</v>
      </c>
      <c r="B7280" s="1" t="s">
        <v>3333</v>
      </c>
      <c r="C7280" s="1">
        <v>4.0</v>
      </c>
      <c r="D7280" s="1" t="s">
        <v>3338</v>
      </c>
      <c r="E7280" s="1" t="str">
        <f>IFERROR(__xludf.DUMMYFUNCTION("GOOGLETRANSLATE(D7280,""PT"",""EN"")"),"Confused legal.")</f>
        <v>Confused legal.</v>
      </c>
    </row>
    <row r="7281" ht="14.25" customHeight="1">
      <c r="A7281" s="1">
        <v>100.0</v>
      </c>
      <c r="B7281" s="1" t="s">
        <v>3333</v>
      </c>
      <c r="C7281" s="1">
        <v>10.0</v>
      </c>
      <c r="D7281" s="1" t="s">
        <v>3339</v>
      </c>
      <c r="E7281" s="1" t="str">
        <f>IFERROR(__xludf.DUMMYFUNCTION("GOOGLETRANSLATE(D7281,""PT"",""EN"")"),"We are always very well attended")</f>
        <v>We are always very well attended</v>
      </c>
    </row>
    <row r="7282" ht="14.25" customHeight="1">
      <c r="A7282" s="1">
        <v>100.0</v>
      </c>
      <c r="B7282" s="1" t="s">
        <v>3333</v>
      </c>
      <c r="C7282" s="1">
        <v>10.0</v>
      </c>
      <c r="D7282" s="1" t="s">
        <v>6</v>
      </c>
      <c r="E7282" s="1"/>
    </row>
    <row r="7283" ht="14.25" customHeight="1">
      <c r="A7283" s="1">
        <v>100.0</v>
      </c>
      <c r="B7283" s="1" t="s">
        <v>3333</v>
      </c>
      <c r="C7283" s="1">
        <v>10.0</v>
      </c>
      <c r="D7283" s="2" t="s">
        <v>3340</v>
      </c>
      <c r="E7283" s="1" t="str">
        <f>IFERROR(__xludf.DUMMYFUNCTION("GOOGLETRANSLATE(D7283,""PT"",""EN"")"),"Great service, fair fees, efficiency is quality in service")</f>
        <v>Great service, fair fees, efficiency is quality in service</v>
      </c>
    </row>
    <row r="7284" ht="14.25" customHeight="1">
      <c r="A7284" s="1">
        <v>100.0</v>
      </c>
      <c r="B7284" s="1" t="s">
        <v>3333</v>
      </c>
      <c r="C7284" s="1">
        <v>10.0</v>
      </c>
      <c r="D7284" s="2" t="s">
        <v>3341</v>
      </c>
      <c r="E7284" s="1" t="str">
        <f>IFERROR(__xludf.DUMMYFUNCTION("GOOGLETRANSLATE(D7284,""PT"",""EN"")"),"Exceptional service at all levels is sections.")</f>
        <v>Exceptional service at all levels is sections.</v>
      </c>
    </row>
    <row r="7285" ht="14.25" customHeight="1">
      <c r="A7285" s="1">
        <v>66.0</v>
      </c>
      <c r="B7285" s="1" t="s">
        <v>3333</v>
      </c>
      <c r="C7285" s="1">
        <v>8.0</v>
      </c>
      <c r="D7285" s="1" t="s">
        <v>6</v>
      </c>
      <c r="E7285" s="1"/>
    </row>
    <row r="7286" ht="14.25" customHeight="1">
      <c r="A7286" s="1">
        <v>100.0</v>
      </c>
      <c r="B7286" s="1" t="s">
        <v>3333</v>
      </c>
      <c r="C7286" s="1">
        <v>10.0</v>
      </c>
      <c r="D7286" s="1" t="s">
        <v>3342</v>
      </c>
      <c r="E7286" s="1" t="str">
        <f>IFERROR(__xludf.DUMMYFUNCTION("GOOGLETRANSLATE(D7286,""PT"",""EN"")"),"Service, cordiality")</f>
        <v>Service, cordiality</v>
      </c>
    </row>
    <row r="7287" ht="14.25" customHeight="1">
      <c r="A7287" s="1">
        <v>100.0</v>
      </c>
      <c r="B7287" s="1" t="s">
        <v>3333</v>
      </c>
      <c r="C7287" s="1">
        <v>9.0</v>
      </c>
      <c r="D7287" s="1" t="s">
        <v>3343</v>
      </c>
      <c r="E7287" s="1" t="str">
        <f>IFERROR(__xludf.DUMMYFUNCTION("GOOGLETRANSLATE(D7287,""PT"",""EN"")"),"It is always possible to improve much more, it's just a matter of wanting.")</f>
        <v>It is always possible to improve much more, it's just a matter of wanting.</v>
      </c>
    </row>
    <row r="7288" ht="14.25" customHeight="1">
      <c r="A7288" s="1">
        <v>100.0</v>
      </c>
      <c r="B7288" s="1" t="s">
        <v>3333</v>
      </c>
      <c r="C7288" s="1">
        <v>10.0</v>
      </c>
      <c r="D7288" s="1" t="s">
        <v>6</v>
      </c>
      <c r="E7288" s="1"/>
    </row>
    <row r="7289" ht="14.25" customHeight="1">
      <c r="A7289" s="1">
        <v>66.0</v>
      </c>
      <c r="B7289" s="1" t="s">
        <v>3333</v>
      </c>
      <c r="C7289" s="1">
        <v>8.0</v>
      </c>
      <c r="D7289" s="1" t="s">
        <v>3344</v>
      </c>
      <c r="E7289" s="1" t="str">
        <f>IFERROR(__xludf.DUMMYFUNCTION("GOOGLETRANSLATE(D7289,""PT"",""EN"")"),"Ease of access")</f>
        <v>Ease of access</v>
      </c>
    </row>
    <row r="7290" ht="14.25" customHeight="1">
      <c r="A7290" s="1">
        <v>33.0</v>
      </c>
      <c r="B7290" s="1" t="s">
        <v>3333</v>
      </c>
      <c r="C7290" s="1">
        <v>3.0</v>
      </c>
      <c r="D7290" s="2" t="s">
        <v>3345</v>
      </c>
      <c r="E7290" s="1" t="str">
        <f>IFERROR(__xludf.DUMMYFUNCTION("GOOGLETRANSLATE(D7290,""PT"",""EN"")"),"Offers nothing to the customer")</f>
        <v>Offers nothing to the customer</v>
      </c>
    </row>
    <row r="7291" ht="14.25" customHeight="1">
      <c r="A7291" s="1">
        <v>33.0</v>
      </c>
      <c r="B7291" s="1" t="s">
        <v>3333</v>
      </c>
      <c r="C7291" s="1">
        <v>5.0</v>
      </c>
      <c r="D7291" s="1" t="s">
        <v>3346</v>
      </c>
      <c r="E7291" s="1" t="str">
        <f>IFERROR(__xludf.DUMMYFUNCTION("GOOGLETRANSLATE(D7291,""PT"",""EN"")"),"Fall in quality of service.")</f>
        <v>Fall in quality of service.</v>
      </c>
    </row>
    <row r="7292" ht="14.25" customHeight="1">
      <c r="A7292" s="1">
        <v>33.0</v>
      </c>
      <c r="B7292" s="1" t="s">
        <v>3333</v>
      </c>
      <c r="C7292" s="1">
        <v>0.0</v>
      </c>
      <c r="D7292" s="1" t="s">
        <v>6</v>
      </c>
      <c r="E7292" s="1"/>
    </row>
    <row r="7293" ht="14.25" customHeight="1">
      <c r="A7293" s="1">
        <v>100.0</v>
      </c>
      <c r="B7293" s="1" t="s">
        <v>3333</v>
      </c>
      <c r="C7293" s="1">
        <v>10.0</v>
      </c>
      <c r="D7293" s="1" t="s">
        <v>3347</v>
      </c>
      <c r="E7293" s="1" t="str">
        <f>IFERROR(__xludf.DUMMYFUNCTION("GOOGLETRANSLATE(D7293,""PT"",""EN"")"),"Every time I needed I was well attended")</f>
        <v>Every time I needed I was well attended</v>
      </c>
    </row>
    <row r="7294" ht="14.25" customHeight="1">
      <c r="A7294" s="1">
        <v>100.0</v>
      </c>
      <c r="B7294" s="1" t="s">
        <v>3333</v>
      </c>
      <c r="C7294" s="1">
        <v>9.0</v>
      </c>
      <c r="D7294" s="2" t="s">
        <v>3348</v>
      </c>
      <c r="E7294" s="1" t="str">
        <f>IFERROR(__xludf.DUMMYFUNCTION("GOOGLETRANSLATE(D7294,""PT"",""EN"")"),"It is always possible to improve much more, it's just a matter of wanting ...")</f>
        <v>It is always possible to improve much more, it's just a matter of wanting ...</v>
      </c>
    </row>
    <row r="7295" ht="14.25" customHeight="1">
      <c r="A7295" s="1">
        <v>33.0</v>
      </c>
      <c r="B7295" s="1" t="s">
        <v>3333</v>
      </c>
      <c r="C7295" s="1">
        <v>0.0</v>
      </c>
      <c r="D7295" s="1" t="s">
        <v>1212</v>
      </c>
      <c r="E7295" s="1" t="str">
        <f>IFERROR(__xludf.DUMMYFUNCTION("GOOGLETRANSLATE(D7295,""PT"",""EN"")"),"Personal attendance")</f>
        <v>Personal attendance</v>
      </c>
    </row>
    <row r="7296" ht="14.25" customHeight="1">
      <c r="A7296" s="1">
        <v>100.0</v>
      </c>
      <c r="B7296" s="1" t="s">
        <v>3333</v>
      </c>
      <c r="C7296" s="1">
        <v>10.0</v>
      </c>
      <c r="D7296" s="2" t="s">
        <v>3349</v>
      </c>
      <c r="E7296" s="1" t="str">
        <f>IFERROR(__xludf.DUMMYFUNCTION("GOOGLETRANSLATE(D7296,""PT"",""EN"")"),"New account so far nothing to complain about")</f>
        <v>New account so far nothing to complain about</v>
      </c>
    </row>
    <row r="7297" ht="14.25" customHeight="1">
      <c r="A7297" s="1">
        <v>100.0</v>
      </c>
      <c r="B7297" s="1" t="s">
        <v>3333</v>
      </c>
      <c r="C7297" s="1">
        <v>9.0</v>
      </c>
      <c r="D7297" s="1" t="s">
        <v>6</v>
      </c>
      <c r="E7297" s="1"/>
    </row>
    <row r="7298" ht="14.25" customHeight="1">
      <c r="A7298" s="1">
        <v>100.0</v>
      </c>
      <c r="B7298" s="1" t="s">
        <v>3333</v>
      </c>
      <c r="C7298" s="1">
        <v>10.0</v>
      </c>
      <c r="D7298" s="1" t="s">
        <v>6</v>
      </c>
      <c r="E7298" s="1"/>
    </row>
    <row r="7299" ht="14.25" customHeight="1">
      <c r="A7299" s="1">
        <v>100.0</v>
      </c>
      <c r="B7299" s="1" t="s">
        <v>3333</v>
      </c>
      <c r="C7299" s="1">
        <v>9.0</v>
      </c>
      <c r="D7299" s="1" t="s">
        <v>3350</v>
      </c>
      <c r="E7299" s="1" t="str">
        <f>IFERROR(__xludf.DUMMYFUNCTION("GOOGLETRANSLATE(D7299,""PT"",""EN"")"),"For being a short time as a bank customer")</f>
        <v>For being a short time as a bank customer</v>
      </c>
    </row>
    <row r="7300" ht="14.25" customHeight="1">
      <c r="A7300" s="1">
        <v>100.0</v>
      </c>
      <c r="B7300" s="1" t="s">
        <v>3333</v>
      </c>
      <c r="C7300" s="1">
        <v>10.0</v>
      </c>
      <c r="D7300" s="1" t="s">
        <v>6</v>
      </c>
      <c r="E7300" s="1"/>
    </row>
    <row r="7301" ht="14.25" customHeight="1">
      <c r="A7301" s="1">
        <v>100.0</v>
      </c>
      <c r="B7301" s="1" t="s">
        <v>3333</v>
      </c>
      <c r="C7301" s="1">
        <v>10.0</v>
      </c>
      <c r="D7301" s="1" t="s">
        <v>6</v>
      </c>
      <c r="E7301" s="1"/>
    </row>
    <row r="7302" ht="14.25" customHeight="1">
      <c r="A7302" s="1">
        <v>100.0</v>
      </c>
      <c r="B7302" s="1" t="s">
        <v>3333</v>
      </c>
      <c r="C7302" s="1">
        <v>10.0</v>
      </c>
      <c r="D7302" s="2" t="s">
        <v>3351</v>
      </c>
      <c r="E7302" s="1" t="str">
        <f>IFERROR(__xludf.DUMMYFUNCTION("GOOGLETRANSLATE(D7302,""PT"",""EN"")"),"Great service congratulations to all.")</f>
        <v>Great service congratulations to all.</v>
      </c>
    </row>
    <row r="7303" ht="14.25" customHeight="1">
      <c r="A7303" s="1">
        <v>100.0</v>
      </c>
      <c r="B7303" s="1" t="s">
        <v>3333</v>
      </c>
      <c r="C7303" s="1">
        <v>10.0</v>
      </c>
      <c r="D7303" s="2" t="s">
        <v>3352</v>
      </c>
      <c r="E7303" s="1" t="str">
        <f>IFERROR(__xludf.DUMMYFUNCTION("GOOGLETRANSLATE(D7303,""PT"",""EN"")"),"Service, bank fees is application income.")</f>
        <v>Service, bank fees is application income.</v>
      </c>
    </row>
    <row r="7304" ht="14.25" customHeight="1">
      <c r="A7304" s="1">
        <v>100.0</v>
      </c>
      <c r="B7304" s="1" t="s">
        <v>3333</v>
      </c>
      <c r="C7304" s="1">
        <v>9.0</v>
      </c>
      <c r="D7304" s="1" t="s">
        <v>6</v>
      </c>
      <c r="E7304" s="1"/>
    </row>
    <row r="7305" ht="14.25" customHeight="1">
      <c r="A7305" s="1">
        <v>33.0</v>
      </c>
      <c r="B7305" s="1" t="s">
        <v>3333</v>
      </c>
      <c r="C7305" s="1">
        <v>5.0</v>
      </c>
      <c r="D7305" s="1" t="s">
        <v>6</v>
      </c>
      <c r="E7305" s="1"/>
    </row>
    <row r="7306" ht="14.25" customHeight="1">
      <c r="A7306" s="1">
        <v>66.0</v>
      </c>
      <c r="B7306" s="1" t="s">
        <v>3333</v>
      </c>
      <c r="C7306" s="1">
        <v>8.0</v>
      </c>
      <c r="D7306" s="1" t="s">
        <v>112</v>
      </c>
      <c r="E7306" s="1" t="str">
        <f>IFERROR(__xludf.DUMMYFUNCTION("GOOGLETRANSLATE(D7306,""PT"",""EN"")"),"Practicality")</f>
        <v>Practicality</v>
      </c>
    </row>
    <row r="7307" ht="14.25" customHeight="1">
      <c r="A7307" s="1">
        <v>100.0</v>
      </c>
      <c r="B7307" s="1" t="s">
        <v>3333</v>
      </c>
      <c r="C7307" s="1">
        <v>10.0</v>
      </c>
      <c r="D7307" s="2" t="s">
        <v>3353</v>
      </c>
      <c r="E7307" s="1" t="str">
        <f>IFERROR(__xludf.DUMMYFUNCTION("GOOGLETRANSLATE(D7307,""PT"",""EN"")"),"For me I have nothing to complain about")</f>
        <v>For me I have nothing to complain about</v>
      </c>
    </row>
    <row r="7308" ht="14.25" customHeight="1">
      <c r="A7308" s="1">
        <v>33.0</v>
      </c>
      <c r="B7308" s="1" t="s">
        <v>3333</v>
      </c>
      <c r="C7308" s="1">
        <v>0.0</v>
      </c>
      <c r="D7308" s="1" t="s">
        <v>6</v>
      </c>
      <c r="E7308" s="1"/>
    </row>
    <row r="7309" ht="14.25" customHeight="1">
      <c r="A7309" s="1">
        <v>100.0</v>
      </c>
      <c r="B7309" s="1" t="s">
        <v>3333</v>
      </c>
      <c r="C7309" s="1">
        <v>10.0</v>
      </c>
      <c r="D7309" s="1" t="s">
        <v>6</v>
      </c>
      <c r="E7309" s="1"/>
    </row>
    <row r="7310" ht="14.25" customHeight="1">
      <c r="A7310" s="1">
        <v>100.0</v>
      </c>
      <c r="B7310" s="1" t="s">
        <v>3333</v>
      </c>
      <c r="C7310" s="1">
        <v>10.0</v>
      </c>
      <c r="D7310" s="1" t="s">
        <v>62</v>
      </c>
      <c r="E7310" s="1" t="str">
        <f>IFERROR(__xludf.DUMMYFUNCTION("GOOGLETRANSLATE(D7310,""PT"",""EN"")"),"Good service")</f>
        <v>Good service</v>
      </c>
    </row>
    <row r="7311" ht="14.25" customHeight="1">
      <c r="A7311" s="1">
        <v>33.0</v>
      </c>
      <c r="B7311" s="1" t="s">
        <v>3333</v>
      </c>
      <c r="C7311" s="1">
        <v>5.0</v>
      </c>
      <c r="D7311" s="2" t="s">
        <v>3354</v>
      </c>
      <c r="E7311" s="1" t="str">
        <f>IFERROR(__xludf.DUMMYFUNCTION("GOOGLETRANSLATE(D7311,""PT"",""EN"")"),"Bureaucratic Bank is difficult to interact")</f>
        <v>Bureaucratic Bank is difficult to interact</v>
      </c>
    </row>
    <row r="7312" ht="14.25" customHeight="1">
      <c r="A7312" s="1">
        <v>33.0</v>
      </c>
      <c r="B7312" s="1" t="s">
        <v>3333</v>
      </c>
      <c r="C7312" s="1">
        <v>3.0</v>
      </c>
      <c r="D7312" s="1" t="s">
        <v>6</v>
      </c>
      <c r="E7312" s="1"/>
    </row>
    <row r="7313" ht="14.25" customHeight="1">
      <c r="A7313" s="1">
        <v>100.0</v>
      </c>
      <c r="B7313" s="1" t="s">
        <v>3333</v>
      </c>
      <c r="C7313" s="1">
        <v>10.0</v>
      </c>
      <c r="D7313" s="1" t="s">
        <v>6</v>
      </c>
      <c r="E7313" s="1"/>
    </row>
    <row r="7314" ht="14.25" customHeight="1">
      <c r="A7314" s="1">
        <v>100.0</v>
      </c>
      <c r="B7314" s="1" t="s">
        <v>3333</v>
      </c>
      <c r="C7314" s="1">
        <v>10.0</v>
      </c>
      <c r="D7314" s="1" t="s">
        <v>3355</v>
      </c>
      <c r="E7314" s="1" t="str">
        <f>IFERROR(__xludf.DUMMYFUNCTION("GOOGLETRANSLATE(D7314,""PT"",""EN"")"),"Very good bank")</f>
        <v>Very good bank</v>
      </c>
    </row>
    <row r="7315" ht="14.25" customHeight="1">
      <c r="A7315" s="1">
        <v>100.0</v>
      </c>
      <c r="B7315" s="1" t="s">
        <v>3333</v>
      </c>
      <c r="C7315" s="1">
        <v>10.0</v>
      </c>
      <c r="D7315" s="1" t="s">
        <v>6</v>
      </c>
      <c r="E7315" s="1"/>
    </row>
    <row r="7316" ht="14.25" customHeight="1">
      <c r="A7316" s="1">
        <v>66.0</v>
      </c>
      <c r="B7316" s="1" t="s">
        <v>3333</v>
      </c>
      <c r="C7316" s="1">
        <v>8.0</v>
      </c>
      <c r="D7316" s="2" t="s">
        <v>3356</v>
      </c>
      <c r="E7316" s="1" t="str">
        <f>IFERROR(__xludf.DUMMYFUNCTION("GOOGLETRANSLATE(D7316,""PT"",""EN"")"),"Helpful employees is a good self -service platform")</f>
        <v>Helpful employees is a good self -service platform</v>
      </c>
    </row>
    <row r="7317" ht="14.25" customHeight="1">
      <c r="A7317" s="1">
        <v>100.0</v>
      </c>
      <c r="B7317" s="1" t="s">
        <v>3333</v>
      </c>
      <c r="C7317" s="1">
        <v>10.0</v>
      </c>
      <c r="D7317" s="2" t="s">
        <v>132</v>
      </c>
      <c r="E7317" s="1" t="str">
        <f>IFERROR(__xludf.DUMMYFUNCTION("GOOGLETRANSLATE(D7317,""PT"",""EN"")"),"Great service")</f>
        <v>Great service</v>
      </c>
    </row>
    <row r="7318" ht="14.25" customHeight="1">
      <c r="A7318" s="1">
        <v>33.0</v>
      </c>
      <c r="B7318" s="1" t="s">
        <v>3333</v>
      </c>
      <c r="C7318" s="1">
        <v>6.0</v>
      </c>
      <c r="D7318" s="1" t="s">
        <v>6</v>
      </c>
      <c r="E7318" s="1"/>
    </row>
    <row r="7319" ht="14.25" customHeight="1">
      <c r="A7319" s="1">
        <v>100.0</v>
      </c>
      <c r="B7319" s="1" t="s">
        <v>3333</v>
      </c>
      <c r="C7319" s="1">
        <v>10.0</v>
      </c>
      <c r="D7319" s="1" t="s">
        <v>3357</v>
      </c>
      <c r="E7319" s="1" t="str">
        <f>IFERROR(__xludf.DUMMYFUNCTION("GOOGLETRANSLATE(D7319,""PT"",""EN"")"),"very good. Agile service. Competent team")</f>
        <v>very good. Agile service. Competent team</v>
      </c>
    </row>
    <row r="7320" ht="14.25" customHeight="1">
      <c r="A7320" s="1">
        <v>100.0</v>
      </c>
      <c r="B7320" s="1" t="s">
        <v>3333</v>
      </c>
      <c r="C7320" s="1">
        <v>10.0</v>
      </c>
      <c r="D7320" s="1" t="s">
        <v>6</v>
      </c>
      <c r="E7320" s="1"/>
    </row>
    <row r="7321" ht="14.25" customHeight="1">
      <c r="A7321" s="1">
        <v>100.0</v>
      </c>
      <c r="B7321" s="1" t="s">
        <v>3333</v>
      </c>
      <c r="C7321" s="1">
        <v>10.0</v>
      </c>
      <c r="D7321" s="1" t="s">
        <v>6</v>
      </c>
      <c r="E7321" s="1"/>
    </row>
    <row r="7322" ht="14.25" customHeight="1">
      <c r="A7322" s="1">
        <v>100.0</v>
      </c>
      <c r="B7322" s="1" t="s">
        <v>3333</v>
      </c>
      <c r="C7322" s="1">
        <v>10.0</v>
      </c>
      <c r="D7322" s="2" t="s">
        <v>3358</v>
      </c>
      <c r="E7322" s="1" t="str">
        <f>IFERROR(__xludf.DUMMYFUNCTION("GOOGLETRANSLATE(D7322,""PT"",""EN"")"),"A serious bank is of all support to your customers.")</f>
        <v>A serious bank is of all support to your customers.</v>
      </c>
    </row>
    <row r="7323" ht="14.25" customHeight="1">
      <c r="A7323" s="1">
        <v>100.0</v>
      </c>
      <c r="B7323" s="1" t="s">
        <v>3333</v>
      </c>
      <c r="C7323" s="1">
        <v>9.0</v>
      </c>
      <c r="D7323" s="1" t="s">
        <v>85</v>
      </c>
      <c r="E7323" s="1" t="str">
        <f>IFERROR(__xludf.DUMMYFUNCTION("GOOGLETRANSLATE(D7323,""PT"",""EN"")"),"Service")</f>
        <v>Service</v>
      </c>
    </row>
    <row r="7324" ht="14.25" customHeight="1">
      <c r="A7324" s="1">
        <v>100.0</v>
      </c>
      <c r="B7324" s="1" t="s">
        <v>3333</v>
      </c>
      <c r="C7324" s="1">
        <v>9.0</v>
      </c>
      <c r="D7324" s="1" t="s">
        <v>6</v>
      </c>
      <c r="E7324" s="1"/>
    </row>
    <row r="7325" ht="14.25" customHeight="1">
      <c r="A7325" s="1">
        <v>100.0</v>
      </c>
      <c r="B7325" s="1" t="s">
        <v>3333</v>
      </c>
      <c r="C7325" s="1">
        <v>9.0</v>
      </c>
      <c r="D7325" s="1" t="s">
        <v>6</v>
      </c>
      <c r="E7325" s="1"/>
    </row>
    <row r="7326" ht="14.25" customHeight="1">
      <c r="A7326" s="1">
        <v>100.0</v>
      </c>
      <c r="B7326" s="1" t="s">
        <v>3333</v>
      </c>
      <c r="C7326" s="1">
        <v>10.0</v>
      </c>
      <c r="D7326" s="2" t="s">
        <v>3359</v>
      </c>
      <c r="E7326" s="1" t="str">
        <f>IFERROR(__xludf.DUMMYFUNCTION("GOOGLETRANSLATE(D7326,""PT"",""EN"")"),"Team service, when requested")</f>
        <v>Team service, when requested</v>
      </c>
    </row>
    <row r="7327" ht="14.25" customHeight="1">
      <c r="A7327" s="1">
        <v>100.0</v>
      </c>
      <c r="B7327" s="1" t="s">
        <v>3333</v>
      </c>
      <c r="C7327" s="1">
        <v>10.0</v>
      </c>
      <c r="D7327" s="1" t="s">
        <v>3360</v>
      </c>
      <c r="E7327" s="1" t="str">
        <f>IFERROR(__xludf.DUMMYFUNCTION("GOOGLETRANSLATE(D7327,""PT"",""EN"")"),"Quality service")</f>
        <v>Quality service</v>
      </c>
    </row>
    <row r="7328" ht="14.25" customHeight="1">
      <c r="A7328" s="1">
        <v>100.0</v>
      </c>
      <c r="B7328" s="1" t="s">
        <v>3333</v>
      </c>
      <c r="C7328" s="1">
        <v>10.0</v>
      </c>
      <c r="D7328" s="2" t="s">
        <v>3361</v>
      </c>
      <c r="E7328" s="1" t="str">
        <f>IFERROR(__xludf.DUMMYFUNCTION("GOOGLETRANSLATE(D7328,""PT"",""EN"")"),"Cooperativism is rates")</f>
        <v>Cooperativism is rates</v>
      </c>
    </row>
    <row r="7329" ht="14.25" customHeight="1">
      <c r="A7329" s="1">
        <v>100.0</v>
      </c>
      <c r="B7329" s="1" t="s">
        <v>3333</v>
      </c>
      <c r="C7329" s="1">
        <v>10.0</v>
      </c>
      <c r="D7329" s="2" t="s">
        <v>3362</v>
      </c>
      <c r="E7329" s="1" t="str">
        <f>IFERROR(__xludf.DUMMYFUNCTION("GOOGLETRANSLATE(D7329,""PT"",""EN"")"),"Service is very good app.")</f>
        <v>Service is very good app.</v>
      </c>
    </row>
    <row r="7330" ht="14.25" customHeight="1">
      <c r="A7330" s="1">
        <v>100.0</v>
      </c>
      <c r="B7330" s="1" t="s">
        <v>3333</v>
      </c>
      <c r="C7330" s="1">
        <v>10.0</v>
      </c>
      <c r="D7330" s="2" t="s">
        <v>3363</v>
      </c>
      <c r="E7330" s="1" t="str">
        <f>IFERROR(__xludf.DUMMYFUNCTION("GOOGLETRANSLATE(D7330,""PT"",""EN"")"),"Timeliness in service, assertiveness is quality of service, great performance app")</f>
        <v>Timeliness in service, assertiveness is quality of service, great performance app</v>
      </c>
    </row>
    <row r="7331" ht="14.25" customHeight="1">
      <c r="A7331" s="1">
        <v>100.0</v>
      </c>
      <c r="B7331" s="1" t="s">
        <v>3333</v>
      </c>
      <c r="C7331" s="1">
        <v>10.0</v>
      </c>
      <c r="D7331" s="1" t="s">
        <v>6</v>
      </c>
      <c r="E7331" s="1"/>
    </row>
    <row r="7332" ht="14.25" customHeight="1">
      <c r="A7332" s="1">
        <v>100.0</v>
      </c>
      <c r="B7332" s="1" t="s">
        <v>3333</v>
      </c>
      <c r="C7332" s="1">
        <v>10.0</v>
      </c>
      <c r="D7332" s="1" t="s">
        <v>6</v>
      </c>
      <c r="E7332" s="1"/>
    </row>
    <row r="7333" ht="14.25" customHeight="1">
      <c r="A7333" s="1">
        <v>100.0</v>
      </c>
      <c r="B7333" s="1" t="s">
        <v>3333</v>
      </c>
      <c r="C7333" s="1">
        <v>10.0</v>
      </c>
      <c r="D7333" s="1" t="s">
        <v>6</v>
      </c>
      <c r="E7333" s="1"/>
    </row>
    <row r="7334" ht="14.25" customHeight="1">
      <c r="A7334" s="1">
        <v>100.0</v>
      </c>
      <c r="B7334" s="1" t="s">
        <v>3333</v>
      </c>
      <c r="C7334" s="1">
        <v>10.0</v>
      </c>
      <c r="D7334" s="1" t="s">
        <v>3364</v>
      </c>
      <c r="E7334" s="1" t="str">
        <f>IFERROR(__xludf.DUMMYFUNCTION("GOOGLETRANSLATE(D7334,""PT"",""EN"")"),"Top cooperative")</f>
        <v>Top cooperative</v>
      </c>
    </row>
    <row r="7335" ht="14.25" customHeight="1">
      <c r="A7335" s="1">
        <v>100.0</v>
      </c>
      <c r="B7335" s="1" t="s">
        <v>3333</v>
      </c>
      <c r="C7335" s="1">
        <v>9.0</v>
      </c>
      <c r="D7335" s="1" t="s">
        <v>6</v>
      </c>
      <c r="E7335" s="1"/>
    </row>
    <row r="7336" ht="14.25" customHeight="1">
      <c r="A7336" s="1">
        <v>33.0</v>
      </c>
      <c r="B7336" s="1" t="s">
        <v>3333</v>
      </c>
      <c r="C7336" s="1">
        <v>1.0</v>
      </c>
      <c r="D7336" s="1" t="s">
        <v>3365</v>
      </c>
      <c r="E7336" s="1" t="str">
        <f>IFERROR(__xludf.DUMMYFUNCTION("GOOGLETRANSLATE(D7336,""PT"",""EN"")"),"Very bad recognition")</f>
        <v>Very bad recognition</v>
      </c>
    </row>
    <row r="7337" ht="14.25" customHeight="1">
      <c r="A7337" s="1">
        <v>100.0</v>
      </c>
      <c r="B7337" s="1" t="s">
        <v>3333</v>
      </c>
      <c r="C7337" s="1">
        <v>10.0</v>
      </c>
      <c r="D7337" s="1" t="s">
        <v>6</v>
      </c>
      <c r="E7337" s="1"/>
    </row>
    <row r="7338" ht="14.25" customHeight="1">
      <c r="A7338" s="1">
        <v>100.0</v>
      </c>
      <c r="B7338" s="1" t="s">
        <v>3333</v>
      </c>
      <c r="C7338" s="1">
        <v>10.0</v>
      </c>
      <c r="D7338" s="1" t="s">
        <v>6</v>
      </c>
      <c r="E7338" s="1"/>
    </row>
    <row r="7339" ht="14.25" customHeight="1">
      <c r="A7339" s="1">
        <v>33.0</v>
      </c>
      <c r="B7339" s="1" t="s">
        <v>3333</v>
      </c>
      <c r="C7339" s="1">
        <v>3.0</v>
      </c>
      <c r="D7339" s="2" t="s">
        <v>3366</v>
      </c>
      <c r="E7339" s="1" t="str">
        <f>IFERROR(__xludf.DUMMYFUNCTION("GOOGLETRANSLATE(D7339,""PT"",""EN"")"),"I prefer not to comment, a few months here, I'm not satisfied with Sicoob")</f>
        <v>I prefer not to comment, a few months here, I'm not satisfied with Sicoob</v>
      </c>
    </row>
    <row r="7340" ht="14.25" customHeight="1">
      <c r="A7340" s="1">
        <v>100.0</v>
      </c>
      <c r="B7340" s="1" t="s">
        <v>3333</v>
      </c>
      <c r="C7340" s="1">
        <v>10.0</v>
      </c>
      <c r="D7340" s="1" t="s">
        <v>6</v>
      </c>
      <c r="E7340" s="1"/>
    </row>
    <row r="7341" ht="14.25" customHeight="1">
      <c r="A7341" s="1">
        <v>100.0</v>
      </c>
      <c r="B7341" s="1" t="s">
        <v>3333</v>
      </c>
      <c r="C7341" s="1">
        <v>10.0</v>
      </c>
      <c r="D7341" s="1" t="s">
        <v>6</v>
      </c>
      <c r="E7341" s="1"/>
    </row>
    <row r="7342" ht="14.25" customHeight="1">
      <c r="A7342" s="1">
        <v>100.0</v>
      </c>
      <c r="B7342" s="1" t="s">
        <v>3333</v>
      </c>
      <c r="C7342" s="1">
        <v>9.0</v>
      </c>
      <c r="D7342" s="1" t="s">
        <v>6</v>
      </c>
      <c r="E7342" s="1"/>
    </row>
    <row r="7343" ht="14.25" customHeight="1">
      <c r="A7343" s="1">
        <v>100.0</v>
      </c>
      <c r="B7343" s="1" t="s">
        <v>3333</v>
      </c>
      <c r="C7343" s="1">
        <v>10.0</v>
      </c>
      <c r="D7343" s="1" t="s">
        <v>6</v>
      </c>
      <c r="E7343" s="1"/>
    </row>
    <row r="7344" ht="14.25" customHeight="1">
      <c r="A7344" s="1">
        <v>66.0</v>
      </c>
      <c r="B7344" s="1" t="s">
        <v>3333</v>
      </c>
      <c r="C7344" s="1">
        <v>8.0</v>
      </c>
      <c r="D7344" s="1" t="s">
        <v>6</v>
      </c>
      <c r="E7344" s="1"/>
    </row>
    <row r="7345" ht="14.25" customHeight="1">
      <c r="A7345" s="1">
        <v>100.0</v>
      </c>
      <c r="B7345" s="1" t="s">
        <v>3333</v>
      </c>
      <c r="C7345" s="1">
        <v>10.0</v>
      </c>
      <c r="D7345" s="1" t="s">
        <v>6</v>
      </c>
      <c r="E7345" s="1"/>
    </row>
    <row r="7346" ht="14.25" customHeight="1">
      <c r="A7346" s="1">
        <v>100.0</v>
      </c>
      <c r="B7346" s="1" t="s">
        <v>3333</v>
      </c>
      <c r="C7346" s="1">
        <v>10.0</v>
      </c>
      <c r="D7346" s="1" t="s">
        <v>6</v>
      </c>
      <c r="E7346" s="1"/>
    </row>
    <row r="7347" ht="14.25" customHeight="1">
      <c r="A7347" s="1">
        <v>100.0</v>
      </c>
      <c r="B7347" s="1" t="s">
        <v>3333</v>
      </c>
      <c r="C7347" s="1">
        <v>10.0</v>
      </c>
      <c r="D7347" s="2" t="s">
        <v>3367</v>
      </c>
      <c r="E7347" s="1" t="str">
        <f>IFERROR(__xludf.DUMMYFUNCTION("GOOGLETRANSLATE(D7347,""PT"",""EN"")"),"The perfect service provided by Employee Cida. Congratulations on a person so dedicated to DF Mil Associates, Taguatinga DF")</f>
        <v>The perfect service provided by Employee Cida. Congratulations on a person so dedicated to DF Mil Associates, Taguatinga DF</v>
      </c>
    </row>
    <row r="7348" ht="14.25" customHeight="1">
      <c r="A7348" s="1">
        <v>100.0</v>
      </c>
      <c r="B7348" s="1" t="s">
        <v>3333</v>
      </c>
      <c r="C7348" s="1">
        <v>10.0</v>
      </c>
      <c r="D7348" s="1" t="s">
        <v>6</v>
      </c>
      <c r="E7348" s="1"/>
    </row>
    <row r="7349" ht="14.25" customHeight="1">
      <c r="A7349" s="1">
        <v>100.0</v>
      </c>
      <c r="B7349" s="1" t="s">
        <v>3333</v>
      </c>
      <c r="C7349" s="1">
        <v>10.0</v>
      </c>
      <c r="D7349" s="1" t="s">
        <v>6</v>
      </c>
      <c r="E7349" s="1"/>
    </row>
    <row r="7350" ht="14.25" customHeight="1">
      <c r="A7350" s="1">
        <v>33.0</v>
      </c>
      <c r="B7350" s="1" t="s">
        <v>3333</v>
      </c>
      <c r="C7350" s="1">
        <v>5.0</v>
      </c>
      <c r="D7350" s="2" t="s">
        <v>3368</v>
      </c>
      <c r="E7350" s="1" t="str">
        <f>IFERROR(__xludf.DUMMYFUNCTION("GOOGLETRANSLATE(D7350,""PT"",""EN"")"),"An administrative fee is charged because it has only the bill. Other banks do not charge this.")</f>
        <v>An administrative fee is charged because it has only the bill. Other banks do not charge this.</v>
      </c>
    </row>
    <row r="7351" ht="14.25" customHeight="1">
      <c r="A7351" s="1">
        <v>33.0</v>
      </c>
      <c r="B7351" s="1" t="s">
        <v>3333</v>
      </c>
      <c r="C7351" s="1">
        <v>1.0</v>
      </c>
      <c r="D7351" s="1" t="s">
        <v>6</v>
      </c>
      <c r="E7351" s="1"/>
    </row>
    <row r="7352" ht="14.25" customHeight="1">
      <c r="A7352" s="1">
        <v>66.0</v>
      </c>
      <c r="B7352" s="1" t="s">
        <v>3333</v>
      </c>
      <c r="C7352" s="1">
        <v>8.0</v>
      </c>
      <c r="D7352" s="2" t="s">
        <v>3369</v>
      </c>
      <c r="E7352" s="1" t="str">
        <f>IFERROR(__xludf.DUMMYFUNCTION("GOOGLETRANSLATE(D7352,""PT"",""EN"")"),"Quality in service, rates counted is other services provided")</f>
        <v>Quality in service, rates counted is other services provided</v>
      </c>
    </row>
    <row r="7353" ht="14.25" customHeight="1">
      <c r="A7353" s="1">
        <v>66.0</v>
      </c>
      <c r="B7353" s="1" t="s">
        <v>3333</v>
      </c>
      <c r="C7353" s="1">
        <v>8.0</v>
      </c>
      <c r="D7353" s="2" t="s">
        <v>3370</v>
      </c>
      <c r="E7353" s="1" t="str">
        <f>IFERROR(__xludf.DUMMYFUNCTION("GOOGLETRANSLATE(D7353,""PT"",""EN"")"),"I liked the form of service")</f>
        <v>I liked the form of service</v>
      </c>
    </row>
    <row r="7354" ht="14.25" customHeight="1">
      <c r="A7354" s="1">
        <v>100.0</v>
      </c>
      <c r="B7354" s="1" t="s">
        <v>3333</v>
      </c>
      <c r="C7354" s="1">
        <v>10.0</v>
      </c>
      <c r="D7354" s="1" t="s">
        <v>352</v>
      </c>
      <c r="E7354" s="1" t="str">
        <f>IFERROR(__xludf.DUMMYFUNCTION("GOOGLETRANSLATE(D7354,""PT"",""EN"")"),"Top")</f>
        <v>Top</v>
      </c>
    </row>
    <row r="7355" ht="14.25" customHeight="1">
      <c r="A7355" s="1">
        <v>100.0</v>
      </c>
      <c r="B7355" s="1" t="s">
        <v>3333</v>
      </c>
      <c r="C7355" s="1">
        <v>9.0</v>
      </c>
      <c r="D7355" s="1" t="s">
        <v>6</v>
      </c>
      <c r="E7355" s="1"/>
    </row>
    <row r="7356" ht="14.25" customHeight="1">
      <c r="A7356" s="1">
        <v>66.0</v>
      </c>
      <c r="B7356" s="1" t="s">
        <v>3333</v>
      </c>
      <c r="C7356" s="1">
        <v>8.0</v>
      </c>
      <c r="D7356" s="1" t="s">
        <v>6</v>
      </c>
      <c r="E7356" s="1"/>
    </row>
    <row r="7357" ht="14.25" customHeight="1">
      <c r="A7357" s="1">
        <v>33.0</v>
      </c>
      <c r="B7357" s="1" t="s">
        <v>3333</v>
      </c>
      <c r="C7357" s="1">
        <v>0.0</v>
      </c>
      <c r="D7357" s="2" t="s">
        <v>3371</v>
      </c>
      <c r="E7357" s="1" t="str">
        <f>IFERROR(__xludf.DUMMYFUNCTION("GOOGLETRANSLATE(D7357,""PT"",""EN"")"),"The bank never met my expectations or simple requests, I took a blow to the pix, asked me several documents is never answered, in several trips my card gave problem, until the middle of the year I want to leave, I realized that you are very good to stay s"&amp;"ending advertisements to my email for me to buy products")</f>
        <v>The bank never met my expectations or simple requests, I took a blow to the pix, asked me several documents is never answered, in several trips my card gave problem, until the middle of the year I want to leave, I realized that you are very good to stay sending advertisements to my email for me to buy products</v>
      </c>
    </row>
    <row r="7358" ht="14.25" customHeight="1">
      <c r="A7358" s="1">
        <v>100.0</v>
      </c>
      <c r="B7358" s="1" t="s">
        <v>3333</v>
      </c>
      <c r="C7358" s="1">
        <v>10.0</v>
      </c>
      <c r="D7358" s="2" t="s">
        <v>3372</v>
      </c>
      <c r="E7358" s="1" t="str">
        <f>IFERROR(__xludf.DUMMYFUNCTION("GOOGLETRANSLATE(D7358,""PT"",""EN"")"),"The service with extreme courtesy is the helpfulness of Cida attendant, commitment to solve problems, all problems, special compliment to Mr Bernard.")</f>
        <v>The service with extreme courtesy is the helpfulness of Cida attendant, commitment to solve problems, all problems, special compliment to Mr Bernard.</v>
      </c>
    </row>
    <row r="7359" ht="14.25" customHeight="1">
      <c r="A7359" s="1">
        <v>100.0</v>
      </c>
      <c r="B7359" s="1" t="s">
        <v>3333</v>
      </c>
      <c r="C7359" s="1">
        <v>10.0</v>
      </c>
      <c r="D7359" s="1" t="s">
        <v>6</v>
      </c>
      <c r="E7359" s="1"/>
    </row>
    <row r="7360" ht="14.25" customHeight="1">
      <c r="A7360" s="1">
        <v>33.0</v>
      </c>
      <c r="B7360" s="1" t="s">
        <v>3333</v>
      </c>
      <c r="C7360" s="1">
        <v>5.0</v>
      </c>
      <c r="D7360" s="2" t="s">
        <v>3373</v>
      </c>
      <c r="E7360" s="1" t="str">
        <f>IFERROR(__xludf.DUMMYFUNCTION("GOOGLETRANSLATE(D7360,""PT"",""EN"")"),"I am a Sicoob client are removing the benefits I have ...")</f>
        <v>I am a Sicoob client are removing the benefits I have ...</v>
      </c>
    </row>
    <row r="7361" ht="14.25" customHeight="1">
      <c r="A7361" s="1">
        <v>66.0</v>
      </c>
      <c r="B7361" s="1" t="s">
        <v>3333</v>
      </c>
      <c r="C7361" s="1">
        <v>8.0</v>
      </c>
      <c r="D7361" s="2" t="s">
        <v>3374</v>
      </c>
      <c r="E7361" s="1" t="str">
        <f>IFERROR(__xludf.DUMMYFUNCTION("GOOGLETRANSLATE(D7361,""PT"",""EN"")"),"Provision of services with excellence, promptness is agility.")</f>
        <v>Provision of services with excellence, promptness is agility.</v>
      </c>
    </row>
    <row r="7362" ht="14.25" customHeight="1">
      <c r="A7362" s="1">
        <v>100.0</v>
      </c>
      <c r="B7362" s="1" t="s">
        <v>3333</v>
      </c>
      <c r="C7362" s="1">
        <v>10.0</v>
      </c>
      <c r="D7362" s="1" t="s">
        <v>3375</v>
      </c>
      <c r="E7362" s="1" t="str">
        <f>IFERROR(__xludf.DUMMYFUNCTION("GOOGLETRANSLATE(D7362,""PT"",""EN"")"),"Excellent service, reliability, best products.")</f>
        <v>Excellent service, reliability, best products.</v>
      </c>
    </row>
    <row r="7363" ht="14.25" customHeight="1">
      <c r="A7363" s="1">
        <v>66.0</v>
      </c>
      <c r="B7363" s="1" t="s">
        <v>3333</v>
      </c>
      <c r="C7363" s="1">
        <v>7.0</v>
      </c>
      <c r="D7363" s="1" t="s">
        <v>3376</v>
      </c>
      <c r="E7363" s="1" t="str">
        <f>IFERROR(__xludf.DUMMYFUNCTION("GOOGLETRANSLATE(D7363,""PT"",""EN"")"),"Need app improvements")</f>
        <v>Need app improvements</v>
      </c>
    </row>
    <row r="7364" ht="14.25" customHeight="1">
      <c r="A7364" s="1">
        <v>100.0</v>
      </c>
      <c r="B7364" s="1" t="s">
        <v>3333</v>
      </c>
      <c r="C7364" s="1">
        <v>10.0</v>
      </c>
      <c r="D7364" s="1" t="s">
        <v>62</v>
      </c>
      <c r="E7364" s="1" t="str">
        <f>IFERROR(__xludf.DUMMYFUNCTION("GOOGLETRANSLATE(D7364,""PT"",""EN"")"),"Good service")</f>
        <v>Good service</v>
      </c>
    </row>
    <row r="7365" ht="14.25" customHeight="1">
      <c r="A7365" s="1">
        <v>100.0</v>
      </c>
      <c r="B7365" s="1" t="s">
        <v>3333</v>
      </c>
      <c r="C7365" s="1">
        <v>10.0</v>
      </c>
      <c r="D7365" s="2" t="s">
        <v>3377</v>
      </c>
      <c r="E7365" s="1" t="str">
        <f>IFERROR(__xludf.DUMMYFUNCTION("GOOGLETRANSLATE(D7365,""PT"",""EN"")"),"It is a bank that values ​​the customer with personalized service is offers the best products with the lowest rates in the market.")</f>
        <v>It is a bank that values ​​the customer with personalized service is offers the best products with the lowest rates in the market.</v>
      </c>
    </row>
    <row r="7366" ht="14.25" customHeight="1">
      <c r="A7366" s="1">
        <v>100.0</v>
      </c>
      <c r="B7366" s="1" t="s">
        <v>3333</v>
      </c>
      <c r="C7366" s="1">
        <v>10.0</v>
      </c>
      <c r="D7366" s="1" t="s">
        <v>6</v>
      </c>
      <c r="E7366" s="1"/>
    </row>
    <row r="7367" ht="14.25" customHeight="1">
      <c r="A7367" s="1">
        <v>100.0</v>
      </c>
      <c r="B7367" s="1" t="s">
        <v>3333</v>
      </c>
      <c r="C7367" s="1">
        <v>10.0</v>
      </c>
      <c r="D7367" s="1" t="s">
        <v>6</v>
      </c>
      <c r="E7367" s="1"/>
    </row>
    <row r="7368" ht="14.25" customHeight="1">
      <c r="A7368" s="1">
        <v>100.0</v>
      </c>
      <c r="B7368" s="1" t="s">
        <v>3333</v>
      </c>
      <c r="C7368" s="1">
        <v>10.0</v>
      </c>
      <c r="D7368" s="2" t="s">
        <v>3378</v>
      </c>
      <c r="E7368" s="1" t="str">
        <f>IFERROR(__xludf.DUMMYFUNCTION("GOOGLETRANSLATE(D7368,""PT"",""EN"")"),"Fees is the service, differentiated !!!")</f>
        <v>Fees is the service, differentiated !!!</v>
      </c>
    </row>
    <row r="7369" ht="14.25" customHeight="1">
      <c r="A7369" s="1">
        <v>100.0</v>
      </c>
      <c r="B7369" s="1" t="s">
        <v>3333</v>
      </c>
      <c r="C7369" s="1">
        <v>10.0</v>
      </c>
      <c r="D7369" s="1" t="s">
        <v>3379</v>
      </c>
      <c r="E7369" s="1" t="str">
        <f>IFERROR(__xludf.DUMMYFUNCTION("GOOGLETRANSLATE(D7369,""PT"",""EN"")"),"Unlike all other banks where I already had an account.")</f>
        <v>Unlike all other banks where I already had an account.</v>
      </c>
    </row>
    <row r="7370" ht="14.25" customHeight="1">
      <c r="A7370" s="1">
        <v>66.0</v>
      </c>
      <c r="B7370" s="1" t="s">
        <v>3333</v>
      </c>
      <c r="C7370" s="1">
        <v>8.0</v>
      </c>
      <c r="D7370" s="1" t="s">
        <v>3380</v>
      </c>
      <c r="E7370" s="1" t="str">
        <f>IFERROR(__xludf.DUMMYFUNCTION("GOOGLETRANSLATE(D7370,""PT"",""EN"")"),"The service is different.")</f>
        <v>The service is different.</v>
      </c>
    </row>
    <row r="7371" ht="14.25" customHeight="1">
      <c r="A7371" s="1">
        <v>33.0</v>
      </c>
      <c r="B7371" s="1" t="s">
        <v>3333</v>
      </c>
      <c r="C7371" s="1">
        <v>6.0</v>
      </c>
      <c r="D7371" s="2" t="s">
        <v>3381</v>
      </c>
      <c r="E7371" s="1" t="str">
        <f>IFERROR(__xludf.DUMMYFUNCTION("GOOGLETRANSLATE(D7371,""PT"",""EN"")"),"Waiting in response to requests")</f>
        <v>Waiting in response to requests</v>
      </c>
    </row>
    <row r="7372" ht="14.25" customHeight="1">
      <c r="A7372" s="1">
        <v>100.0</v>
      </c>
      <c r="B7372" s="1" t="s">
        <v>3333</v>
      </c>
      <c r="C7372" s="1">
        <v>10.0</v>
      </c>
      <c r="D7372" s="2" t="s">
        <v>3382</v>
      </c>
      <c r="E7372" s="1" t="str">
        <f>IFERROR(__xludf.DUMMYFUNCTION("GOOGLETRANSLATE(D7372,""PT"",""EN"")"),"Super committed professionals to the customer. congratulations.")</f>
        <v>Super committed professionals to the customer. congratulations.</v>
      </c>
    </row>
    <row r="7373" ht="14.25" customHeight="1">
      <c r="A7373" s="1">
        <v>100.0</v>
      </c>
      <c r="B7373" s="1" t="s">
        <v>3333</v>
      </c>
      <c r="C7373" s="1">
        <v>10.0</v>
      </c>
      <c r="D7373" s="1" t="s">
        <v>3383</v>
      </c>
      <c r="E7373" s="1" t="str">
        <f>IFERROR(__xludf.DUMMYFUNCTION("GOOGLETRANSLATE(D7373,""PT"",""EN"")"),"Service, media, ease of use of the app")</f>
        <v>Service, media, ease of use of the app</v>
      </c>
    </row>
    <row r="7374" ht="14.25" customHeight="1">
      <c r="A7374" s="1">
        <v>33.0</v>
      </c>
      <c r="B7374" s="1" t="s">
        <v>3333</v>
      </c>
      <c r="C7374" s="1">
        <v>5.0</v>
      </c>
      <c r="D7374" s="2" t="s">
        <v>3384</v>
      </c>
      <c r="E7374" s="1" t="str">
        <f>IFERROR(__xludf.DUMMYFUNCTION("GOOGLETRANSLATE(D7374,""PT"",""EN"")"),"It offers no competitive advantages with other banks, financing, loans, are higher interest rates than other easily accessible banks for the server, BRB, BB, CEF, Itaú.")</f>
        <v>It offers no competitive advantages with other banks, financing, loans, are higher interest rates than other easily accessible banks for the server, BRB, BB, CEF, Itaú.</v>
      </c>
    </row>
    <row r="7375" ht="14.25" customHeight="1">
      <c r="A7375" s="1">
        <v>100.0</v>
      </c>
      <c r="B7375" s="1" t="s">
        <v>3333</v>
      </c>
      <c r="C7375" s="1">
        <v>10.0</v>
      </c>
      <c r="D7375" s="2" t="s">
        <v>3385</v>
      </c>
      <c r="E7375" s="1" t="str">
        <f>IFERROR(__xludf.DUMMYFUNCTION("GOOGLETRANSLATE(D7375,""PT"",""EN"")"),"I like Sicoob Bank there are no equal is too good")</f>
        <v>I like Sicoob Bank there are no equal is too good</v>
      </c>
    </row>
    <row r="7376" ht="14.25" customHeight="1">
      <c r="A7376" s="1">
        <v>100.0</v>
      </c>
      <c r="B7376" s="1" t="s">
        <v>3333</v>
      </c>
      <c r="C7376" s="1">
        <v>10.0</v>
      </c>
      <c r="D7376" s="1" t="s">
        <v>62</v>
      </c>
      <c r="E7376" s="1" t="str">
        <f>IFERROR(__xludf.DUMMYFUNCTION("GOOGLETRANSLATE(D7376,""PT"",""EN"")"),"Good service")</f>
        <v>Good service</v>
      </c>
    </row>
    <row r="7377" ht="14.25" customHeight="1">
      <c r="A7377" s="1">
        <v>100.0</v>
      </c>
      <c r="B7377" s="1" t="s">
        <v>3333</v>
      </c>
      <c r="C7377" s="1">
        <v>10.0</v>
      </c>
      <c r="D7377" s="1" t="s">
        <v>6</v>
      </c>
      <c r="E7377" s="1"/>
    </row>
    <row r="7378" ht="14.25" customHeight="1">
      <c r="A7378" s="1">
        <v>66.0</v>
      </c>
      <c r="B7378" s="1" t="s">
        <v>3333</v>
      </c>
      <c r="C7378" s="1">
        <v>7.0</v>
      </c>
      <c r="D7378" s="2" t="s">
        <v>3386</v>
      </c>
      <c r="E7378" s="1" t="str">
        <f>IFERROR(__xludf.DUMMYFUNCTION("GOOGLETRANSLATE(D7378,""PT"",""EN"")"),"Best financing for good payers.")</f>
        <v>Best financing for good payers.</v>
      </c>
    </row>
    <row r="7379" ht="14.25" customHeight="1">
      <c r="A7379" s="1">
        <v>100.0</v>
      </c>
      <c r="B7379" s="1" t="s">
        <v>3333</v>
      </c>
      <c r="C7379" s="1">
        <v>10.0</v>
      </c>
      <c r="D7379" s="1" t="s">
        <v>6</v>
      </c>
      <c r="E7379" s="1"/>
    </row>
    <row r="7380" ht="14.25" customHeight="1">
      <c r="A7380" s="1">
        <v>66.0</v>
      </c>
      <c r="B7380" s="1" t="s">
        <v>3333</v>
      </c>
      <c r="C7380" s="1">
        <v>8.0</v>
      </c>
      <c r="D7380" s="1" t="s">
        <v>6</v>
      </c>
      <c r="E7380" s="1"/>
    </row>
    <row r="7381" ht="14.25" customHeight="1">
      <c r="A7381" s="1">
        <v>100.0</v>
      </c>
      <c r="B7381" s="1" t="s">
        <v>3333</v>
      </c>
      <c r="C7381" s="1">
        <v>10.0</v>
      </c>
      <c r="D7381" s="2" t="s">
        <v>3387</v>
      </c>
      <c r="E7381" s="1" t="str">
        <f>IFERROR(__xludf.DUMMYFUNCTION("GOOGLETRANSLATE(D7381,""PT"",""EN"")"),"Because every time I look for someone to solve my problem I am fully attended")</f>
        <v>Because every time I look for someone to solve my problem I am fully attended</v>
      </c>
    </row>
    <row r="7382" ht="14.25" customHeight="1">
      <c r="A7382" s="1">
        <v>100.0</v>
      </c>
      <c r="B7382" s="1" t="s">
        <v>3333</v>
      </c>
      <c r="C7382" s="1">
        <v>10.0</v>
      </c>
      <c r="D7382" s="2" t="s">
        <v>3388</v>
      </c>
      <c r="E7382" s="1" t="str">
        <f>IFERROR(__xludf.DUMMYFUNCTION("GOOGLETRANSLATE(D7382,""PT"",""EN"")"),"Best payroll fees, insurance, profit sharing, capital account, sweepstakes is mimus on the day of the assembly.")</f>
        <v>Best payroll fees, insurance, profit sharing, capital account, sweepstakes is mimus on the day of the assembly.</v>
      </c>
    </row>
    <row r="7383" ht="14.25" customHeight="1">
      <c r="A7383" s="1">
        <v>33.0</v>
      </c>
      <c r="B7383" s="1" t="s">
        <v>3333</v>
      </c>
      <c r="C7383" s="1">
        <v>1.0</v>
      </c>
      <c r="D7383" s="1" t="s">
        <v>6</v>
      </c>
      <c r="E7383" s="1"/>
    </row>
    <row r="7384" ht="14.25" customHeight="1">
      <c r="A7384" s="1">
        <v>66.0</v>
      </c>
      <c r="B7384" s="1" t="s">
        <v>3333</v>
      </c>
      <c r="C7384" s="1">
        <v>7.0</v>
      </c>
      <c r="D7384" s="1" t="s">
        <v>6</v>
      </c>
      <c r="E7384" s="1"/>
    </row>
    <row r="7385" ht="14.25" customHeight="1">
      <c r="A7385" s="1">
        <v>100.0</v>
      </c>
      <c r="B7385" s="1" t="s">
        <v>3333</v>
      </c>
      <c r="C7385" s="1">
        <v>10.0</v>
      </c>
      <c r="D7385" s="1" t="s">
        <v>1448</v>
      </c>
      <c r="E7385" s="1" t="str">
        <f>IFERROR(__xludf.DUMMYFUNCTION("GOOGLETRANSLATE(D7385,""PT"",""EN"")"),"Excellence in service")</f>
        <v>Excellence in service</v>
      </c>
    </row>
    <row r="7386" ht="14.25" customHeight="1">
      <c r="A7386" s="1">
        <v>100.0</v>
      </c>
      <c r="B7386" s="1" t="s">
        <v>3333</v>
      </c>
      <c r="C7386" s="1">
        <v>9.0</v>
      </c>
      <c r="D7386" s="1" t="s">
        <v>6</v>
      </c>
      <c r="E7386" s="1"/>
    </row>
    <row r="7387" ht="14.25" customHeight="1">
      <c r="A7387" s="1">
        <v>100.0</v>
      </c>
      <c r="B7387" s="1" t="s">
        <v>3333</v>
      </c>
      <c r="C7387" s="1">
        <v>9.0</v>
      </c>
      <c r="D7387" s="1" t="s">
        <v>6</v>
      </c>
      <c r="E7387" s="1"/>
    </row>
    <row r="7388" ht="14.25" customHeight="1">
      <c r="A7388" s="1">
        <v>100.0</v>
      </c>
      <c r="B7388" s="1" t="s">
        <v>3333</v>
      </c>
      <c r="C7388" s="1">
        <v>10.0</v>
      </c>
      <c r="D7388" s="1" t="s">
        <v>6</v>
      </c>
      <c r="E7388" s="1"/>
    </row>
    <row r="7389" ht="14.25" customHeight="1">
      <c r="A7389" s="1">
        <v>100.0</v>
      </c>
      <c r="B7389" s="1" t="s">
        <v>3333</v>
      </c>
      <c r="C7389" s="1">
        <v>10.0</v>
      </c>
      <c r="D7389" s="1" t="s">
        <v>6</v>
      </c>
      <c r="E7389" s="1"/>
    </row>
    <row r="7390" ht="14.25" customHeight="1">
      <c r="A7390" s="1">
        <v>66.0</v>
      </c>
      <c r="B7390" s="1" t="s">
        <v>3333</v>
      </c>
      <c r="C7390" s="1">
        <v>8.0</v>
      </c>
      <c r="D7390" s="2" t="s">
        <v>3389</v>
      </c>
      <c r="E7390" s="1" t="str">
        <f>IFERROR(__xludf.DUMMYFUNCTION("GOOGLETRANSLATE(D7390,""PT"",""EN"")"),"I do not have problems")</f>
        <v>I do not have problems</v>
      </c>
    </row>
    <row r="7391" ht="14.25" customHeight="1">
      <c r="A7391" s="1">
        <v>33.0</v>
      </c>
      <c r="B7391" s="1" t="s">
        <v>3333</v>
      </c>
      <c r="C7391" s="1">
        <v>0.0</v>
      </c>
      <c r="D7391" s="2" t="s">
        <v>3390</v>
      </c>
      <c r="E7391" s="1" t="str">
        <f>IFERROR(__xludf.DUMMYFUNCTION("GOOGLETRANSLATE(D7391,""PT"",""EN"")"),"I can't even talk to you")</f>
        <v>I can't even talk to you</v>
      </c>
    </row>
    <row r="7392" ht="14.25" customHeight="1">
      <c r="A7392" s="1">
        <v>66.0</v>
      </c>
      <c r="B7392" s="1" t="s">
        <v>3333</v>
      </c>
      <c r="C7392" s="1">
        <v>8.0</v>
      </c>
      <c r="D7392" s="2" t="s">
        <v>3391</v>
      </c>
      <c r="E7392" s="1" t="str">
        <f>IFERROR(__xludf.DUMMYFUNCTION("GOOGLETRANSLATE(D7392,""PT"",""EN"")"),"It is serious, although it does not have the availability that banks offer in fullness, but to move the account is quiet.")</f>
        <v>It is serious, although it does not have the availability that banks offer in fullness, but to move the account is quiet.</v>
      </c>
    </row>
    <row r="7393" ht="14.25" customHeight="1">
      <c r="A7393" s="1">
        <v>33.0</v>
      </c>
      <c r="B7393" s="1" t="s">
        <v>3333</v>
      </c>
      <c r="C7393" s="1">
        <v>1.0</v>
      </c>
      <c r="D7393" s="1" t="s">
        <v>3392</v>
      </c>
      <c r="E7393" s="1" t="str">
        <f>IFERROR(__xludf.DUMMYFUNCTION("GOOGLETRANSLATE(D7393,""PT"",""EN"")"),"Sicoob should be more attractive in interest rates applied")</f>
        <v>Sicoob should be more attractive in interest rates applied</v>
      </c>
    </row>
    <row r="7394" ht="14.25" customHeight="1">
      <c r="A7394" s="1">
        <v>100.0</v>
      </c>
      <c r="B7394" s="1" t="s">
        <v>3333</v>
      </c>
      <c r="C7394" s="1">
        <v>10.0</v>
      </c>
      <c r="D7394" s="2" t="s">
        <v>3393</v>
      </c>
      <c r="E7394" s="1" t="str">
        <f>IFERROR(__xludf.DUMMYFUNCTION("GOOGLETRANSLATE(D7394,""PT"",""EN"")"),"Sometimes I needed I was well attended, it was one of those who brought the wallet to PM and BM.")</f>
        <v>Sometimes I needed I was well attended, it was one of those who brought the wallet to PM and BM.</v>
      </c>
    </row>
    <row r="7395" ht="14.25" customHeight="1">
      <c r="A7395" s="1">
        <v>100.0</v>
      </c>
      <c r="B7395" s="1" t="s">
        <v>3333</v>
      </c>
      <c r="C7395" s="1">
        <v>10.0</v>
      </c>
      <c r="D7395" s="1" t="s">
        <v>22</v>
      </c>
      <c r="E7395" s="1" t="str">
        <f>IFERROR(__xludf.DUMMYFUNCTION("GOOGLETRANSLATE(D7395,""PT"",""EN"")"),"Excellent service")</f>
        <v>Excellent service</v>
      </c>
    </row>
    <row r="7396" ht="14.25" customHeight="1">
      <c r="A7396" s="1">
        <v>66.0</v>
      </c>
      <c r="B7396" s="1" t="s">
        <v>3333</v>
      </c>
      <c r="C7396" s="1">
        <v>8.0</v>
      </c>
      <c r="D7396" s="1" t="s">
        <v>534</v>
      </c>
      <c r="E7396" s="1" t="str">
        <f>IFERROR(__xludf.DUMMYFUNCTION("GOOGLETRANSLATE(D7396,""PT"",""EN"")"),"Reliability")</f>
        <v>Reliability</v>
      </c>
    </row>
    <row r="7397" ht="14.25" customHeight="1">
      <c r="A7397" s="1">
        <v>66.0</v>
      </c>
      <c r="B7397" s="1" t="s">
        <v>3333</v>
      </c>
      <c r="C7397" s="1">
        <v>7.0</v>
      </c>
      <c r="D7397" s="1" t="s">
        <v>6</v>
      </c>
      <c r="E7397" s="1"/>
    </row>
    <row r="7398" ht="14.25" customHeight="1">
      <c r="A7398" s="1">
        <v>100.0</v>
      </c>
      <c r="B7398" s="1" t="s">
        <v>3333</v>
      </c>
      <c r="C7398" s="1">
        <v>10.0</v>
      </c>
      <c r="D7398" s="1" t="s">
        <v>3394</v>
      </c>
      <c r="E7398" s="1" t="str">
        <f>IFERROR(__xludf.DUMMYFUNCTION("GOOGLETRANSLATE(D7398,""PT"",""EN"")"),"Fully satisfied with the service!")</f>
        <v>Fully satisfied with the service!</v>
      </c>
    </row>
    <row r="7399" ht="14.25" customHeight="1">
      <c r="A7399" s="1">
        <v>33.0</v>
      </c>
      <c r="B7399" s="1" t="s">
        <v>3333</v>
      </c>
      <c r="C7399" s="1">
        <v>0.0</v>
      </c>
      <c r="D7399" s="2" t="s">
        <v>3395</v>
      </c>
      <c r="E7399" s="1" t="str">
        <f>IFERROR(__xludf.DUMMYFUNCTION("GOOGLETRANSLATE(D7399,""PT"",""EN"")"),"It does not bring me any advantage")</f>
        <v>It does not bring me any advantage</v>
      </c>
    </row>
    <row r="7400" ht="14.25" customHeight="1">
      <c r="A7400" s="1">
        <v>100.0</v>
      </c>
      <c r="B7400" s="1" t="s">
        <v>3333</v>
      </c>
      <c r="C7400" s="1">
        <v>10.0</v>
      </c>
      <c r="D7400" s="1" t="s">
        <v>37</v>
      </c>
      <c r="E7400" s="1" t="str">
        <f>IFERROR(__xludf.DUMMYFUNCTION("GOOGLETRANSLATE(D7400,""PT"",""EN"")"),"Great service")</f>
        <v>Great service</v>
      </c>
    </row>
    <row r="7401" ht="14.25" customHeight="1">
      <c r="A7401" s="1">
        <v>100.0</v>
      </c>
      <c r="B7401" s="1" t="s">
        <v>3333</v>
      </c>
      <c r="C7401" s="1">
        <v>10.0</v>
      </c>
      <c r="D7401" s="1" t="s">
        <v>604</v>
      </c>
      <c r="E7401" s="1" t="str">
        <f>IFERROR(__xludf.DUMMYFUNCTION("GOOGLETRANSLATE(D7401,""PT"",""EN"")"),"Special service")</f>
        <v>Special service</v>
      </c>
    </row>
    <row r="7402" ht="14.25" customHeight="1">
      <c r="A7402" s="1">
        <v>100.0</v>
      </c>
      <c r="B7402" s="1" t="s">
        <v>3333</v>
      </c>
      <c r="C7402" s="1">
        <v>10.0</v>
      </c>
      <c r="D7402" s="1" t="s">
        <v>6</v>
      </c>
      <c r="E7402" s="1"/>
    </row>
    <row r="7403" ht="14.25" customHeight="1">
      <c r="A7403" s="1">
        <v>33.0</v>
      </c>
      <c r="B7403" s="1" t="s">
        <v>3333</v>
      </c>
      <c r="C7403" s="1">
        <v>6.0</v>
      </c>
      <c r="D7403" s="2" t="s">
        <v>3396</v>
      </c>
      <c r="E7403" s="1" t="str">
        <f>IFERROR(__xludf.DUMMYFUNCTION("GOOGLETRANSLATE(D7403,""PT"",""EN"")"),"Sanctification")</f>
        <v>Sanctification</v>
      </c>
    </row>
    <row r="7404" ht="14.25" customHeight="1">
      <c r="A7404" s="1">
        <v>33.0</v>
      </c>
      <c r="B7404" s="1" t="s">
        <v>3333</v>
      </c>
      <c r="C7404" s="1">
        <v>3.0</v>
      </c>
      <c r="D7404" s="1" t="s">
        <v>6</v>
      </c>
      <c r="E7404" s="1"/>
    </row>
    <row r="7405" ht="14.25" customHeight="1">
      <c r="A7405" s="1">
        <v>100.0</v>
      </c>
      <c r="B7405" s="1" t="s">
        <v>3333</v>
      </c>
      <c r="C7405" s="1">
        <v>10.0</v>
      </c>
      <c r="D7405" s="1" t="s">
        <v>453</v>
      </c>
      <c r="E7405" s="1" t="str">
        <f>IFERROR(__xludf.DUMMYFUNCTION("GOOGLETRANSLATE(D7405,""PT"",""EN"")"),"Excellent financial institution")</f>
        <v>Excellent financial institution</v>
      </c>
    </row>
    <row r="7406" ht="14.25" customHeight="1">
      <c r="A7406" s="1">
        <v>66.0</v>
      </c>
      <c r="B7406" s="1" t="s">
        <v>3333</v>
      </c>
      <c r="C7406" s="1">
        <v>8.0</v>
      </c>
      <c r="D7406" s="2" t="s">
        <v>3397</v>
      </c>
      <c r="E7406" s="1" t="str">
        <f>IFERROR(__xludf.DUMMYFUNCTION("GOOGLETRANSLATE(D7406,""PT"",""EN"")"),"Good night, I like Sicoob more this time the attendant left to be desired, I know that a lot of people are already well tuned is I have to update me, because I have difficulty with the technology but I am willing to learn is I found the attendant very dry"&amp;" is closed, I think Sicoob that invests more in its employees to serve better.")</f>
        <v>Good night, I like Sicoob more this time the attendant left to be desired, I know that a lot of people are already well tuned is I have to update me, because I have difficulty with the technology but I am willing to learn is I found the attendant very dry is closed, I think Sicoob that invests more in its employees to serve better.</v>
      </c>
    </row>
    <row r="7407" ht="14.25" customHeight="1">
      <c r="A7407" s="1">
        <v>100.0</v>
      </c>
      <c r="B7407" s="1" t="s">
        <v>3333</v>
      </c>
      <c r="C7407" s="1">
        <v>10.0</v>
      </c>
      <c r="D7407" s="1" t="s">
        <v>6</v>
      </c>
      <c r="E7407" s="1"/>
    </row>
    <row r="7408" ht="14.25" customHeight="1">
      <c r="A7408" s="1">
        <v>100.0</v>
      </c>
      <c r="B7408" s="1" t="s">
        <v>3333</v>
      </c>
      <c r="C7408" s="1">
        <v>9.0</v>
      </c>
      <c r="D7408" s="2" t="s">
        <v>3398</v>
      </c>
      <c r="E7408" s="1" t="str">
        <f>IFERROR(__xludf.DUMMYFUNCTION("GOOGLETRANSLATE(D7408,""PT"",""EN"")"),"Care is courtesy")</f>
        <v>Care is courtesy</v>
      </c>
    </row>
    <row r="7409" ht="14.25" customHeight="1">
      <c r="A7409" s="1">
        <v>100.0</v>
      </c>
      <c r="B7409" s="1" t="s">
        <v>3333</v>
      </c>
      <c r="C7409" s="1">
        <v>10.0</v>
      </c>
      <c r="D7409" s="2" t="s">
        <v>3399</v>
      </c>
      <c r="E7409" s="1" t="str">
        <f>IFERROR(__xludf.DUMMYFUNCTION("GOOGLETRANSLATE(D7409,""PT"",""EN"")"),"For service, profit sharing, lower rates, confidence in the institution.")</f>
        <v>For service, profit sharing, lower rates, confidence in the institution.</v>
      </c>
    </row>
    <row r="7410" ht="14.25" customHeight="1">
      <c r="A7410" s="1">
        <v>100.0</v>
      </c>
      <c r="B7410" s="1" t="s">
        <v>3333</v>
      </c>
      <c r="C7410" s="1">
        <v>10.0</v>
      </c>
      <c r="D7410" s="1" t="s">
        <v>6</v>
      </c>
      <c r="E7410" s="1"/>
    </row>
    <row r="7411" ht="14.25" customHeight="1">
      <c r="A7411" s="1">
        <v>100.0</v>
      </c>
      <c r="B7411" s="1" t="s">
        <v>3333</v>
      </c>
      <c r="C7411" s="1">
        <v>10.0</v>
      </c>
      <c r="D7411" s="2" t="s">
        <v>3400</v>
      </c>
      <c r="E7411" s="1" t="str">
        <f>IFERROR(__xludf.DUMMYFUNCTION("GOOGLETRANSLATE(D7411,""PT"",""EN"")"),"Given that the cooperative has a differentiated service from other banks is the employees are very cordial.")</f>
        <v>Given that the cooperative has a differentiated service from other banks is the employees are very cordial.</v>
      </c>
    </row>
    <row r="7412" ht="14.25" customHeight="1">
      <c r="A7412" s="1">
        <v>100.0</v>
      </c>
      <c r="B7412" s="1" t="s">
        <v>3333</v>
      </c>
      <c r="C7412" s="1">
        <v>10.0</v>
      </c>
      <c r="D7412" s="1" t="s">
        <v>1928</v>
      </c>
      <c r="E7412" s="1" t="str">
        <f>IFERROR(__xludf.DUMMYFUNCTION("GOOGLETRANSLATE(D7412,""PT"",""EN"")"),"Wonderful service.")</f>
        <v>Wonderful service.</v>
      </c>
    </row>
    <row r="7413" ht="14.25" customHeight="1">
      <c r="A7413" s="1">
        <v>100.0</v>
      </c>
      <c r="B7413" s="1" t="s">
        <v>3333</v>
      </c>
      <c r="C7413" s="1">
        <v>10.0</v>
      </c>
      <c r="D7413" s="1" t="s">
        <v>3401</v>
      </c>
      <c r="E7413" s="1" t="str">
        <f>IFERROR(__xludf.DUMMYFUNCTION("GOOGLETRANSLATE(D7413,""PT"",""EN"")"),"All very good for the client")</f>
        <v>All very good for the client</v>
      </c>
    </row>
    <row r="7414" ht="14.25" customHeight="1">
      <c r="A7414" s="1">
        <v>100.0</v>
      </c>
      <c r="B7414" s="1" t="s">
        <v>3333</v>
      </c>
      <c r="C7414" s="1">
        <v>10.0</v>
      </c>
      <c r="D7414" s="2" t="s">
        <v>3402</v>
      </c>
      <c r="E7414" s="1" t="str">
        <f>IFERROR(__xludf.DUMMYFUNCTION("GOOGLETRANSLATE(D7414,""PT"",""EN"")"),"Agility, attention, is transparency in the service")</f>
        <v>Agility, attention, is transparency in the service</v>
      </c>
    </row>
    <row r="7415" ht="14.25" customHeight="1">
      <c r="A7415" s="1">
        <v>100.0</v>
      </c>
      <c r="B7415" s="1" t="s">
        <v>3333</v>
      </c>
      <c r="C7415" s="1">
        <v>10.0</v>
      </c>
      <c r="D7415" s="1" t="s">
        <v>3403</v>
      </c>
      <c r="E7415" s="1" t="str">
        <f>IFERROR(__xludf.DUMMYFUNCTION("GOOGLETRANSLATE(D7415,""PT"",""EN"")"),"The best financial institution")</f>
        <v>The best financial institution</v>
      </c>
    </row>
    <row r="7416" ht="14.25" customHeight="1">
      <c r="A7416" s="1">
        <v>100.0</v>
      </c>
      <c r="B7416" s="1" t="s">
        <v>3333</v>
      </c>
      <c r="C7416" s="1">
        <v>10.0</v>
      </c>
      <c r="D7416" s="2" t="s">
        <v>3404</v>
      </c>
      <c r="E7416" s="1" t="str">
        <f>IFERROR(__xludf.DUMMYFUNCTION("GOOGLETRANSLATE(D7416,""PT"",""EN"")"),"Excellent bank! Always friendly and helpful attendants! I solve everything life whatsapp !!!")</f>
        <v>Excellent bank! Always friendly and helpful attendants! I solve everything life whatsapp !!!</v>
      </c>
    </row>
    <row r="7417" ht="14.25" customHeight="1">
      <c r="A7417" s="1">
        <v>100.0</v>
      </c>
      <c r="B7417" s="1" t="s">
        <v>3333</v>
      </c>
      <c r="C7417" s="1">
        <v>10.0</v>
      </c>
      <c r="D7417" s="1" t="s">
        <v>6</v>
      </c>
      <c r="E7417" s="1"/>
    </row>
    <row r="7418" ht="14.25" customHeight="1">
      <c r="A7418" s="1">
        <v>100.0</v>
      </c>
      <c r="B7418" s="1" t="s">
        <v>3333</v>
      </c>
      <c r="C7418" s="1">
        <v>10.0</v>
      </c>
      <c r="D7418" s="1" t="s">
        <v>6</v>
      </c>
      <c r="E7418" s="1"/>
    </row>
    <row r="7419" ht="14.25" customHeight="1">
      <c r="A7419" s="1">
        <v>100.0</v>
      </c>
      <c r="B7419" s="1" t="s">
        <v>3333</v>
      </c>
      <c r="C7419" s="1">
        <v>10.0</v>
      </c>
      <c r="D7419" s="1" t="s">
        <v>3405</v>
      </c>
      <c r="E7419" s="1" t="str">
        <f>IFERROR(__xludf.DUMMYFUNCTION("GOOGLETRANSLATE(D7419,""PT"",""EN"")"),"Just pleased with the products presented, with the courtesy of employees.")</f>
        <v>Just pleased with the products presented, with the courtesy of employees.</v>
      </c>
    </row>
    <row r="7420" ht="14.25" customHeight="1">
      <c r="A7420" s="1">
        <v>33.0</v>
      </c>
      <c r="B7420" s="1" t="s">
        <v>3333</v>
      </c>
      <c r="C7420" s="1">
        <v>4.0</v>
      </c>
      <c r="D7420" s="1" t="s">
        <v>3406</v>
      </c>
      <c r="E7420" s="1" t="str">
        <f>IFERROR(__xludf.DUMMYFUNCTION("GOOGLETRANSLATE(D7420,""PT"",""EN"")"),"Too complicated")</f>
        <v>Too complicated</v>
      </c>
    </row>
    <row r="7421" ht="14.25" customHeight="1">
      <c r="A7421" s="1">
        <v>100.0</v>
      </c>
      <c r="B7421" s="1" t="s">
        <v>3333</v>
      </c>
      <c r="C7421" s="1">
        <v>10.0</v>
      </c>
      <c r="D7421" s="1" t="s">
        <v>6</v>
      </c>
      <c r="E7421" s="1"/>
    </row>
    <row r="7422" ht="14.25" customHeight="1">
      <c r="A7422" s="1">
        <v>100.0</v>
      </c>
      <c r="B7422" s="1" t="s">
        <v>3333</v>
      </c>
      <c r="C7422" s="1">
        <v>10.0</v>
      </c>
      <c r="D7422" s="1" t="s">
        <v>6</v>
      </c>
      <c r="E7422" s="1"/>
    </row>
    <row r="7423" ht="14.25" customHeight="1">
      <c r="A7423" s="1">
        <v>100.0</v>
      </c>
      <c r="B7423" s="1" t="s">
        <v>3333</v>
      </c>
      <c r="C7423" s="1">
        <v>10.0</v>
      </c>
      <c r="D7423" s="1" t="s">
        <v>3407</v>
      </c>
      <c r="E7423" s="1" t="str">
        <f>IFERROR(__xludf.DUMMYFUNCTION("GOOGLETRANSLATE(D7423,""PT"",""EN"")"),"Excellence in the service.")</f>
        <v>Excellence in the service.</v>
      </c>
    </row>
    <row r="7424" ht="14.25" customHeight="1">
      <c r="A7424" s="1">
        <v>100.0</v>
      </c>
      <c r="B7424" s="1" t="s">
        <v>3333</v>
      </c>
      <c r="C7424" s="1">
        <v>10.0</v>
      </c>
      <c r="D7424" s="1" t="s">
        <v>6</v>
      </c>
      <c r="E7424" s="1"/>
    </row>
    <row r="7425" ht="14.25" customHeight="1">
      <c r="A7425" s="1">
        <v>100.0</v>
      </c>
      <c r="B7425" s="1" t="s">
        <v>3333</v>
      </c>
      <c r="C7425" s="1">
        <v>9.0</v>
      </c>
      <c r="D7425" s="1" t="s">
        <v>6</v>
      </c>
      <c r="E7425" s="1"/>
    </row>
    <row r="7426" ht="14.25" customHeight="1">
      <c r="A7426" s="1">
        <v>100.0</v>
      </c>
      <c r="B7426" s="1" t="s">
        <v>3333</v>
      </c>
      <c r="C7426" s="1">
        <v>10.0</v>
      </c>
      <c r="D7426" s="1" t="s">
        <v>6</v>
      </c>
      <c r="E7426" s="1"/>
    </row>
    <row r="7427" ht="14.25" customHeight="1">
      <c r="A7427" s="1">
        <v>100.0</v>
      </c>
      <c r="B7427" s="1" t="s">
        <v>3333</v>
      </c>
      <c r="C7427" s="1">
        <v>9.0</v>
      </c>
      <c r="D7427" s="1" t="s">
        <v>6</v>
      </c>
      <c r="E7427" s="1"/>
    </row>
    <row r="7428" ht="14.25" customHeight="1">
      <c r="A7428" s="1">
        <v>100.0</v>
      </c>
      <c r="B7428" s="1" t="s">
        <v>3333</v>
      </c>
      <c r="C7428" s="1">
        <v>10.0</v>
      </c>
      <c r="D7428" s="1" t="s">
        <v>6</v>
      </c>
      <c r="E7428" s="1"/>
    </row>
    <row r="7429" ht="14.25" customHeight="1">
      <c r="A7429" s="1">
        <v>100.0</v>
      </c>
      <c r="B7429" s="1" t="s">
        <v>3333</v>
      </c>
      <c r="C7429" s="1">
        <v>10.0</v>
      </c>
      <c r="D7429" s="2" t="s">
        <v>3408</v>
      </c>
      <c r="E7429" s="1" t="str">
        <f>IFERROR(__xludf.DUMMYFUNCTION("GOOGLETRANSLATE(D7429,""PT"",""EN"")"),"I am always very well attended by the agency is I can solve all the demands of the condominium.")</f>
        <v>I am always very well attended by the agency is I can solve all the demands of the condominium.</v>
      </c>
    </row>
    <row r="7430" ht="14.25" customHeight="1">
      <c r="A7430" s="1">
        <v>100.0</v>
      </c>
      <c r="B7430" s="1" t="s">
        <v>3333</v>
      </c>
      <c r="C7430" s="1">
        <v>10.0</v>
      </c>
      <c r="D7430" s="1" t="s">
        <v>3409</v>
      </c>
      <c r="E7430" s="1" t="str">
        <f>IFERROR(__xludf.DUMMYFUNCTION("GOOGLETRANSLATE(D7430,""PT"",""EN"")"),"It's a bench different from everyone else ... I feel like I'm part of it.")</f>
        <v>It's a bench different from everyone else ... I feel like I'm part of it.</v>
      </c>
    </row>
    <row r="7431" ht="14.25" customHeight="1">
      <c r="A7431" s="1">
        <v>100.0</v>
      </c>
      <c r="B7431" s="1" t="s">
        <v>3333</v>
      </c>
      <c r="C7431" s="1">
        <v>10.0</v>
      </c>
      <c r="D7431" s="1" t="s">
        <v>3410</v>
      </c>
      <c r="E7431" s="1" t="str">
        <f>IFERROR(__xludf.DUMMYFUNCTION("GOOGLETRANSLATE(D7431,""PT"",""EN"")"),"Excellent customer treatment")</f>
        <v>Excellent customer treatment</v>
      </c>
    </row>
    <row r="7432" ht="14.25" customHeight="1">
      <c r="A7432" s="1">
        <v>100.0</v>
      </c>
      <c r="B7432" s="1" t="s">
        <v>3333</v>
      </c>
      <c r="C7432" s="1">
        <v>10.0</v>
      </c>
      <c r="D7432" s="1" t="s">
        <v>6</v>
      </c>
      <c r="E7432" s="1"/>
    </row>
    <row r="7433" ht="14.25" customHeight="1">
      <c r="A7433" s="1">
        <v>100.0</v>
      </c>
      <c r="B7433" s="1" t="s">
        <v>3333</v>
      </c>
      <c r="C7433" s="1">
        <v>10.0</v>
      </c>
      <c r="D7433" s="1" t="s">
        <v>6</v>
      </c>
      <c r="E7433" s="1"/>
    </row>
    <row r="7434" ht="14.25" customHeight="1">
      <c r="A7434" s="1">
        <v>100.0</v>
      </c>
      <c r="B7434" s="1" t="s">
        <v>3333</v>
      </c>
      <c r="C7434" s="1">
        <v>10.0</v>
      </c>
      <c r="D7434" s="1" t="s">
        <v>6</v>
      </c>
      <c r="E7434" s="1"/>
    </row>
    <row r="7435" ht="14.25" customHeight="1">
      <c r="A7435" s="1">
        <v>66.0</v>
      </c>
      <c r="B7435" s="1" t="s">
        <v>3333</v>
      </c>
      <c r="C7435" s="1">
        <v>8.0</v>
      </c>
      <c r="D7435" s="1" t="s">
        <v>6</v>
      </c>
      <c r="E7435" s="1"/>
    </row>
    <row r="7436" ht="14.25" customHeight="1">
      <c r="A7436" s="1">
        <v>100.0</v>
      </c>
      <c r="B7436" s="1" t="s">
        <v>3333</v>
      </c>
      <c r="C7436" s="1">
        <v>10.0</v>
      </c>
      <c r="D7436" s="2" t="s">
        <v>3411</v>
      </c>
      <c r="E7436" s="1" t="str">
        <f>IFERROR(__xludf.DUMMYFUNCTION("GOOGLETRANSLATE(D7436,""PT"",""EN"")"),"Quality and agility in service.")</f>
        <v>Quality and agility in service.</v>
      </c>
    </row>
    <row r="7437" ht="14.25" customHeight="1">
      <c r="A7437" s="1">
        <v>100.0</v>
      </c>
      <c r="B7437" s="1" t="s">
        <v>3333</v>
      </c>
      <c r="C7437" s="1">
        <v>10.0</v>
      </c>
      <c r="D7437" s="1" t="s">
        <v>3412</v>
      </c>
      <c r="E7437" s="1" t="str">
        <f>IFERROR(__xludf.DUMMYFUNCTION("GOOGLETRANSLATE(D7437,""PT"",""EN"")"),"Efficiency in Treat with the Customer")</f>
        <v>Efficiency in Treat with the Customer</v>
      </c>
    </row>
    <row r="7438" ht="14.25" customHeight="1">
      <c r="A7438" s="1">
        <v>33.0</v>
      </c>
      <c r="B7438" s="1" t="s">
        <v>3333</v>
      </c>
      <c r="C7438" s="1">
        <v>0.0</v>
      </c>
      <c r="D7438" s="2" t="s">
        <v>3413</v>
      </c>
      <c r="E7438" s="1" t="str">
        <f>IFERROR(__xludf.DUMMYFUNCTION("GOOGLETRANSLATE(D7438,""PT"",""EN"")"),"I never even know why you send email to me, I'm not cooperative, I'm not an account holder .... It's already unbearable, you are invading my privacy ...")</f>
        <v>I never even know why you send email to me, I'm not cooperative, I'm not an account holder .... It's already unbearable, you are invading my privacy ...</v>
      </c>
    </row>
    <row r="7439" ht="14.25" customHeight="1">
      <c r="A7439" s="1">
        <v>100.0</v>
      </c>
      <c r="B7439" s="1" t="s">
        <v>3333</v>
      </c>
      <c r="C7439" s="1">
        <v>10.0</v>
      </c>
      <c r="D7439" s="1" t="s">
        <v>6</v>
      </c>
      <c r="E7439" s="1"/>
    </row>
    <row r="7440" ht="14.25" customHeight="1">
      <c r="A7440" s="1">
        <v>100.0</v>
      </c>
      <c r="B7440" s="1" t="s">
        <v>3333</v>
      </c>
      <c r="C7440" s="1">
        <v>10.0</v>
      </c>
      <c r="D7440" s="1" t="s">
        <v>3414</v>
      </c>
      <c r="E7440" s="1" t="str">
        <f>IFERROR(__xludf.DUMMYFUNCTION("GOOGLETRANSLATE(D7440,""PT"",""EN"")"),"For the great customer/bank relationship")</f>
        <v>For the great customer/bank relationship</v>
      </c>
    </row>
    <row r="7441" ht="14.25" customHeight="1">
      <c r="A7441" s="1">
        <v>100.0</v>
      </c>
      <c r="B7441" s="1" t="s">
        <v>3333</v>
      </c>
      <c r="C7441" s="1">
        <v>10.0</v>
      </c>
      <c r="D7441" s="1" t="s">
        <v>6</v>
      </c>
      <c r="E7441" s="1"/>
    </row>
    <row r="7442" ht="14.25" customHeight="1">
      <c r="A7442" s="1">
        <v>100.0</v>
      </c>
      <c r="B7442" s="1" t="s">
        <v>3333</v>
      </c>
      <c r="C7442" s="1">
        <v>10.0</v>
      </c>
      <c r="D7442" s="1" t="s">
        <v>2592</v>
      </c>
      <c r="E7442" s="1" t="str">
        <f>IFERROR(__xludf.DUMMYFUNCTION("GOOGLETRANSLATE(D7442,""PT"",""EN"")"),"Wonderful")</f>
        <v>Wonderful</v>
      </c>
    </row>
    <row r="7443" ht="14.25" customHeight="1">
      <c r="A7443" s="1">
        <v>100.0</v>
      </c>
      <c r="B7443" s="1" t="s">
        <v>3333</v>
      </c>
      <c r="C7443" s="1">
        <v>10.0</v>
      </c>
      <c r="D7443" s="1" t="s">
        <v>6</v>
      </c>
      <c r="E7443" s="1"/>
    </row>
    <row r="7444" ht="14.25" customHeight="1">
      <c r="A7444" s="1">
        <v>33.0</v>
      </c>
      <c r="B7444" s="1" t="s">
        <v>3333</v>
      </c>
      <c r="C7444" s="1">
        <v>0.0</v>
      </c>
      <c r="D7444" s="2" t="s">
        <v>3415</v>
      </c>
      <c r="E7444" s="1" t="str">
        <f>IFERROR(__xludf.DUMMYFUNCTION("GOOGLETRANSLATE(D7444,""PT"",""EN"")"),"The lack of help and problem solutions in the page https://developers.sicoob.com.br/, so it entails serious problems in issuing slips is file returns, causing damage and discomfort.")</f>
        <v>The lack of help and problem solutions in the page https://developers.sicoob.com.br/, so it entails serious problems in issuing slips is file returns, causing damage and discomfort.</v>
      </c>
    </row>
    <row r="7445" ht="14.25" customHeight="1">
      <c r="A7445" s="1">
        <v>100.0</v>
      </c>
      <c r="B7445" s="1" t="s">
        <v>3333</v>
      </c>
      <c r="C7445" s="1">
        <v>10.0</v>
      </c>
      <c r="D7445" s="2" t="s">
        <v>3416</v>
      </c>
      <c r="E7445" s="1" t="str">
        <f>IFERROR(__xludf.DUMMYFUNCTION("GOOGLETRANSLATE(D7445,""PT"",""EN"")"),"I like service is the company's policy")</f>
        <v>I like service is the company's policy</v>
      </c>
    </row>
    <row r="7446" ht="14.25" customHeight="1">
      <c r="A7446" s="1">
        <v>33.0</v>
      </c>
      <c r="B7446" s="1" t="s">
        <v>3333</v>
      </c>
      <c r="C7446" s="1">
        <v>3.0</v>
      </c>
      <c r="D7446" s="2" t="s">
        <v>3417</v>
      </c>
      <c r="E7446" s="1" t="str">
        <f>IFERROR(__xludf.DUMMYFUNCTION("GOOGLETRANSLATE(D7446,""PT"",""EN"")"),"Block my credit card every day on suspicion of fraud. I even understand the precaution but every day? Any transaction?")</f>
        <v>Block my credit card every day on suspicion of fraud. I even understand the precaution but every day? Any transaction?</v>
      </c>
    </row>
    <row r="7447" ht="14.25" customHeight="1">
      <c r="A7447" s="1">
        <v>100.0</v>
      </c>
      <c r="B7447" s="1" t="s">
        <v>3333</v>
      </c>
      <c r="C7447" s="1">
        <v>10.0</v>
      </c>
      <c r="D7447" s="1" t="s">
        <v>3418</v>
      </c>
      <c r="E7447" s="1" t="str">
        <f>IFERROR(__xludf.DUMMYFUNCTION("GOOGLETRANSLATE(D7447,""PT"",""EN"")"),"Always met my expectations")</f>
        <v>Always met my expectations</v>
      </c>
    </row>
    <row r="7448" ht="14.25" customHeight="1">
      <c r="A7448" s="1">
        <v>33.0</v>
      </c>
      <c r="B7448" s="1" t="s">
        <v>3333</v>
      </c>
      <c r="C7448" s="1">
        <v>6.0</v>
      </c>
      <c r="D7448" s="2" t="s">
        <v>3419</v>
      </c>
      <c r="E7448" s="1" t="str">
        <f>IFERROR(__xludf.DUMMYFUNCTION("GOOGLETRANSLATE(D7448,""PT"",""EN"")"),"I don't have credit card released.")</f>
        <v>I don't have credit card released.</v>
      </c>
    </row>
    <row r="7449" ht="14.25" customHeight="1">
      <c r="A7449" s="1">
        <v>66.0</v>
      </c>
      <c r="B7449" s="1" t="s">
        <v>3333</v>
      </c>
      <c r="C7449" s="1">
        <v>7.0</v>
      </c>
      <c r="D7449" s="1" t="s">
        <v>6</v>
      </c>
      <c r="E7449" s="1"/>
    </row>
    <row r="7450" ht="14.25" customHeight="1">
      <c r="A7450" s="1">
        <v>66.0</v>
      </c>
      <c r="B7450" s="1" t="s">
        <v>3333</v>
      </c>
      <c r="C7450" s="1">
        <v>8.0</v>
      </c>
      <c r="D7450" s="1" t="s">
        <v>6</v>
      </c>
      <c r="E7450" s="1"/>
    </row>
    <row r="7451" ht="14.25" customHeight="1">
      <c r="A7451" s="1">
        <v>100.0</v>
      </c>
      <c r="B7451" s="1" t="s">
        <v>3333</v>
      </c>
      <c r="C7451" s="1">
        <v>10.0</v>
      </c>
      <c r="D7451" s="1" t="s">
        <v>6</v>
      </c>
      <c r="E7451" s="1"/>
    </row>
    <row r="7452" ht="14.25" customHeight="1">
      <c r="A7452" s="1">
        <v>100.0</v>
      </c>
      <c r="B7452" s="1" t="s">
        <v>3333</v>
      </c>
      <c r="C7452" s="1">
        <v>10.0</v>
      </c>
      <c r="D7452" s="1" t="s">
        <v>6</v>
      </c>
      <c r="E7452" s="1"/>
    </row>
    <row r="7453" ht="14.25" customHeight="1">
      <c r="A7453" s="1">
        <v>100.0</v>
      </c>
      <c r="B7453" s="1" t="s">
        <v>3333</v>
      </c>
      <c r="C7453" s="1">
        <v>9.0</v>
      </c>
      <c r="D7453" s="1" t="s">
        <v>2132</v>
      </c>
      <c r="E7453" s="1" t="str">
        <f>IFERROR(__xludf.DUMMYFUNCTION("GOOGLETRANSLATE(D7453,""PT"",""EN"")"),"good")</f>
        <v>good</v>
      </c>
    </row>
    <row r="7454" ht="14.25" customHeight="1">
      <c r="A7454" s="1">
        <v>100.0</v>
      </c>
      <c r="B7454" s="1" t="s">
        <v>3333</v>
      </c>
      <c r="C7454" s="1">
        <v>10.0</v>
      </c>
      <c r="D7454" s="1" t="s">
        <v>6</v>
      </c>
      <c r="E7454" s="1"/>
    </row>
    <row r="7455" ht="14.25" customHeight="1">
      <c r="A7455" s="1">
        <v>33.0</v>
      </c>
      <c r="B7455" s="1" t="s">
        <v>3333</v>
      </c>
      <c r="C7455" s="1">
        <v>4.0</v>
      </c>
      <c r="D7455" s="1" t="s">
        <v>6</v>
      </c>
      <c r="E7455" s="1"/>
    </row>
    <row r="7456" ht="14.25" customHeight="1">
      <c r="A7456" s="1">
        <v>33.0</v>
      </c>
      <c r="B7456" s="1" t="s">
        <v>3333</v>
      </c>
      <c r="C7456" s="1">
        <v>2.0</v>
      </c>
      <c r="D7456" s="2" t="s">
        <v>3420</v>
      </c>
      <c r="E7456" s="1" t="str">
        <f>IFERROR(__xludf.DUMMYFUNCTION("GOOGLETRANSLATE(D7456,""PT"",""EN"")"),"When I arrived, the bank helped me in many ways, when I went through difficulty, momentary, I imposed me a loan, financing, it is taken all my credits I used, making my life difficult! Today only disappointment!")</f>
        <v>When I arrived, the bank helped me in many ways, when I went through difficulty, momentary, I imposed me a loan, financing, it is taken all my credits I used, making my life difficult! Today only disappointment!</v>
      </c>
    </row>
    <row r="7457" ht="14.25" customHeight="1">
      <c r="A7457" s="1">
        <v>100.0</v>
      </c>
      <c r="B7457" s="1" t="s">
        <v>3333</v>
      </c>
      <c r="C7457" s="1">
        <v>10.0</v>
      </c>
      <c r="D7457" s="2" t="s">
        <v>3421</v>
      </c>
      <c r="E7457" s="1" t="str">
        <f>IFERROR(__xludf.DUMMYFUNCTION("GOOGLETRANSLATE(D7457,""PT"",""EN"")"),"I was always well attended to is all with whom I had contact, they were always very helpful")</f>
        <v>I was always well attended to is all with whom I had contact, they were always very helpful</v>
      </c>
    </row>
    <row r="7458" ht="14.25" customHeight="1">
      <c r="A7458" s="1">
        <v>66.0</v>
      </c>
      <c r="B7458" s="1" t="s">
        <v>3333</v>
      </c>
      <c r="C7458" s="1">
        <v>8.0</v>
      </c>
      <c r="D7458" s="1" t="s">
        <v>6</v>
      </c>
      <c r="E7458" s="1"/>
    </row>
    <row r="7459" ht="14.25" customHeight="1">
      <c r="A7459" s="1">
        <v>33.0</v>
      </c>
      <c r="B7459" s="1" t="s">
        <v>3333</v>
      </c>
      <c r="C7459" s="1">
        <v>2.0</v>
      </c>
      <c r="D7459" s="2" t="s">
        <v>3422</v>
      </c>
      <c r="E7459" s="1" t="str">
        <f>IFERROR(__xludf.DUMMYFUNCTION("GOOGLETRANSLATE(D7459,""PT"",""EN"")"),"It offers nothing to the customer")</f>
        <v>It offers nothing to the customer</v>
      </c>
    </row>
    <row r="7460" ht="14.25" customHeight="1">
      <c r="A7460" s="1">
        <v>100.0</v>
      </c>
      <c r="B7460" s="1" t="s">
        <v>3423</v>
      </c>
      <c r="C7460" s="1">
        <v>10.0</v>
      </c>
      <c r="D7460" s="1" t="s">
        <v>6</v>
      </c>
      <c r="E7460" s="1"/>
    </row>
    <row r="7461" ht="14.25" customHeight="1">
      <c r="A7461" s="1">
        <v>100.0</v>
      </c>
      <c r="B7461" s="1" t="s">
        <v>3423</v>
      </c>
      <c r="C7461" s="1">
        <v>10.0</v>
      </c>
      <c r="D7461" s="1" t="s">
        <v>3424</v>
      </c>
      <c r="E7461" s="1" t="str">
        <f>IFERROR(__xludf.DUMMYFUNCTION("GOOGLETRANSLATE(D7461,""PT"",""EN"")"),"Satisfied in working with Sicoob")</f>
        <v>Satisfied in working with Sicoob</v>
      </c>
    </row>
    <row r="7462" ht="14.25" customHeight="1">
      <c r="A7462" s="1">
        <v>100.0</v>
      </c>
      <c r="B7462" s="1" t="s">
        <v>3423</v>
      </c>
      <c r="C7462" s="1">
        <v>10.0</v>
      </c>
      <c r="D7462" s="1" t="s">
        <v>3425</v>
      </c>
      <c r="E7462" s="1" t="str">
        <f>IFERROR(__xludf.DUMMYFUNCTION("GOOGLETRANSLATE(D7462,""PT"",""EN"")"),"I always go to the agency I am well attended")</f>
        <v>I always go to the agency I am well attended</v>
      </c>
    </row>
    <row r="7463" ht="14.25" customHeight="1">
      <c r="A7463" s="1">
        <v>100.0</v>
      </c>
      <c r="B7463" s="1" t="s">
        <v>3423</v>
      </c>
      <c r="C7463" s="1">
        <v>9.0</v>
      </c>
      <c r="D7463" s="2" t="s">
        <v>3426</v>
      </c>
      <c r="E7463" s="1" t="str">
        <f>IFERROR(__xludf.DUMMYFUNCTION("GOOGLETRANSLATE(D7463,""PT"",""EN"")"),"Great digital bank, great platform. Congratulations to the developers!")</f>
        <v>Great digital bank, great platform. Congratulations to the developers!</v>
      </c>
    </row>
    <row r="7464" ht="14.25" customHeight="1">
      <c r="A7464" s="1">
        <v>66.0</v>
      </c>
      <c r="B7464" s="1" t="s">
        <v>3423</v>
      </c>
      <c r="C7464" s="1">
        <v>7.0</v>
      </c>
      <c r="D7464" s="1" t="s">
        <v>6</v>
      </c>
      <c r="E7464" s="1"/>
    </row>
    <row r="7465" ht="14.25" customHeight="1">
      <c r="A7465" s="1">
        <v>33.0</v>
      </c>
      <c r="B7465" s="1" t="s">
        <v>3423</v>
      </c>
      <c r="C7465" s="1">
        <v>4.0</v>
      </c>
      <c r="D7465" s="1" t="s">
        <v>3427</v>
      </c>
      <c r="E7465" s="1" t="str">
        <f>IFERROR(__xludf.DUMMYFUNCTION("GOOGLETRANSLATE(D7465,""PT"",""EN"")"),"I had some difficulties when I needed the bank, so I canceled")</f>
        <v>I had some difficulties when I needed the bank, so I canceled</v>
      </c>
    </row>
    <row r="7466" ht="14.25" customHeight="1">
      <c r="A7466" s="1">
        <v>100.0</v>
      </c>
      <c r="B7466" s="1" t="s">
        <v>3423</v>
      </c>
      <c r="C7466" s="1">
        <v>10.0</v>
      </c>
      <c r="D7466" s="2" t="s">
        <v>3428</v>
      </c>
      <c r="E7466" s="1" t="str">
        <f>IFERROR(__xludf.DUMMYFUNCTION("GOOGLETRANSLATE(D7466,""PT"",""EN"")"),"Excellence service, has an easy -to -use app")</f>
        <v>Excellence service, has an easy -to -use app</v>
      </c>
    </row>
    <row r="7467" ht="14.25" customHeight="1">
      <c r="A7467" s="1">
        <v>100.0</v>
      </c>
      <c r="B7467" s="1" t="s">
        <v>3423</v>
      </c>
      <c r="C7467" s="1">
        <v>10.0</v>
      </c>
      <c r="D7467" s="2" t="s">
        <v>3429</v>
      </c>
      <c r="E7467" s="1" t="str">
        <f>IFERROR(__xludf.DUMMYFUNCTION("GOOGLETRANSLATE(D7467,""PT"",""EN"")"),"Customer service is little unlocking.")</f>
        <v>Customer service is little unlocking.</v>
      </c>
    </row>
    <row r="7468" ht="14.25" customHeight="1">
      <c r="A7468" s="1">
        <v>33.0</v>
      </c>
      <c r="B7468" s="1" t="s">
        <v>3423</v>
      </c>
      <c r="C7468" s="1">
        <v>2.0</v>
      </c>
      <c r="D7468" s="2" t="s">
        <v>3430</v>
      </c>
      <c r="E7468" s="1" t="str">
        <f>IFERROR(__xludf.DUMMYFUNCTION("GOOGLETRANSLATE(D7468,""PT"",""EN"")"),"All my balance was removed through hacker, it is the bank did not give the slightest importance, gave an evasive response that the responsibility was not yours,")</f>
        <v>All my balance was removed through hacker, it is the bank did not give the slightest importance, gave an evasive response that the responsibility was not yours,</v>
      </c>
    </row>
    <row r="7469" ht="14.25" customHeight="1">
      <c r="A7469" s="1">
        <v>100.0</v>
      </c>
      <c r="B7469" s="1" t="s">
        <v>3423</v>
      </c>
      <c r="C7469" s="1">
        <v>9.0</v>
      </c>
      <c r="D7469" s="1" t="s">
        <v>6</v>
      </c>
      <c r="E7469" s="1"/>
    </row>
    <row r="7470" ht="14.25" customHeight="1">
      <c r="A7470" s="1">
        <v>100.0</v>
      </c>
      <c r="B7470" s="1" t="s">
        <v>3423</v>
      </c>
      <c r="C7470" s="1">
        <v>10.0</v>
      </c>
      <c r="D7470" s="2" t="s">
        <v>3431</v>
      </c>
      <c r="E7470" s="1" t="str">
        <f>IFERROR(__xludf.DUMMYFUNCTION("GOOGLETRANSLATE(D7470,""PT"",""EN"")"),"Excellent bank, great service and fees. Attentive and trained collaborators. Super recommend!")</f>
        <v>Excellent bank, great service and fees. Attentive and trained collaborators. Super recommend!</v>
      </c>
    </row>
    <row r="7471" ht="14.25" customHeight="1">
      <c r="A7471" s="1">
        <v>100.0</v>
      </c>
      <c r="B7471" s="1" t="s">
        <v>3423</v>
      </c>
      <c r="C7471" s="1">
        <v>10.0</v>
      </c>
      <c r="D7471" s="2" t="s">
        <v>3432</v>
      </c>
      <c r="E7471" s="1" t="str">
        <f>IFERROR(__xludf.DUMMYFUNCTION("GOOGLETRANSLATE(D7471,""PT"",""EN"")"),"Always ready to answer ... Apps are also direct and easy ...")</f>
        <v>Always ready to answer ... Apps are also direct and easy ...</v>
      </c>
    </row>
    <row r="7472" ht="14.25" customHeight="1">
      <c r="A7472" s="1">
        <v>100.0</v>
      </c>
      <c r="B7472" s="1" t="s">
        <v>3423</v>
      </c>
      <c r="C7472" s="1">
        <v>9.0</v>
      </c>
      <c r="D7472" s="1" t="s">
        <v>6</v>
      </c>
      <c r="E7472" s="1"/>
    </row>
    <row r="7473" ht="14.25" customHeight="1">
      <c r="A7473" s="1">
        <v>100.0</v>
      </c>
      <c r="B7473" s="1" t="s">
        <v>3423</v>
      </c>
      <c r="C7473" s="1">
        <v>10.0</v>
      </c>
      <c r="D7473" s="1" t="s">
        <v>6</v>
      </c>
      <c r="E7473" s="1"/>
    </row>
    <row r="7474" ht="14.25" customHeight="1">
      <c r="A7474" s="1">
        <v>100.0</v>
      </c>
      <c r="B7474" s="1" t="s">
        <v>3423</v>
      </c>
      <c r="C7474" s="1">
        <v>10.0</v>
      </c>
      <c r="D7474" s="1" t="s">
        <v>1898</v>
      </c>
      <c r="E7474" s="1" t="str">
        <f>IFERROR(__xludf.DUMMYFUNCTION("GOOGLETRANSLATE(D7474,""PT"",""EN"")"),"Sicoob is top")</f>
        <v>Sicoob is top</v>
      </c>
    </row>
    <row r="7475" ht="14.25" customHeight="1">
      <c r="A7475" s="1">
        <v>33.0</v>
      </c>
      <c r="B7475" s="1" t="s">
        <v>3423</v>
      </c>
      <c r="C7475" s="1">
        <v>0.0</v>
      </c>
      <c r="D7475" s="1" t="s">
        <v>6</v>
      </c>
      <c r="E7475" s="1"/>
    </row>
    <row r="7476" ht="14.25" customHeight="1">
      <c r="A7476" s="1">
        <v>100.0</v>
      </c>
      <c r="B7476" s="1" t="s">
        <v>3423</v>
      </c>
      <c r="C7476" s="1">
        <v>10.0</v>
      </c>
      <c r="D7476" s="2" t="s">
        <v>3433</v>
      </c>
      <c r="E7476" s="1" t="str">
        <f>IFERROR(__xludf.DUMMYFUNCTION("GOOGLETRANSLATE(D7476,""PT"",""EN"")"),"Quality, safety, protection efficiency of care, science, technology and modernity.")</f>
        <v>Quality, safety, protection efficiency of care, science, technology and modernity.</v>
      </c>
    </row>
    <row r="7477" ht="14.25" customHeight="1">
      <c r="A7477" s="1">
        <v>100.0</v>
      </c>
      <c r="B7477" s="1" t="s">
        <v>3423</v>
      </c>
      <c r="C7477" s="1">
        <v>10.0</v>
      </c>
      <c r="D7477" s="2" t="s">
        <v>3434</v>
      </c>
      <c r="E7477" s="1" t="str">
        <f>IFERROR(__xludf.DUMMYFUNCTION("GOOGLETRANSLATE(D7477,""PT"",""EN"")"),"Service is practicality")</f>
        <v>Service is practicality</v>
      </c>
    </row>
    <row r="7478" ht="14.25" customHeight="1">
      <c r="A7478" s="1">
        <v>33.0</v>
      </c>
      <c r="B7478" s="1" t="s">
        <v>3423</v>
      </c>
      <c r="C7478" s="1">
        <v>0.0</v>
      </c>
      <c r="D7478" s="2" t="s">
        <v>3435</v>
      </c>
      <c r="E7478" s="1" t="str">
        <f>IFERROR(__xludf.DUMMYFUNCTION("GOOGLETRANSLATE(D7478,""PT"",""EN"")"),"It has no follow -up. It is not supported by the small company. Like any other institution.Ah if you have a good movement there yes you have support line of credit.")</f>
        <v>It has no follow -up. It is not supported by the small company. Like any other institution.Ah if you have a good movement there yes you have support line of credit.</v>
      </c>
    </row>
    <row r="7479" ht="14.25" customHeight="1">
      <c r="A7479" s="1">
        <v>66.0</v>
      </c>
      <c r="B7479" s="1" t="s">
        <v>3423</v>
      </c>
      <c r="C7479" s="1">
        <v>7.0</v>
      </c>
      <c r="D7479" s="1" t="s">
        <v>3436</v>
      </c>
      <c r="E7479" s="1" t="str">
        <f>IFERROR(__xludf.DUMMYFUNCTION("GOOGLETRANSLATE(D7479,""PT"",""EN"")"),"Managers are bad communication. Reveal unpreparedness to captivate the customer")</f>
        <v>Managers are bad communication. Reveal unpreparedness to captivate the customer</v>
      </c>
    </row>
    <row r="7480" ht="14.25" customHeight="1">
      <c r="A7480" s="1">
        <v>100.0</v>
      </c>
      <c r="B7480" s="1" t="s">
        <v>3423</v>
      </c>
      <c r="C7480" s="1">
        <v>10.0</v>
      </c>
      <c r="D7480" s="1" t="s">
        <v>6</v>
      </c>
      <c r="E7480" s="1"/>
    </row>
    <row r="7481" ht="14.25" customHeight="1">
      <c r="A7481" s="1">
        <v>100.0</v>
      </c>
      <c r="B7481" s="1" t="s">
        <v>3423</v>
      </c>
      <c r="C7481" s="1">
        <v>10.0</v>
      </c>
      <c r="D7481" s="1" t="s">
        <v>3437</v>
      </c>
      <c r="E7481" s="1" t="str">
        <f>IFERROR(__xludf.DUMMYFUNCTION("GOOGLETRANSLATE(D7481,""PT"",""EN"")"),"Purpose")</f>
        <v>Purpose</v>
      </c>
    </row>
    <row r="7482" ht="14.25" customHeight="1">
      <c r="A7482" s="1">
        <v>100.0</v>
      </c>
      <c r="B7482" s="1" t="s">
        <v>3423</v>
      </c>
      <c r="C7482" s="1">
        <v>10.0</v>
      </c>
      <c r="D7482" s="1" t="s">
        <v>3438</v>
      </c>
      <c r="E7482" s="1" t="str">
        <f>IFERROR(__xludf.DUMMYFUNCTION("GOOGLETRANSLATE(D7482,""PT"",""EN"")"),"For excellent service")</f>
        <v>For excellent service</v>
      </c>
    </row>
    <row r="7483" ht="14.25" customHeight="1">
      <c r="A7483" s="1">
        <v>100.0</v>
      </c>
      <c r="B7483" s="1" t="s">
        <v>3423</v>
      </c>
      <c r="C7483" s="1">
        <v>10.0</v>
      </c>
      <c r="D7483" s="1" t="s">
        <v>6</v>
      </c>
      <c r="E7483" s="1"/>
    </row>
    <row r="7484" ht="14.25" customHeight="1">
      <c r="A7484" s="1">
        <v>33.0</v>
      </c>
      <c r="B7484" s="1" t="s">
        <v>3423</v>
      </c>
      <c r="C7484" s="1">
        <v>5.0</v>
      </c>
      <c r="D7484" s="1" t="s">
        <v>6</v>
      </c>
      <c r="E7484" s="1"/>
    </row>
    <row r="7485" ht="14.25" customHeight="1">
      <c r="A7485" s="1">
        <v>33.0</v>
      </c>
      <c r="B7485" s="1" t="s">
        <v>3423</v>
      </c>
      <c r="C7485" s="1">
        <v>0.0</v>
      </c>
      <c r="D7485" s="2" t="s">
        <v>3439</v>
      </c>
      <c r="E7485" s="1" t="str">
        <f>IFERROR(__xludf.DUMMYFUNCTION("GOOGLETRANSLATE(D7485,""PT"",""EN"")"),"To date I have not had a return of my request")</f>
        <v>To date I have not had a return of my request</v>
      </c>
    </row>
    <row r="7486" ht="14.25" customHeight="1">
      <c r="A7486" s="1">
        <v>100.0</v>
      </c>
      <c r="B7486" s="1" t="s">
        <v>3423</v>
      </c>
      <c r="C7486" s="1">
        <v>10.0</v>
      </c>
      <c r="D7486" s="1" t="s">
        <v>6</v>
      </c>
      <c r="E7486" s="1"/>
    </row>
    <row r="7487" ht="14.25" customHeight="1">
      <c r="A7487" s="1">
        <v>66.0</v>
      </c>
      <c r="B7487" s="1" t="s">
        <v>3423</v>
      </c>
      <c r="C7487" s="1">
        <v>8.0</v>
      </c>
      <c r="D7487" s="1" t="s">
        <v>6</v>
      </c>
      <c r="E7487" s="1"/>
    </row>
    <row r="7488" ht="14.25" customHeight="1">
      <c r="A7488" s="1">
        <v>66.0</v>
      </c>
      <c r="B7488" s="1" t="s">
        <v>3423</v>
      </c>
      <c r="C7488" s="1">
        <v>7.0</v>
      </c>
      <c r="D7488" s="1" t="s">
        <v>3440</v>
      </c>
      <c r="E7488" s="1" t="str">
        <f>IFERROR(__xludf.DUMMYFUNCTION("GOOGLETRANSLATE(D7488,""PT"",""EN"")"),"High account maintenance rates.")</f>
        <v>High account maintenance rates.</v>
      </c>
    </row>
    <row r="7489" ht="14.25" customHeight="1">
      <c r="A7489" s="1">
        <v>100.0</v>
      </c>
      <c r="B7489" s="1" t="s">
        <v>3423</v>
      </c>
      <c r="C7489" s="1">
        <v>10.0</v>
      </c>
      <c r="D7489" s="1" t="s">
        <v>3441</v>
      </c>
      <c r="E7489" s="1" t="str">
        <f>IFERROR(__xludf.DUMMYFUNCTION("GOOGLETRANSLATE(D7489,""PT"",""EN"")"),"Excellent services provided.")</f>
        <v>Excellent services provided.</v>
      </c>
    </row>
    <row r="7490" ht="14.25" customHeight="1">
      <c r="A7490" s="1">
        <v>100.0</v>
      </c>
      <c r="B7490" s="1" t="s">
        <v>3423</v>
      </c>
      <c r="C7490" s="1">
        <v>10.0</v>
      </c>
      <c r="D7490" s="1" t="s">
        <v>6</v>
      </c>
      <c r="E7490" s="1"/>
    </row>
    <row r="7491" ht="14.25" customHeight="1">
      <c r="A7491" s="1">
        <v>100.0</v>
      </c>
      <c r="B7491" s="1" t="s">
        <v>3423</v>
      </c>
      <c r="C7491" s="1">
        <v>10.0</v>
      </c>
      <c r="D7491" s="1" t="s">
        <v>17</v>
      </c>
      <c r="E7491" s="1" t="str">
        <f>IFERROR(__xludf.DUMMYFUNCTION("GOOGLETRANSLATE(D7491,""PT"",""EN"")"),"Satisfaction")</f>
        <v>Satisfaction</v>
      </c>
    </row>
    <row r="7492" ht="14.25" customHeight="1">
      <c r="A7492" s="1">
        <v>100.0</v>
      </c>
      <c r="B7492" s="1" t="s">
        <v>3423</v>
      </c>
      <c r="C7492" s="1">
        <v>10.0</v>
      </c>
      <c r="D7492" s="1" t="s">
        <v>6</v>
      </c>
      <c r="E7492" s="1"/>
    </row>
    <row r="7493" ht="14.25" customHeight="1">
      <c r="A7493" s="1">
        <v>33.0</v>
      </c>
      <c r="B7493" s="1" t="s">
        <v>3423</v>
      </c>
      <c r="C7493" s="1">
        <v>0.0</v>
      </c>
      <c r="D7493" s="2" t="s">
        <v>3442</v>
      </c>
      <c r="E7493" s="1" t="str">
        <f>IFERROR(__xludf.DUMMYFUNCTION("GOOGLETRANSLATE(D7493,""PT"",""EN"")"),"Sicoob does not free card, no loan, no overdraft is when I deposit money they still stay with him, this bank is not")</f>
        <v>Sicoob does not free card, no loan, no overdraft is when I deposit money they still stay with him, this bank is not</v>
      </c>
    </row>
    <row r="7494" ht="14.25" customHeight="1">
      <c r="A7494" s="1">
        <v>100.0</v>
      </c>
      <c r="B7494" s="1" t="s">
        <v>3423</v>
      </c>
      <c r="C7494" s="1">
        <v>10.0</v>
      </c>
      <c r="D7494" s="1" t="s">
        <v>6</v>
      </c>
      <c r="E7494" s="1"/>
    </row>
    <row r="7495" ht="14.25" customHeight="1">
      <c r="A7495" s="1">
        <v>33.0</v>
      </c>
      <c r="B7495" s="1" t="s">
        <v>3423</v>
      </c>
      <c r="C7495" s="1">
        <v>0.0</v>
      </c>
      <c r="D7495" s="1" t="s">
        <v>3443</v>
      </c>
      <c r="E7495" s="1" t="str">
        <f>IFERROR(__xludf.DUMMYFUNCTION("GOOGLETRANSLATE(D7495,""PT"",""EN"")"),"I was fooled by this bank.")</f>
        <v>I was fooled by this bank.</v>
      </c>
    </row>
    <row r="7496" ht="14.25" customHeight="1">
      <c r="A7496" s="1">
        <v>33.0</v>
      </c>
      <c r="B7496" s="1" t="s">
        <v>3423</v>
      </c>
      <c r="C7496" s="1">
        <v>4.0</v>
      </c>
      <c r="D7496" s="1" t="s">
        <v>6</v>
      </c>
      <c r="E7496" s="1"/>
    </row>
    <row r="7497" ht="14.25" customHeight="1">
      <c r="A7497" s="1">
        <v>100.0</v>
      </c>
      <c r="B7497" s="1" t="s">
        <v>3423</v>
      </c>
      <c r="C7497" s="1">
        <v>9.0</v>
      </c>
      <c r="D7497" s="2" t="s">
        <v>3444</v>
      </c>
      <c r="E7497" s="1" t="str">
        <f>IFERROR(__xludf.DUMMYFUNCTION("GOOGLETRANSLATE(D7497,""PT"",""EN"")"),"9, good service, agility and effectiveness")</f>
        <v>9, good service, agility and effectiveness</v>
      </c>
    </row>
    <row r="7498" ht="14.25" customHeight="1">
      <c r="A7498" s="1">
        <v>100.0</v>
      </c>
      <c r="B7498" s="1" t="s">
        <v>3423</v>
      </c>
      <c r="C7498" s="1">
        <v>10.0</v>
      </c>
      <c r="D7498" s="1" t="s">
        <v>3445</v>
      </c>
      <c r="E7498" s="1" t="str">
        <f>IFERROR(__xludf.DUMMYFUNCTION("GOOGLETRANSLATE(D7498,""PT"",""EN"")"),"Very well attended")</f>
        <v>Very well attended</v>
      </c>
    </row>
    <row r="7499" ht="14.25" customHeight="1">
      <c r="A7499" s="1">
        <v>33.0</v>
      </c>
      <c r="B7499" s="1" t="s">
        <v>3423</v>
      </c>
      <c r="C7499" s="1">
        <v>0.0</v>
      </c>
      <c r="D7499" s="1" t="s">
        <v>6</v>
      </c>
      <c r="E7499" s="1"/>
    </row>
    <row r="7500" ht="14.25" customHeight="1">
      <c r="A7500" s="1">
        <v>33.0</v>
      </c>
      <c r="B7500" s="1" t="s">
        <v>3423</v>
      </c>
      <c r="C7500" s="1">
        <v>2.0</v>
      </c>
      <c r="D7500" s="2" t="s">
        <v>3446</v>
      </c>
      <c r="E7500" s="1" t="str">
        <f>IFERROR(__xludf.DUMMYFUNCTION("GOOGLETRANSLATE(D7500,""PT"",""EN"")"),"Very bad service to release credit card is also the question of credit.")</f>
        <v>Very bad service to release credit card is also the question of credit.</v>
      </c>
    </row>
    <row r="7501" ht="14.25" customHeight="1">
      <c r="A7501" s="1">
        <v>33.0</v>
      </c>
      <c r="B7501" s="1" t="s">
        <v>3423</v>
      </c>
      <c r="C7501" s="1">
        <v>0.0</v>
      </c>
      <c r="D7501" s="1" t="s">
        <v>6</v>
      </c>
      <c r="E7501" s="1"/>
    </row>
    <row r="7502" ht="14.25" customHeight="1">
      <c r="A7502" s="1">
        <v>100.0</v>
      </c>
      <c r="B7502" s="1" t="s">
        <v>3423</v>
      </c>
      <c r="C7502" s="1">
        <v>10.0</v>
      </c>
      <c r="D7502" s="1" t="s">
        <v>3447</v>
      </c>
      <c r="E7502" s="1" t="str">
        <f>IFERROR(__xludf.DUMMYFUNCTION("GOOGLETRANSLATE(D7502,""PT"",""EN"")"),"The company is concerned with the welfare of employees.")</f>
        <v>The company is concerned with the welfare of employees.</v>
      </c>
    </row>
    <row r="7503" ht="14.25" customHeight="1">
      <c r="A7503" s="1">
        <v>66.0</v>
      </c>
      <c r="B7503" s="1" t="s">
        <v>3423</v>
      </c>
      <c r="C7503" s="1">
        <v>8.0</v>
      </c>
      <c r="D7503" s="1" t="s">
        <v>3448</v>
      </c>
      <c r="E7503" s="1" t="str">
        <f>IFERROR(__xludf.DUMMYFUNCTION("GOOGLETRANSLATE(D7503,""PT"",""EN"")"),"Unavailability of ATMs")</f>
        <v>Unavailability of ATMs</v>
      </c>
    </row>
    <row r="7504" ht="14.25" customHeight="1">
      <c r="A7504" s="1">
        <v>100.0</v>
      </c>
      <c r="B7504" s="1" t="s">
        <v>3423</v>
      </c>
      <c r="C7504" s="1">
        <v>10.0</v>
      </c>
      <c r="D7504" s="1" t="s">
        <v>6</v>
      </c>
      <c r="E7504" s="1"/>
    </row>
    <row r="7505" ht="14.25" customHeight="1">
      <c r="A7505" s="1">
        <v>33.0</v>
      </c>
      <c r="B7505" s="1" t="s">
        <v>3423</v>
      </c>
      <c r="C7505" s="1">
        <v>2.0</v>
      </c>
      <c r="D7505" s="2" t="s">
        <v>3449</v>
      </c>
      <c r="E7505" s="1" t="str">
        <f>IFERROR(__xludf.DUMMYFUNCTION("GOOGLETRANSLATE(D7505,""PT"",""EN"")"),"It has the functions that many digital accounts have, but the differential is the credit card.")</f>
        <v>It has the functions that many digital accounts have, but the differential is the credit card.</v>
      </c>
    </row>
    <row r="7506" ht="14.25" customHeight="1">
      <c r="A7506" s="1">
        <v>100.0</v>
      </c>
      <c r="B7506" s="1" t="s">
        <v>3423</v>
      </c>
      <c r="C7506" s="1">
        <v>9.0</v>
      </c>
      <c r="D7506" s="1" t="s">
        <v>3450</v>
      </c>
      <c r="E7506" s="1" t="str">
        <f>IFERROR(__xludf.DUMMYFUNCTION("GOOGLETRANSLATE(D7506,""PT"",""EN"")"),"Good job")</f>
        <v>Good job</v>
      </c>
    </row>
    <row r="7507" ht="14.25" customHeight="1">
      <c r="A7507" s="1">
        <v>100.0</v>
      </c>
      <c r="B7507" s="1" t="s">
        <v>3423</v>
      </c>
      <c r="C7507" s="1">
        <v>10.0</v>
      </c>
      <c r="D7507" s="1" t="s">
        <v>6</v>
      </c>
      <c r="E7507" s="1"/>
    </row>
    <row r="7508" ht="14.25" customHeight="1">
      <c r="A7508" s="1">
        <v>66.0</v>
      </c>
      <c r="B7508" s="1" t="s">
        <v>3423</v>
      </c>
      <c r="C7508" s="1">
        <v>8.0</v>
      </c>
      <c r="D7508" s="1" t="s">
        <v>6</v>
      </c>
      <c r="E7508" s="1"/>
    </row>
    <row r="7509" ht="14.25" customHeight="1">
      <c r="A7509" s="1">
        <v>100.0</v>
      </c>
      <c r="B7509" s="1" t="s">
        <v>3423</v>
      </c>
      <c r="C7509" s="1">
        <v>10.0</v>
      </c>
      <c r="D7509" s="1" t="s">
        <v>6</v>
      </c>
      <c r="E7509" s="1"/>
    </row>
    <row r="7510" ht="14.25" customHeight="1">
      <c r="A7510" s="1">
        <v>100.0</v>
      </c>
      <c r="B7510" s="1" t="s">
        <v>3423</v>
      </c>
      <c r="C7510" s="1">
        <v>9.0</v>
      </c>
      <c r="D7510" s="1" t="s">
        <v>6</v>
      </c>
      <c r="E7510" s="1"/>
    </row>
    <row r="7511" ht="14.25" customHeight="1">
      <c r="A7511" s="1">
        <v>33.0</v>
      </c>
      <c r="B7511" s="1" t="s">
        <v>3423</v>
      </c>
      <c r="C7511" s="1">
        <v>0.0</v>
      </c>
      <c r="D7511" s="1" t="s">
        <v>6</v>
      </c>
      <c r="E7511" s="1"/>
    </row>
    <row r="7512" ht="14.25" customHeight="1">
      <c r="A7512" s="1">
        <v>100.0</v>
      </c>
      <c r="B7512" s="1" t="s">
        <v>3423</v>
      </c>
      <c r="C7512" s="1">
        <v>10.0</v>
      </c>
      <c r="D7512" s="2" t="s">
        <v>3451</v>
      </c>
      <c r="E7512" s="1" t="str">
        <f>IFERROR(__xludf.DUMMYFUNCTION("GOOGLETRANSLATE(D7512,""PT"",""EN"")"),"Credit forecast")</f>
        <v>Credit forecast</v>
      </c>
    </row>
    <row r="7513" ht="14.25" customHeight="1">
      <c r="A7513" s="1">
        <v>66.0</v>
      </c>
      <c r="B7513" s="1" t="s">
        <v>3423</v>
      </c>
      <c r="C7513" s="1">
        <v>8.0</v>
      </c>
      <c r="D7513" s="1" t="s">
        <v>3452</v>
      </c>
      <c r="E7513" s="1" t="str">
        <f>IFERROR(__xludf.DUMMYFUNCTION("GOOGLETRANSLATE(D7513,""PT"",""EN"")"),"Low Card Limit")</f>
        <v>Low Card Limit</v>
      </c>
    </row>
    <row r="7514" ht="14.25" customHeight="1">
      <c r="A7514" s="1">
        <v>33.0</v>
      </c>
      <c r="B7514" s="1" t="s">
        <v>3423</v>
      </c>
      <c r="C7514" s="1">
        <v>2.0</v>
      </c>
      <c r="D7514" s="2" t="s">
        <v>3453</v>
      </c>
      <c r="E7514" s="1" t="str">
        <f>IFERROR(__xludf.DUMMYFUNCTION("GOOGLETRANSLATE(D7514,""PT"",""EN"")"),"Bad service, from the manager with my companies is individual. It's no use calling me, because I will close all my accounts.")</f>
        <v>Bad service, from the manager with my companies is individual. It's no use calling me, because I will close all my accounts.</v>
      </c>
    </row>
    <row r="7515" ht="14.25" customHeight="1">
      <c r="A7515" s="1">
        <v>66.0</v>
      </c>
      <c r="B7515" s="1" t="s">
        <v>3423</v>
      </c>
      <c r="C7515" s="1">
        <v>8.0</v>
      </c>
      <c r="D7515" s="1" t="s">
        <v>6</v>
      </c>
      <c r="E7515" s="1"/>
    </row>
    <row r="7516" ht="14.25" customHeight="1">
      <c r="A7516" s="1">
        <v>100.0</v>
      </c>
      <c r="B7516" s="1" t="s">
        <v>3423</v>
      </c>
      <c r="C7516" s="1">
        <v>10.0</v>
      </c>
      <c r="D7516" s="1" t="s">
        <v>6</v>
      </c>
      <c r="E7516" s="1"/>
    </row>
    <row r="7517" ht="14.25" customHeight="1">
      <c r="A7517" s="1">
        <v>33.0</v>
      </c>
      <c r="B7517" s="1" t="s">
        <v>3423</v>
      </c>
      <c r="C7517" s="1">
        <v>2.0</v>
      </c>
      <c r="D7517" s="1" t="s">
        <v>3454</v>
      </c>
      <c r="E7517" s="1" t="str">
        <f>IFERROR(__xludf.DUMMYFUNCTION("GOOGLETRANSLATE(D7517,""PT"",""EN"")"),"Agency staff error")</f>
        <v>Agency staff error</v>
      </c>
    </row>
    <row r="7518" ht="14.25" customHeight="1">
      <c r="A7518" s="1">
        <v>100.0</v>
      </c>
      <c r="B7518" s="1" t="s">
        <v>3423</v>
      </c>
      <c r="C7518" s="1">
        <v>10.0</v>
      </c>
      <c r="D7518" s="1" t="s">
        <v>3455</v>
      </c>
      <c r="E7518" s="1" t="str">
        <f>IFERROR(__xludf.DUMMYFUNCTION("GOOGLETRANSLATE(D7518,""PT"",""EN"")"),"100% service")</f>
        <v>100% service</v>
      </c>
    </row>
    <row r="7519" ht="14.25" customHeight="1">
      <c r="A7519" s="1">
        <v>100.0</v>
      </c>
      <c r="B7519" s="1" t="s">
        <v>3423</v>
      </c>
      <c r="C7519" s="1">
        <v>9.0</v>
      </c>
      <c r="D7519" s="2" t="s">
        <v>3456</v>
      </c>
      <c r="E7519" s="1" t="str">
        <f>IFERROR(__xludf.DUMMYFUNCTION("GOOGLETRANSLATE(D7519,""PT"",""EN"")"),"I really like the cost benefit of Sicoob, but I think it needs to have more loot access, is still very limited.")</f>
        <v>I really like the cost benefit of Sicoob, but I think it needs to have more loot access, is still very limited.</v>
      </c>
    </row>
    <row r="7520" ht="14.25" customHeight="1">
      <c r="A7520" s="1">
        <v>33.0</v>
      </c>
      <c r="B7520" s="1" t="s">
        <v>3423</v>
      </c>
      <c r="C7520" s="1">
        <v>1.0</v>
      </c>
      <c r="D7520" s="1" t="s">
        <v>6</v>
      </c>
      <c r="E7520" s="1"/>
    </row>
    <row r="7521" ht="14.25" customHeight="1">
      <c r="A7521" s="1">
        <v>100.0</v>
      </c>
      <c r="B7521" s="1" t="s">
        <v>3423</v>
      </c>
      <c r="C7521" s="1">
        <v>10.0</v>
      </c>
      <c r="D7521" s="2" t="s">
        <v>3457</v>
      </c>
      <c r="E7521" s="1" t="str">
        <f>IFERROR(__xludf.DUMMYFUNCTION("GOOGLETRANSLATE(D7521,""PT"",""EN"")"),"Rate costs do not exist")</f>
        <v>Rate costs do not exist</v>
      </c>
    </row>
    <row r="7522" ht="14.25" customHeight="1">
      <c r="A7522" s="1">
        <v>66.0</v>
      </c>
      <c r="B7522" s="1" t="s">
        <v>3423</v>
      </c>
      <c r="C7522" s="1">
        <v>8.0</v>
      </c>
      <c r="D7522" s="1" t="s">
        <v>6</v>
      </c>
      <c r="E7522" s="1"/>
    </row>
    <row r="7523" ht="14.25" customHeight="1">
      <c r="A7523" s="1">
        <v>33.0</v>
      </c>
      <c r="B7523" s="1" t="s">
        <v>3423</v>
      </c>
      <c r="C7523" s="1">
        <v>4.0</v>
      </c>
      <c r="D7523" s="1" t="s">
        <v>6</v>
      </c>
      <c r="E7523" s="1"/>
    </row>
    <row r="7524" ht="14.25" customHeight="1">
      <c r="A7524" s="1">
        <v>100.0</v>
      </c>
      <c r="B7524" s="1" t="s">
        <v>3423</v>
      </c>
      <c r="C7524" s="1">
        <v>10.0</v>
      </c>
      <c r="D7524" s="1" t="s">
        <v>3458</v>
      </c>
      <c r="E7524" s="1" t="str">
        <f>IFERROR(__xludf.DUMMYFUNCTION("GOOGLETRANSLATE(D7524,""PT"",""EN"")"),"Always the best for companies")</f>
        <v>Always the best for companies</v>
      </c>
    </row>
    <row r="7525" ht="14.25" customHeight="1">
      <c r="A7525" s="1">
        <v>100.0</v>
      </c>
      <c r="B7525" s="1" t="s">
        <v>3423</v>
      </c>
      <c r="C7525" s="1">
        <v>9.0</v>
      </c>
      <c r="D7525" s="1" t="s">
        <v>6</v>
      </c>
      <c r="E7525" s="1"/>
    </row>
    <row r="7526" ht="14.25" customHeight="1">
      <c r="A7526" s="1">
        <v>33.0</v>
      </c>
      <c r="B7526" s="1" t="s">
        <v>3423</v>
      </c>
      <c r="C7526" s="1">
        <v>5.0</v>
      </c>
      <c r="D7526" s="1" t="s">
        <v>6</v>
      </c>
      <c r="E7526" s="1"/>
    </row>
    <row r="7527" ht="14.25" customHeight="1">
      <c r="A7527" s="1">
        <v>100.0</v>
      </c>
      <c r="B7527" s="1" t="s">
        <v>3423</v>
      </c>
      <c r="C7527" s="1">
        <v>9.0</v>
      </c>
      <c r="D7527" s="1" t="s">
        <v>346</v>
      </c>
      <c r="E7527" s="1" t="str">
        <f>IFERROR(__xludf.DUMMYFUNCTION("GOOGLETRANSLATE(D7527,""PT"",""EN"")"),"A GREAT BANK")</f>
        <v>A GREAT BANK</v>
      </c>
    </row>
    <row r="7528" ht="14.25" customHeight="1">
      <c r="A7528" s="1">
        <v>100.0</v>
      </c>
      <c r="B7528" s="1" t="s">
        <v>3423</v>
      </c>
      <c r="C7528" s="1">
        <v>10.0</v>
      </c>
      <c r="D7528" s="1" t="s">
        <v>6</v>
      </c>
      <c r="E7528" s="1"/>
    </row>
    <row r="7529" ht="14.25" customHeight="1">
      <c r="A7529" s="1">
        <v>33.0</v>
      </c>
      <c r="B7529" s="1" t="s">
        <v>3423</v>
      </c>
      <c r="C7529" s="1">
        <v>0.0</v>
      </c>
      <c r="D7529" s="1" t="s">
        <v>657</v>
      </c>
      <c r="E7529" s="1" t="str">
        <f>IFERROR(__xludf.DUMMYFUNCTION("GOOGLETRANSLATE(D7529,""PT"",""EN"")"),"Poor service")</f>
        <v>Poor service</v>
      </c>
    </row>
    <row r="7530" ht="14.25" customHeight="1">
      <c r="A7530" s="1">
        <v>100.0</v>
      </c>
      <c r="B7530" s="1" t="s">
        <v>3423</v>
      </c>
      <c r="C7530" s="1">
        <v>9.0</v>
      </c>
      <c r="D7530" s="1" t="s">
        <v>6</v>
      </c>
      <c r="E7530" s="1"/>
    </row>
    <row r="7531" ht="14.25" customHeight="1">
      <c r="A7531" s="1">
        <v>100.0</v>
      </c>
      <c r="B7531" s="1" t="s">
        <v>3423</v>
      </c>
      <c r="C7531" s="1">
        <v>10.0</v>
      </c>
      <c r="D7531" s="1" t="s">
        <v>6</v>
      </c>
      <c r="E7531" s="1"/>
    </row>
    <row r="7532" ht="14.25" customHeight="1">
      <c r="A7532" s="1">
        <v>66.0</v>
      </c>
      <c r="B7532" s="1" t="s">
        <v>3423</v>
      </c>
      <c r="C7532" s="1">
        <v>8.0</v>
      </c>
      <c r="D7532" s="1" t="s">
        <v>62</v>
      </c>
      <c r="E7532" s="1" t="str">
        <f>IFERROR(__xludf.DUMMYFUNCTION("GOOGLETRANSLATE(D7532,""PT"",""EN"")"),"Good service")</f>
        <v>Good service</v>
      </c>
    </row>
    <row r="7533" ht="14.25" customHeight="1">
      <c r="A7533" s="1">
        <v>33.0</v>
      </c>
      <c r="B7533" s="1" t="s">
        <v>3423</v>
      </c>
      <c r="C7533" s="1">
        <v>0.0</v>
      </c>
      <c r="D7533" s="1" t="s">
        <v>6</v>
      </c>
      <c r="E7533" s="1"/>
    </row>
    <row r="7534" ht="14.25" customHeight="1">
      <c r="A7534" s="1">
        <v>33.0</v>
      </c>
      <c r="B7534" s="1" t="s">
        <v>3423</v>
      </c>
      <c r="C7534" s="1">
        <v>5.0</v>
      </c>
      <c r="D7534" s="1" t="s">
        <v>6</v>
      </c>
      <c r="E7534" s="1"/>
    </row>
    <row r="7535" ht="14.25" customHeight="1">
      <c r="A7535" s="1">
        <v>100.0</v>
      </c>
      <c r="B7535" s="1" t="s">
        <v>3423</v>
      </c>
      <c r="C7535" s="1">
        <v>10.0</v>
      </c>
      <c r="D7535" s="1" t="s">
        <v>6</v>
      </c>
      <c r="E7535" s="1"/>
    </row>
    <row r="7536" ht="14.25" customHeight="1">
      <c r="A7536" s="1">
        <v>33.0</v>
      </c>
      <c r="B7536" s="1" t="s">
        <v>3423</v>
      </c>
      <c r="C7536" s="1">
        <v>2.0</v>
      </c>
      <c r="D7536" s="1" t="s">
        <v>6</v>
      </c>
      <c r="E7536" s="1"/>
    </row>
    <row r="7537" ht="14.25" customHeight="1">
      <c r="A7537" s="1">
        <v>33.0</v>
      </c>
      <c r="B7537" s="1" t="s">
        <v>3423</v>
      </c>
      <c r="C7537" s="1">
        <v>0.0</v>
      </c>
      <c r="D7537" s="2" t="s">
        <v>3459</v>
      </c>
      <c r="E7537" s="1" t="str">
        <f>IFERROR(__xludf.DUMMYFUNCTION("GOOGLETRANSLATE(D7537,""PT"",""EN"")"),"terrible attendance")</f>
        <v>terrible attendance</v>
      </c>
    </row>
    <row r="7538" ht="14.25" customHeight="1">
      <c r="A7538" s="1">
        <v>33.0</v>
      </c>
      <c r="B7538" s="1" t="s">
        <v>3423</v>
      </c>
      <c r="C7538" s="1">
        <v>0.0</v>
      </c>
      <c r="D7538" s="1" t="s">
        <v>6</v>
      </c>
      <c r="E7538" s="1"/>
    </row>
    <row r="7539" ht="14.25" customHeight="1">
      <c r="A7539" s="1">
        <v>100.0</v>
      </c>
      <c r="B7539" s="1" t="s">
        <v>3423</v>
      </c>
      <c r="C7539" s="1">
        <v>10.0</v>
      </c>
      <c r="D7539" s="1" t="s">
        <v>3460</v>
      </c>
      <c r="E7539" s="1" t="str">
        <f>IFERROR(__xludf.DUMMYFUNCTION("GOOGLETRANSLATE(D7539,""PT"",""EN"")"),"Because whenever I need some financial support I am answered.")</f>
        <v>Because whenever I need some financial support I am answered.</v>
      </c>
    </row>
    <row r="7540" ht="14.25" customHeight="1">
      <c r="A7540" s="1">
        <v>100.0</v>
      </c>
      <c r="B7540" s="1" t="s">
        <v>3423</v>
      </c>
      <c r="C7540" s="1">
        <v>10.0</v>
      </c>
      <c r="D7540" s="1" t="s">
        <v>3461</v>
      </c>
      <c r="E7540" s="1" t="str">
        <f>IFERROR(__xludf.DUMMYFUNCTION("GOOGLETRANSLATE(D7540,""PT"",""EN"")"),"I'm enjoying Sicoob's work.")</f>
        <v>I'm enjoying Sicoob's work.</v>
      </c>
    </row>
    <row r="7541" ht="14.25" customHeight="1">
      <c r="A7541" s="1">
        <v>100.0</v>
      </c>
      <c r="B7541" s="1" t="s">
        <v>3423</v>
      </c>
      <c r="C7541" s="1">
        <v>10.0</v>
      </c>
      <c r="D7541" s="1" t="s">
        <v>6</v>
      </c>
      <c r="E7541" s="1"/>
    </row>
    <row r="7542" ht="14.25" customHeight="1">
      <c r="A7542" s="1">
        <v>100.0</v>
      </c>
      <c r="B7542" s="1" t="s">
        <v>3423</v>
      </c>
      <c r="C7542" s="1">
        <v>9.0</v>
      </c>
      <c r="D7542" s="1" t="s">
        <v>6</v>
      </c>
      <c r="E7542" s="1"/>
    </row>
    <row r="7543" ht="14.25" customHeight="1">
      <c r="A7543" s="1">
        <v>33.0</v>
      </c>
      <c r="B7543" s="1" t="s">
        <v>3423</v>
      </c>
      <c r="C7543" s="1">
        <v>4.0</v>
      </c>
      <c r="D7543" s="2" t="s">
        <v>3462</v>
      </c>
      <c r="E7543" s="1" t="str">
        <f>IFERROR(__xludf.DUMMYFUNCTION("GOOGLETRANSLATE(D7543,""PT"",""EN"")"),"It has not been related to the members as established in the cooperative rules, leaving it to be desired in many of its principles as a cooperative system.")</f>
        <v>It has not been related to the members as established in the cooperative rules, leaving it to be desired in many of its principles as a cooperative system.</v>
      </c>
    </row>
    <row r="7544" ht="14.25" customHeight="1">
      <c r="A7544" s="1">
        <v>100.0</v>
      </c>
      <c r="B7544" s="1" t="s">
        <v>3423</v>
      </c>
      <c r="C7544" s="1">
        <v>9.0</v>
      </c>
      <c r="D7544" s="2" t="s">
        <v>3463</v>
      </c>
      <c r="E7544" s="1" t="str">
        <f>IFERROR(__xludf.DUMMYFUNCTION("GOOGLETRANSLATE(D7544,""PT"",""EN"")"),"Flexibility and Agility")</f>
        <v>Flexibility and Agility</v>
      </c>
    </row>
    <row r="7545" ht="14.25" customHeight="1">
      <c r="A7545" s="1">
        <v>33.0</v>
      </c>
      <c r="B7545" s="1" t="s">
        <v>3423</v>
      </c>
      <c r="C7545" s="1">
        <v>1.0</v>
      </c>
      <c r="D7545" s="1" t="s">
        <v>6</v>
      </c>
      <c r="E7545" s="1"/>
    </row>
    <row r="7546" ht="14.25" customHeight="1">
      <c r="A7546" s="1">
        <v>33.0</v>
      </c>
      <c r="B7546" s="1" t="s">
        <v>3423</v>
      </c>
      <c r="C7546" s="1">
        <v>3.0</v>
      </c>
      <c r="D7546" s="1" t="s">
        <v>6</v>
      </c>
      <c r="E7546" s="1"/>
    </row>
    <row r="7547" ht="14.25" customHeight="1">
      <c r="A7547" s="1">
        <v>33.0</v>
      </c>
      <c r="B7547" s="1" t="s">
        <v>3423</v>
      </c>
      <c r="C7547" s="1">
        <v>0.0</v>
      </c>
      <c r="D7547" s="1" t="s">
        <v>901</v>
      </c>
      <c r="E7547" s="1"/>
    </row>
    <row r="7548" ht="14.25" customHeight="1">
      <c r="A7548" s="1">
        <v>100.0</v>
      </c>
      <c r="B7548" s="1" t="s">
        <v>3423</v>
      </c>
      <c r="C7548" s="1">
        <v>10.0</v>
      </c>
      <c r="D7548" s="1" t="s">
        <v>1010</v>
      </c>
      <c r="E7548" s="1" t="str">
        <f>IFERROR(__xludf.DUMMYFUNCTION("GOOGLETRANSLATE(D7548,""PT"",""EN"")"),"Excellent bank")</f>
        <v>Excellent bank</v>
      </c>
    </row>
    <row r="7549" ht="14.25" customHeight="1">
      <c r="A7549" s="1">
        <v>100.0</v>
      </c>
      <c r="B7549" s="1" t="s">
        <v>3423</v>
      </c>
      <c r="C7549" s="1">
        <v>10.0</v>
      </c>
      <c r="D7549" s="1" t="s">
        <v>408</v>
      </c>
      <c r="E7549" s="1" t="str">
        <f>IFERROR(__xludf.DUMMYFUNCTION("GOOGLETRANSLATE(D7549,""PT"",""EN"")"),"No comments")</f>
        <v>No comments</v>
      </c>
    </row>
    <row r="7550" ht="14.25" customHeight="1">
      <c r="A7550" s="1">
        <v>33.0</v>
      </c>
      <c r="B7550" s="1" t="s">
        <v>3423</v>
      </c>
      <c r="C7550" s="1">
        <v>2.0</v>
      </c>
      <c r="D7550" s="1" t="s">
        <v>6</v>
      </c>
      <c r="E7550" s="1"/>
    </row>
    <row r="7551" ht="14.25" customHeight="1">
      <c r="A7551" s="1">
        <v>33.0</v>
      </c>
      <c r="B7551" s="1" t="s">
        <v>3423</v>
      </c>
      <c r="C7551" s="1">
        <v>0.0</v>
      </c>
      <c r="D7551" s="2" t="s">
        <v>3464</v>
      </c>
      <c r="E7551" s="1" t="str">
        <f>IFERROR(__xludf.DUMMYFUNCTION("GOOGLETRANSLATE(D7551,""PT"",""EN"")"),"Poorly prepared employees is a manager who doesn't solve anything")</f>
        <v>Poorly prepared employees is a manager who doesn't solve anything</v>
      </c>
    </row>
    <row r="7552" ht="14.25" customHeight="1">
      <c r="A7552" s="1">
        <v>100.0</v>
      </c>
      <c r="B7552" s="1" t="s">
        <v>3423</v>
      </c>
      <c r="C7552" s="1">
        <v>9.0</v>
      </c>
      <c r="D7552" s="2" t="s">
        <v>3465</v>
      </c>
      <c r="E7552" s="1" t="str">
        <f>IFERROR(__xludf.DUMMYFUNCTION("GOOGLETRANSLATE(D7552,""PT"",""EN"")"),"The cooperative system is a good credit solution, fair is safe.")</f>
        <v>The cooperative system is a good credit solution, fair is safe.</v>
      </c>
    </row>
    <row r="7553" ht="14.25" customHeight="1">
      <c r="A7553" s="1">
        <v>100.0</v>
      </c>
      <c r="B7553" s="1" t="s">
        <v>3423</v>
      </c>
      <c r="C7553" s="1">
        <v>9.0</v>
      </c>
      <c r="D7553" s="1" t="s">
        <v>6</v>
      </c>
      <c r="E7553" s="1"/>
    </row>
    <row r="7554" ht="14.25" customHeight="1">
      <c r="A7554" s="1">
        <v>33.0</v>
      </c>
      <c r="B7554" s="1" t="s">
        <v>3423</v>
      </c>
      <c r="C7554" s="1">
        <v>0.0</v>
      </c>
      <c r="D7554" s="2" t="s">
        <v>3466</v>
      </c>
      <c r="E7554" s="1" t="str">
        <f>IFERROR(__xludf.DUMMYFUNCTION("GOOGLETRANSLATE(D7554,""PT"",""EN"")"),"An institution that receives all earnings from your company is that to release a loan of 15 thousand reais needs tax return. Once your company has had problems with digital certificate, which made it impossible to declare it. It is not even a special chec"&amp;"k limit releases you. In my view it cannot be indicated to anyone. The small trade deserves the same treatment as the big ones. This weakens confidence in the institution.")</f>
        <v>An institution that receives all earnings from your company is that to release a loan of 15 thousand reais needs tax return. Once your company has had problems with digital certificate, which made it impossible to declare it. It is not even a special check limit releases you. In my view it cannot be indicated to anyone. The small trade deserves the same treatment as the big ones. This weakens confidence in the institution.</v>
      </c>
    </row>
    <row r="7555" ht="14.25" customHeight="1">
      <c r="A7555" s="1">
        <v>100.0</v>
      </c>
      <c r="B7555" s="1" t="s">
        <v>3423</v>
      </c>
      <c r="C7555" s="1">
        <v>9.0</v>
      </c>
      <c r="D7555" s="1" t="s">
        <v>6</v>
      </c>
      <c r="E7555" s="1"/>
    </row>
    <row r="7556" ht="14.25" customHeight="1">
      <c r="A7556" s="1">
        <v>100.0</v>
      </c>
      <c r="B7556" s="1" t="s">
        <v>3423</v>
      </c>
      <c r="C7556" s="1">
        <v>10.0</v>
      </c>
      <c r="D7556" s="1" t="s">
        <v>6</v>
      </c>
      <c r="E7556" s="1"/>
    </row>
    <row r="7557" ht="14.25" customHeight="1">
      <c r="A7557" s="1">
        <v>100.0</v>
      </c>
      <c r="B7557" s="1" t="s">
        <v>3423</v>
      </c>
      <c r="C7557" s="1">
        <v>10.0</v>
      </c>
      <c r="D7557" s="1" t="s">
        <v>6</v>
      </c>
      <c r="E7557" s="1"/>
    </row>
    <row r="7558" ht="14.25" customHeight="1">
      <c r="A7558" s="1">
        <v>100.0</v>
      </c>
      <c r="B7558" s="1" t="s">
        <v>3423</v>
      </c>
      <c r="C7558" s="1">
        <v>10.0</v>
      </c>
      <c r="D7558" s="1" t="s">
        <v>6</v>
      </c>
      <c r="E7558" s="1"/>
    </row>
    <row r="7559" ht="14.25" customHeight="1">
      <c r="A7559" s="1">
        <v>100.0</v>
      </c>
      <c r="B7559" s="1" t="s">
        <v>3423</v>
      </c>
      <c r="C7559" s="1">
        <v>9.0</v>
      </c>
      <c r="D7559" s="1" t="s">
        <v>6</v>
      </c>
      <c r="E7559" s="1"/>
    </row>
    <row r="7560" ht="14.25" customHeight="1">
      <c r="A7560" s="1">
        <v>66.0</v>
      </c>
      <c r="B7560" s="1" t="s">
        <v>3423</v>
      </c>
      <c r="C7560" s="1">
        <v>8.0</v>
      </c>
      <c r="D7560" s="1" t="s">
        <v>3467</v>
      </c>
      <c r="E7560" s="1" t="str">
        <f>IFERROR(__xludf.DUMMYFUNCTION("GOOGLETRANSLATE(D7560,""PT"",""EN"")"),"det")</f>
        <v>det</v>
      </c>
    </row>
    <row r="7561" ht="14.25" customHeight="1">
      <c r="A7561" s="1">
        <v>100.0</v>
      </c>
      <c r="B7561" s="1" t="s">
        <v>3423</v>
      </c>
      <c r="C7561" s="1">
        <v>10.0</v>
      </c>
      <c r="D7561" s="2" t="s">
        <v>3468</v>
      </c>
      <c r="E7561" s="1" t="str">
        <f>IFERROR(__xludf.DUMMYFUNCTION("GOOGLETRANSLATE(D7561,""PT"",""EN"")"),"Ease of operating, low operating costs is to be cooperated")</f>
        <v>Ease of operating, low operating costs is to be cooperated</v>
      </c>
    </row>
    <row r="7562" ht="14.25" customHeight="1">
      <c r="A7562" s="1">
        <v>66.0</v>
      </c>
      <c r="B7562" s="1" t="s">
        <v>3423</v>
      </c>
      <c r="C7562" s="1">
        <v>8.0</v>
      </c>
      <c r="D7562" s="1" t="s">
        <v>3469</v>
      </c>
      <c r="E7562" s="1" t="str">
        <f>IFERROR(__xludf.DUMMYFUNCTION("GOOGLETRANSLATE(D7562,""PT"",""EN"")"),"Little availability of boxes to make withdrawals.")</f>
        <v>Little availability of boxes to make withdrawals.</v>
      </c>
    </row>
    <row r="7563" ht="14.25" customHeight="1">
      <c r="A7563" s="1">
        <v>100.0</v>
      </c>
      <c r="B7563" s="1" t="s">
        <v>3423</v>
      </c>
      <c r="C7563" s="1">
        <v>10.0</v>
      </c>
      <c r="D7563" s="1" t="s">
        <v>6</v>
      </c>
      <c r="E7563" s="1"/>
    </row>
    <row r="7564" ht="14.25" customHeight="1">
      <c r="A7564" s="1">
        <v>100.0</v>
      </c>
      <c r="B7564" s="1" t="s">
        <v>3423</v>
      </c>
      <c r="C7564" s="1">
        <v>10.0</v>
      </c>
      <c r="D7564" s="1" t="s">
        <v>166</v>
      </c>
      <c r="E7564" s="1" t="str">
        <f>IFERROR(__xludf.DUMMYFUNCTION("GOOGLETRANSLATE(D7564,""PT"",""EN"")"),"Excellent service.")</f>
        <v>Excellent service.</v>
      </c>
    </row>
    <row r="7565" ht="14.25" customHeight="1">
      <c r="A7565" s="1">
        <v>33.0</v>
      </c>
      <c r="B7565" s="1" t="s">
        <v>3423</v>
      </c>
      <c r="C7565" s="1">
        <v>0.0</v>
      </c>
      <c r="D7565" s="1" t="s">
        <v>3470</v>
      </c>
      <c r="E7565" s="1" t="str">
        <f>IFERROR(__xludf.DUMMYFUNCTION("GOOGLETRANSLATE(D7565,""PT"",""EN"")"),"Missing communication with the customer")</f>
        <v>Missing communication with the customer</v>
      </c>
    </row>
    <row r="7566" ht="14.25" customHeight="1">
      <c r="A7566" s="1">
        <v>100.0</v>
      </c>
      <c r="B7566" s="1" t="s">
        <v>3423</v>
      </c>
      <c r="C7566" s="1">
        <v>10.0</v>
      </c>
      <c r="D7566" s="1" t="s">
        <v>62</v>
      </c>
      <c r="E7566" s="1" t="str">
        <f>IFERROR(__xludf.DUMMYFUNCTION("GOOGLETRANSLATE(D7566,""PT"",""EN"")"),"Good service")</f>
        <v>Good service</v>
      </c>
    </row>
    <row r="7567" ht="14.25" customHeight="1">
      <c r="A7567" s="1">
        <v>66.0</v>
      </c>
      <c r="B7567" s="1" t="s">
        <v>3423</v>
      </c>
      <c r="C7567" s="1">
        <v>7.0</v>
      </c>
      <c r="D7567" s="1" t="s">
        <v>3471</v>
      </c>
      <c r="E7567" s="1" t="str">
        <f>IFERROR(__xludf.DUMMYFUNCTION("GOOGLETRANSLATE(D7567,""PT"",""EN"")"),"Simplicity")</f>
        <v>Simplicity</v>
      </c>
    </row>
    <row r="7568" ht="14.25" customHeight="1">
      <c r="A7568" s="1">
        <v>66.0</v>
      </c>
      <c r="B7568" s="1" t="s">
        <v>3423</v>
      </c>
      <c r="C7568" s="1">
        <v>7.0</v>
      </c>
      <c r="D7568" s="1" t="s">
        <v>6</v>
      </c>
      <c r="E7568" s="1"/>
    </row>
    <row r="7569" ht="14.25" customHeight="1">
      <c r="A7569" s="1">
        <v>66.0</v>
      </c>
      <c r="B7569" s="1" t="s">
        <v>3423</v>
      </c>
      <c r="C7569" s="1">
        <v>8.0</v>
      </c>
      <c r="D7569" s="1" t="s">
        <v>3472</v>
      </c>
      <c r="E7569" s="1" t="str">
        <f>IFERROR(__xludf.DUMMYFUNCTION("GOOGLETRANSLATE(D7569,""PT"",""EN"")"),"Good features")</f>
        <v>Good features</v>
      </c>
    </row>
    <row r="7570" ht="14.25" customHeight="1">
      <c r="A7570" s="1">
        <v>100.0</v>
      </c>
      <c r="B7570" s="1" t="s">
        <v>3423</v>
      </c>
      <c r="C7570" s="1">
        <v>10.0</v>
      </c>
      <c r="D7570" s="2" t="s">
        <v>3473</v>
      </c>
      <c r="E7570" s="1" t="str">
        <f>IFERROR(__xludf.DUMMYFUNCTION("GOOGLETRANSLATE(D7570,""PT"",""EN"")"),"I'm cooperative is wanting the model to improve is multiply")</f>
        <v>I'm cooperative is wanting the model to improve is multiply</v>
      </c>
    </row>
    <row r="7571" ht="14.25" customHeight="1">
      <c r="A7571" s="1">
        <v>66.0</v>
      </c>
      <c r="B7571" s="1" t="s">
        <v>3423</v>
      </c>
      <c r="C7571" s="1">
        <v>8.0</v>
      </c>
      <c r="D7571" s="1" t="s">
        <v>6</v>
      </c>
      <c r="E7571" s="1"/>
    </row>
    <row r="7572" ht="14.25" customHeight="1">
      <c r="A7572" s="1">
        <v>100.0</v>
      </c>
      <c r="B7572" s="1" t="s">
        <v>3423</v>
      </c>
      <c r="C7572" s="1">
        <v>10.0</v>
      </c>
      <c r="D7572" s="2" t="s">
        <v>3474</v>
      </c>
      <c r="E7572" s="1" t="str">
        <f>IFERROR(__xludf.DUMMYFUNCTION("GOOGLETRANSLATE(D7572,""PT"",""EN"")"),"Quality is competence.")</f>
        <v>Quality is competence.</v>
      </c>
    </row>
    <row r="7573" ht="14.25" customHeight="1">
      <c r="A7573" s="1">
        <v>33.0</v>
      </c>
      <c r="B7573" s="1" t="s">
        <v>3423</v>
      </c>
      <c r="C7573" s="1">
        <v>0.0</v>
      </c>
      <c r="D7573" s="2" t="s">
        <v>3475</v>
      </c>
      <c r="E7573" s="1" t="str">
        <f>IFERROR(__xludf.DUMMYFUNCTION("GOOGLETRANSLATE(D7573,""PT"",""EN"")"),"I paid an invoice is still made a protest, I will sue you")</f>
        <v>I paid an invoice is still made a protest, I will sue you</v>
      </c>
    </row>
    <row r="7574" ht="14.25" customHeight="1">
      <c r="A7574" s="1">
        <v>100.0</v>
      </c>
      <c r="B7574" s="1" t="s">
        <v>3423</v>
      </c>
      <c r="C7574" s="1">
        <v>10.0</v>
      </c>
      <c r="D7574" s="2" t="s">
        <v>3476</v>
      </c>
      <c r="E7574" s="1" t="str">
        <f>IFERROR(__xludf.DUMMYFUNCTION("GOOGLETRANSLATE(D7574,""PT"",""EN"")"),"Fast and direct service.")</f>
        <v>Fast and direct service.</v>
      </c>
    </row>
    <row r="7575" ht="14.25" customHeight="1">
      <c r="A7575" s="1">
        <v>100.0</v>
      </c>
      <c r="B7575" s="1" t="s">
        <v>3423</v>
      </c>
      <c r="C7575" s="1">
        <v>10.0</v>
      </c>
      <c r="D7575" s="2" t="s">
        <v>3477</v>
      </c>
      <c r="E7575" s="1" t="str">
        <f>IFERROR(__xludf.DUMMYFUNCTION("GOOGLETRANSLATE(D7575,""PT"",""EN"")"),"I am very well attended by Sicoob. Excellent employees is well prepared. I have a wonderful manager Maysa Pontes.")</f>
        <v>I am very well attended by Sicoob. Excellent employees is well prepared. I have a wonderful manager Maysa Pontes.</v>
      </c>
    </row>
    <row r="7576" ht="14.25" customHeight="1">
      <c r="A7576" s="1">
        <v>100.0</v>
      </c>
      <c r="B7576" s="1" t="s">
        <v>3423</v>
      </c>
      <c r="C7576" s="1">
        <v>10.0</v>
      </c>
      <c r="D7576" s="1" t="s">
        <v>6</v>
      </c>
      <c r="E7576" s="1"/>
    </row>
    <row r="7577" ht="14.25" customHeight="1">
      <c r="A7577" s="1">
        <v>33.0</v>
      </c>
      <c r="B7577" s="1" t="s">
        <v>3423</v>
      </c>
      <c r="C7577" s="1">
        <v>1.0</v>
      </c>
      <c r="D7577" s="1" t="s">
        <v>6</v>
      </c>
      <c r="E7577" s="1"/>
    </row>
    <row r="7578" ht="14.25" customHeight="1">
      <c r="A7578" s="1">
        <v>100.0</v>
      </c>
      <c r="B7578" s="1" t="s">
        <v>3423</v>
      </c>
      <c r="C7578" s="1">
        <v>10.0</v>
      </c>
      <c r="D7578" s="1" t="s">
        <v>6</v>
      </c>
      <c r="E7578" s="1"/>
    </row>
    <row r="7579" ht="14.25" customHeight="1">
      <c r="A7579" s="1">
        <v>100.0</v>
      </c>
      <c r="B7579" s="1" t="s">
        <v>3423</v>
      </c>
      <c r="C7579" s="1">
        <v>10.0</v>
      </c>
      <c r="D7579" s="1" t="s">
        <v>6</v>
      </c>
      <c r="E7579" s="1"/>
    </row>
    <row r="7580" ht="14.25" customHeight="1">
      <c r="A7580" s="1">
        <v>100.0</v>
      </c>
      <c r="B7580" s="1" t="s">
        <v>3423</v>
      </c>
      <c r="C7580" s="1">
        <v>10.0</v>
      </c>
      <c r="D7580" s="1" t="s">
        <v>3478</v>
      </c>
      <c r="E7580" s="1" t="str">
        <f>IFERROR(__xludf.DUMMYFUNCTION("GOOGLETRANSLATE(D7580,""PT"",""EN"")"),"Wonderful cooperative")</f>
        <v>Wonderful cooperative</v>
      </c>
    </row>
    <row r="7581" ht="14.25" customHeight="1">
      <c r="A7581" s="1">
        <v>33.0</v>
      </c>
      <c r="B7581" s="1" t="s">
        <v>3423</v>
      </c>
      <c r="C7581" s="1">
        <v>2.0</v>
      </c>
      <c r="D7581" s="1" t="s">
        <v>3479</v>
      </c>
      <c r="E7581" s="1" t="str">
        <f>IFERROR(__xludf.DUMMYFUNCTION("GOOGLETRANSLATE(D7581,""PT"",""EN"")"),"Never offer the products ... We have to be asking ... Other banks offer what you offer only after 90 days")</f>
        <v>Never offer the products ... We have to be asking ... Other banks offer what you offer only after 90 days</v>
      </c>
    </row>
    <row r="7582" ht="14.25" customHeight="1">
      <c r="A7582" s="1">
        <v>100.0</v>
      </c>
      <c r="B7582" s="1" t="s">
        <v>3423</v>
      </c>
      <c r="C7582" s="1">
        <v>10.0</v>
      </c>
      <c r="D7582" s="1" t="s">
        <v>6</v>
      </c>
      <c r="E7582" s="1"/>
    </row>
    <row r="7583" ht="14.25" customHeight="1">
      <c r="A7583" s="1">
        <v>100.0</v>
      </c>
      <c r="B7583" s="1" t="s">
        <v>3423</v>
      </c>
      <c r="C7583" s="1">
        <v>9.0</v>
      </c>
      <c r="D7583" s="1" t="s">
        <v>539</v>
      </c>
      <c r="E7583" s="1" t="str">
        <f>IFERROR(__xludf.DUMMYFUNCTION("GOOGLETRANSLATE(D7583,""PT"",""EN"")"),"A good service")</f>
        <v>A good service</v>
      </c>
    </row>
    <row r="7584" ht="14.25" customHeight="1">
      <c r="A7584" s="1">
        <v>100.0</v>
      </c>
      <c r="B7584" s="1" t="s">
        <v>3423</v>
      </c>
      <c r="C7584" s="1">
        <v>10.0</v>
      </c>
      <c r="D7584" s="1" t="s">
        <v>3480</v>
      </c>
      <c r="E7584" s="1" t="str">
        <f>IFERROR(__xludf.DUMMYFUNCTION("GOOGLETRANSLATE(D7584,""PT"",""EN"")"),"I love the heart of heart")</f>
        <v>I love the heart of heart</v>
      </c>
    </row>
    <row r="7585" ht="14.25" customHeight="1">
      <c r="A7585" s="1">
        <v>100.0</v>
      </c>
      <c r="B7585" s="1" t="s">
        <v>3423</v>
      </c>
      <c r="C7585" s="1">
        <v>10.0</v>
      </c>
      <c r="D7585" s="1" t="s">
        <v>6</v>
      </c>
      <c r="E7585" s="1"/>
    </row>
    <row r="7586" ht="14.25" customHeight="1">
      <c r="A7586" s="1">
        <v>100.0</v>
      </c>
      <c r="B7586" s="1" t="s">
        <v>3423</v>
      </c>
      <c r="C7586" s="1">
        <v>10.0</v>
      </c>
      <c r="D7586" s="1" t="s">
        <v>3481</v>
      </c>
      <c r="E7586" s="1" t="str">
        <f>IFERROR(__xludf.DUMMYFUNCTION("GOOGLETRANSLATE(D7586,""PT"",""EN"")"),"Simply Sicoob thinks of its cooperative")</f>
        <v>Simply Sicoob thinks of its cooperative</v>
      </c>
    </row>
    <row r="7587" ht="14.25" customHeight="1">
      <c r="A7587" s="1">
        <v>66.0</v>
      </c>
      <c r="B7587" s="1" t="s">
        <v>3423</v>
      </c>
      <c r="C7587" s="1">
        <v>8.0</v>
      </c>
      <c r="D7587" s="2" t="s">
        <v>3482</v>
      </c>
      <c r="E7587" s="1" t="str">
        <f>IFERROR(__xludf.DUMMYFUNCTION("GOOGLETRANSLATE(D7587,""PT"",""EN"")"),"I think Sicoob is an excellent cooperative in my opinion but it could have more possibility of credit lines in the app for almost everything we have to ask for the manager.")</f>
        <v>I think Sicoob is an excellent cooperative in my opinion but it could have more possibility of credit lines in the app for almost everything we have to ask for the manager.</v>
      </c>
    </row>
    <row r="7588" ht="14.25" customHeight="1">
      <c r="A7588" s="1">
        <v>66.0</v>
      </c>
      <c r="B7588" s="1" t="s">
        <v>3423</v>
      </c>
      <c r="C7588" s="1">
        <v>8.0</v>
      </c>
      <c r="D7588" s="1" t="s">
        <v>3483</v>
      </c>
      <c r="E7588" s="1" t="str">
        <f>IFERROR(__xludf.DUMMYFUNCTION("GOOGLETRANSLATE(D7588,""PT"",""EN"")"),"Few needs are no longer met")</f>
        <v>Few needs are no longer met</v>
      </c>
    </row>
    <row r="7589" ht="14.25" customHeight="1">
      <c r="A7589" s="1">
        <v>33.0</v>
      </c>
      <c r="B7589" s="1" t="s">
        <v>3423</v>
      </c>
      <c r="C7589" s="1">
        <v>0.0</v>
      </c>
      <c r="D7589" s="1" t="s">
        <v>6</v>
      </c>
      <c r="E7589" s="1"/>
    </row>
    <row r="7590" ht="14.25" customHeight="1">
      <c r="A7590" s="1">
        <v>33.0</v>
      </c>
      <c r="B7590" s="1" t="s">
        <v>3423</v>
      </c>
      <c r="C7590" s="1">
        <v>6.0</v>
      </c>
      <c r="D7590" s="2" t="s">
        <v>3484</v>
      </c>
      <c r="E7590" s="1" t="str">
        <f>IFERROR(__xludf.DUMMYFUNCTION("GOOGLETRANSLATE(D7590,""PT"",""EN"")"),"More than 8 years of accounts have never had a good relationship where there is always a huge high bureaucracy is a bad management of managers where it has passed several!")</f>
        <v>More than 8 years of accounts have never had a good relationship where there is always a huge high bureaucracy is a bad management of managers where it has passed several!</v>
      </c>
    </row>
    <row r="7591" ht="14.25" customHeight="1">
      <c r="A7591" s="1">
        <v>100.0</v>
      </c>
      <c r="B7591" s="1" t="s">
        <v>3423</v>
      </c>
      <c r="C7591" s="1">
        <v>9.0</v>
      </c>
      <c r="D7591" s="1" t="s">
        <v>6</v>
      </c>
      <c r="E7591" s="1"/>
    </row>
    <row r="7592" ht="14.25" customHeight="1">
      <c r="A7592" s="1">
        <v>66.0</v>
      </c>
      <c r="B7592" s="1" t="s">
        <v>3423</v>
      </c>
      <c r="C7592" s="1">
        <v>7.0</v>
      </c>
      <c r="D7592" s="1" t="s">
        <v>3485</v>
      </c>
      <c r="E7592" s="1" t="str">
        <f>IFERROR(__xludf.DUMMYFUNCTION("GOOGLETRANSLATE(D7592,""PT"",""EN"")"),"Sicoob is very good, but some things need to be improved with the cooperative.")</f>
        <v>Sicoob is very good, but some things need to be improved with the cooperative.</v>
      </c>
    </row>
    <row r="7593" ht="14.25" customHeight="1">
      <c r="A7593" s="1">
        <v>100.0</v>
      </c>
      <c r="B7593" s="1" t="s">
        <v>3423</v>
      </c>
      <c r="C7593" s="1">
        <v>10.0</v>
      </c>
      <c r="D7593" s="1" t="s">
        <v>3486</v>
      </c>
      <c r="E7593" s="1" t="str">
        <f>IFERROR(__xludf.DUMMYFUNCTION("GOOGLETRANSLATE(D7593,""PT"",""EN"")"),"NOTE MIL")</f>
        <v>NOTE MIL</v>
      </c>
    </row>
    <row r="7594" ht="14.25" customHeight="1">
      <c r="A7594" s="1">
        <v>33.0</v>
      </c>
      <c r="B7594" s="1" t="s">
        <v>3423</v>
      </c>
      <c r="C7594" s="1">
        <v>5.0</v>
      </c>
      <c r="D7594" s="2" t="s">
        <v>3487</v>
      </c>
      <c r="E7594" s="1" t="str">
        <f>IFERROR(__xludf.DUMMYFUNCTION("GOOGLETRANSLATE(D7594,""PT"",""EN"")"),"absence of commitment")</f>
        <v>absence of commitment</v>
      </c>
    </row>
    <row r="7595" ht="14.25" customHeight="1">
      <c r="A7595" s="1">
        <v>100.0</v>
      </c>
      <c r="B7595" s="1" t="s">
        <v>3423</v>
      </c>
      <c r="C7595" s="1">
        <v>10.0</v>
      </c>
      <c r="D7595" s="1" t="s">
        <v>3488</v>
      </c>
      <c r="E7595" s="1" t="str">
        <f>IFERROR(__xludf.DUMMYFUNCTION("GOOGLETRANSLATE(D7595,""PT"",""EN"")"),"My answer is 10")</f>
        <v>My answer is 10</v>
      </c>
    </row>
    <row r="7596" ht="14.25" customHeight="1">
      <c r="A7596" s="1">
        <v>66.0</v>
      </c>
      <c r="B7596" s="1" t="s">
        <v>3423</v>
      </c>
      <c r="C7596" s="1">
        <v>7.0</v>
      </c>
      <c r="D7596" s="1" t="s">
        <v>6</v>
      </c>
      <c r="E7596" s="1"/>
    </row>
    <row r="7597" ht="14.25" customHeight="1">
      <c r="A7597" s="1">
        <v>33.0</v>
      </c>
      <c r="B7597" s="1" t="s">
        <v>3423</v>
      </c>
      <c r="C7597" s="1">
        <v>0.0</v>
      </c>
      <c r="D7597" s="1" t="s">
        <v>6</v>
      </c>
      <c r="E7597" s="1"/>
    </row>
    <row r="7598" ht="14.25" customHeight="1">
      <c r="A7598" s="1">
        <v>100.0</v>
      </c>
      <c r="B7598" s="1" t="s">
        <v>3423</v>
      </c>
      <c r="C7598" s="1">
        <v>10.0</v>
      </c>
      <c r="D7598" s="1" t="s">
        <v>3489</v>
      </c>
      <c r="E7598" s="1" t="str">
        <f>IFERROR(__xludf.DUMMYFUNCTION("GOOGLETRANSLATE(D7598,""PT"",""EN"")"),"Because it is a company that cares about the whole.")</f>
        <v>Because it is a company that cares about the whole.</v>
      </c>
    </row>
    <row r="7599" ht="14.25" customHeight="1">
      <c r="A7599" s="1">
        <v>100.0</v>
      </c>
      <c r="B7599" s="1" t="s">
        <v>3423</v>
      </c>
      <c r="C7599" s="1">
        <v>10.0</v>
      </c>
      <c r="D7599" s="1" t="s">
        <v>6</v>
      </c>
      <c r="E7599" s="1"/>
    </row>
    <row r="7600" ht="14.25" customHeight="1">
      <c r="A7600" s="1">
        <v>100.0</v>
      </c>
      <c r="B7600" s="1" t="s">
        <v>3423</v>
      </c>
      <c r="C7600" s="1">
        <v>10.0</v>
      </c>
      <c r="D7600" s="2" t="s">
        <v>3490</v>
      </c>
      <c r="E7600" s="1" t="str">
        <f>IFERROR(__xludf.DUMMYFUNCTION("GOOGLETRANSLATE(D7600,""PT"",""EN"")"),"Always very attentive and ready to help us resolve any impasse.")</f>
        <v>Always very attentive and ready to help us resolve any impasse.</v>
      </c>
    </row>
    <row r="7601" ht="14.25" customHeight="1">
      <c r="A7601" s="1">
        <v>33.0</v>
      </c>
      <c r="B7601" s="1" t="s">
        <v>3423</v>
      </c>
      <c r="C7601" s="1">
        <v>1.0</v>
      </c>
      <c r="D7601" s="1" t="s">
        <v>3491</v>
      </c>
      <c r="E7601" s="1" t="str">
        <f>IFERROR(__xludf.DUMMYFUNCTION("GOOGLETRANSLATE(D7601,""PT"",""EN"")"),"Unauthorized charges")</f>
        <v>Unauthorized charges</v>
      </c>
    </row>
    <row r="7602" ht="14.25" customHeight="1">
      <c r="A7602" s="1">
        <v>66.0</v>
      </c>
      <c r="B7602" s="1" t="s">
        <v>3423</v>
      </c>
      <c r="C7602" s="1">
        <v>8.0</v>
      </c>
      <c r="D7602" s="1" t="s">
        <v>3492</v>
      </c>
      <c r="E7602" s="1" t="str">
        <f>IFERROR(__xludf.DUMMYFUNCTION("GOOGLETRANSLATE(D7602,""PT"",""EN"")"),"Satisfied in part")</f>
        <v>Satisfied in part</v>
      </c>
    </row>
    <row r="7603" ht="14.25" customHeight="1">
      <c r="A7603" s="1">
        <v>66.0</v>
      </c>
      <c r="B7603" s="1" t="s">
        <v>3423</v>
      </c>
      <c r="C7603" s="1">
        <v>7.0</v>
      </c>
      <c r="D7603" s="1" t="s">
        <v>6</v>
      </c>
      <c r="E7603" s="1"/>
    </row>
    <row r="7604" ht="14.25" customHeight="1">
      <c r="A7604" s="1">
        <v>100.0</v>
      </c>
      <c r="B7604" s="1" t="s">
        <v>3423</v>
      </c>
      <c r="C7604" s="1">
        <v>10.0</v>
      </c>
      <c r="D7604" s="1" t="s">
        <v>3493</v>
      </c>
      <c r="E7604" s="1" t="str">
        <f>IFERROR(__xludf.DUMMYFUNCTION("GOOGLETRANSLATE(D7604,""PT"",""EN"")"),"Attendant. Camila")</f>
        <v>Attendant. Camila</v>
      </c>
    </row>
    <row r="7605" ht="14.25" customHeight="1">
      <c r="A7605" s="1">
        <v>66.0</v>
      </c>
      <c r="B7605" s="1" t="s">
        <v>3423</v>
      </c>
      <c r="C7605" s="1">
        <v>8.0</v>
      </c>
      <c r="D7605" s="1" t="s">
        <v>6</v>
      </c>
      <c r="E7605" s="1"/>
    </row>
    <row r="7606" ht="14.25" customHeight="1">
      <c r="A7606" s="1">
        <v>66.0</v>
      </c>
      <c r="B7606" s="1" t="s">
        <v>3423</v>
      </c>
      <c r="C7606" s="1">
        <v>8.0</v>
      </c>
      <c r="D7606" s="1" t="s">
        <v>456</v>
      </c>
      <c r="E7606" s="1" t="str">
        <f>IFERROR(__xludf.DUMMYFUNCTION("GOOGLETRANSLATE(D7606,""PT"",""EN"")"),"service")</f>
        <v>service</v>
      </c>
    </row>
    <row r="7607" ht="14.25" customHeight="1">
      <c r="A7607" s="1">
        <v>100.0</v>
      </c>
      <c r="B7607" s="1" t="s">
        <v>3423</v>
      </c>
      <c r="C7607" s="1">
        <v>10.0</v>
      </c>
      <c r="D7607" s="1" t="s">
        <v>6</v>
      </c>
      <c r="E7607" s="1"/>
    </row>
    <row r="7608" ht="14.25" customHeight="1">
      <c r="A7608" s="1">
        <v>100.0</v>
      </c>
      <c r="B7608" s="1" t="s">
        <v>3423</v>
      </c>
      <c r="C7608" s="1">
        <v>10.0</v>
      </c>
      <c r="D7608" s="1" t="s">
        <v>62</v>
      </c>
      <c r="E7608" s="1" t="str">
        <f>IFERROR(__xludf.DUMMYFUNCTION("GOOGLETRANSLATE(D7608,""PT"",""EN"")"),"Good service")</f>
        <v>Good service</v>
      </c>
    </row>
    <row r="7609" ht="14.25" customHeight="1">
      <c r="A7609" s="1">
        <v>33.0</v>
      </c>
      <c r="B7609" s="1" t="s">
        <v>3423</v>
      </c>
      <c r="C7609" s="1">
        <v>0.0</v>
      </c>
      <c r="D7609" s="2" t="s">
        <v>3494</v>
      </c>
      <c r="E7609" s="1" t="str">
        <f>IFERROR(__xludf.DUMMYFUNCTION("GOOGLETRANSLATE(D7609,""PT"",""EN"")"),"There is no credit line")</f>
        <v>There is no credit line</v>
      </c>
    </row>
    <row r="7610" ht="14.25" customHeight="1">
      <c r="A7610" s="1">
        <v>100.0</v>
      </c>
      <c r="B7610" s="1" t="s">
        <v>3423</v>
      </c>
      <c r="C7610" s="1">
        <v>10.0</v>
      </c>
      <c r="D7610" s="2" t="s">
        <v>3495</v>
      </c>
      <c r="E7610" s="1" t="str">
        <f>IFERROR(__xludf.DUMMYFUNCTION("GOOGLETRANSLATE(D7610,""PT"",""EN"")"),"Best Credit Cooperative Fired")</f>
        <v>Best Credit Cooperative Fired</v>
      </c>
    </row>
    <row r="7611" ht="14.25" customHeight="1">
      <c r="A7611" s="1">
        <v>33.0</v>
      </c>
      <c r="B7611" s="1" t="s">
        <v>3423</v>
      </c>
      <c r="C7611" s="1">
        <v>2.0</v>
      </c>
      <c r="D7611" s="2" t="s">
        <v>3496</v>
      </c>
      <c r="E7611" s="1" t="str">
        <f>IFERROR(__xludf.DUMMYFUNCTION("GOOGLETRANSLATE(D7611,""PT"",""EN"")"),"I didn't get what I expected for a cooperative bank")</f>
        <v>I didn't get what I expected for a cooperative bank</v>
      </c>
    </row>
    <row r="7612" ht="14.25" customHeight="1">
      <c r="A7612" s="1">
        <v>66.0</v>
      </c>
      <c r="B7612" s="1" t="s">
        <v>3423</v>
      </c>
      <c r="C7612" s="1">
        <v>7.0</v>
      </c>
      <c r="D7612" s="2" t="s">
        <v>3497</v>
      </c>
      <c r="E7612" s="1" t="str">
        <f>IFERROR(__xludf.DUMMYFUNCTION("GOOGLETRANSLATE(D7612,""PT"",""EN"")"),"Does not work as well as before")</f>
        <v>Does not work as well as before</v>
      </c>
    </row>
    <row r="7613" ht="14.25" customHeight="1">
      <c r="A7613" s="1">
        <v>66.0</v>
      </c>
      <c r="B7613" s="1" t="s">
        <v>3423</v>
      </c>
      <c r="C7613" s="1">
        <v>8.0</v>
      </c>
      <c r="D7613" s="1" t="s">
        <v>6</v>
      </c>
      <c r="E7613" s="1"/>
    </row>
    <row r="7614" ht="14.25" customHeight="1">
      <c r="A7614" s="1">
        <v>33.0</v>
      </c>
      <c r="B7614" s="1" t="s">
        <v>3423</v>
      </c>
      <c r="C7614" s="1">
        <v>5.0</v>
      </c>
      <c r="D7614" s="1" t="s">
        <v>6</v>
      </c>
      <c r="E7614" s="1"/>
    </row>
    <row r="7615" ht="14.25" customHeight="1">
      <c r="A7615" s="1">
        <v>100.0</v>
      </c>
      <c r="B7615" s="1" t="s">
        <v>3423</v>
      </c>
      <c r="C7615" s="1">
        <v>10.0</v>
      </c>
      <c r="D7615" s="1" t="s">
        <v>6</v>
      </c>
      <c r="E7615" s="1"/>
    </row>
    <row r="7616" ht="14.25" customHeight="1">
      <c r="A7616" s="1">
        <v>100.0</v>
      </c>
      <c r="B7616" s="1" t="s">
        <v>3423</v>
      </c>
      <c r="C7616" s="1">
        <v>10.0</v>
      </c>
      <c r="D7616" s="1" t="s">
        <v>6</v>
      </c>
      <c r="E7616" s="1"/>
    </row>
    <row r="7617" ht="14.25" customHeight="1">
      <c r="A7617" s="1">
        <v>100.0</v>
      </c>
      <c r="B7617" s="1" t="s">
        <v>3423</v>
      </c>
      <c r="C7617" s="1">
        <v>9.0</v>
      </c>
      <c r="D7617" s="1" t="s">
        <v>6</v>
      </c>
      <c r="E7617" s="1"/>
    </row>
    <row r="7618" ht="14.25" customHeight="1">
      <c r="A7618" s="1">
        <v>66.0</v>
      </c>
      <c r="B7618" s="1" t="s">
        <v>3423</v>
      </c>
      <c r="C7618" s="1">
        <v>8.0</v>
      </c>
      <c r="D7618" s="2" t="s">
        <v>3498</v>
      </c>
      <c r="E7618" s="1" t="str">
        <f>IFERROR(__xludf.DUMMYFUNCTION("GOOGLETRANSLATE(D7618,""PT"",""EN"")"),"Difficult to release limit, client confidence lacks")</f>
        <v>Difficult to release limit, client confidence lacks</v>
      </c>
    </row>
    <row r="7619" ht="14.25" customHeight="1">
      <c r="A7619" s="1">
        <v>100.0</v>
      </c>
      <c r="B7619" s="1" t="s">
        <v>3423</v>
      </c>
      <c r="C7619" s="1">
        <v>10.0</v>
      </c>
      <c r="D7619" s="2" t="s">
        <v>3499</v>
      </c>
      <c r="E7619" s="1" t="str">
        <f>IFERROR(__xludf.DUMMYFUNCTION("GOOGLETRANSLATE(D7619,""PT"",""EN"")"),"Efficient and effective")</f>
        <v>Efficient and effective</v>
      </c>
    </row>
    <row r="7620" ht="14.25" customHeight="1">
      <c r="A7620" s="1">
        <v>100.0</v>
      </c>
      <c r="B7620" s="1" t="s">
        <v>3423</v>
      </c>
      <c r="C7620" s="1">
        <v>10.0</v>
      </c>
      <c r="D7620" s="1" t="s">
        <v>6</v>
      </c>
      <c r="E7620" s="1"/>
    </row>
    <row r="7621" ht="14.25" customHeight="1">
      <c r="A7621" s="1">
        <v>100.0</v>
      </c>
      <c r="B7621" s="1" t="s">
        <v>3423</v>
      </c>
      <c r="C7621" s="1">
        <v>10.0</v>
      </c>
      <c r="D7621" s="1" t="s">
        <v>3500</v>
      </c>
      <c r="E7621" s="1" t="str">
        <f>IFERROR(__xludf.DUMMYFUNCTION("GOOGLETRANSLATE(D7621,""PT"",""EN"")"),"The numerous advantages of being a cooperative.")</f>
        <v>The numerous advantages of being a cooperative.</v>
      </c>
    </row>
    <row r="7622" ht="14.25" customHeight="1">
      <c r="A7622" s="1">
        <v>100.0</v>
      </c>
      <c r="B7622" s="1" t="s">
        <v>3423</v>
      </c>
      <c r="C7622" s="1">
        <v>10.0</v>
      </c>
      <c r="D7622" s="2" t="s">
        <v>3501</v>
      </c>
      <c r="E7622" s="1" t="str">
        <f>IFERROR(__xludf.DUMMYFUNCTION("GOOGLETRANSLATE(D7622,""PT"",""EN"")"),"Practicality and speed in agency service")</f>
        <v>Practicality and speed in agency service</v>
      </c>
    </row>
    <row r="7623" ht="14.25" customHeight="1">
      <c r="A7623" s="1">
        <v>100.0</v>
      </c>
      <c r="B7623" s="1" t="s">
        <v>3423</v>
      </c>
      <c r="C7623" s="1">
        <v>9.0</v>
      </c>
      <c r="D7623" s="1" t="s">
        <v>6</v>
      </c>
      <c r="E7623" s="1"/>
    </row>
    <row r="7624" ht="14.25" customHeight="1">
      <c r="A7624" s="1">
        <v>100.0</v>
      </c>
      <c r="B7624" s="1" t="s">
        <v>3423</v>
      </c>
      <c r="C7624" s="1">
        <v>10.0</v>
      </c>
      <c r="D7624" s="1" t="s">
        <v>3502</v>
      </c>
      <c r="E7624" s="1" t="str">
        <f>IFERROR(__xludf.DUMMYFUNCTION("GOOGLETRANSLATE(D7624,""PT"",""EN"")"),"SOLVES MY PROBLEMS")</f>
        <v>SOLVES MY PROBLEMS</v>
      </c>
    </row>
    <row r="7625" ht="14.25" customHeight="1">
      <c r="A7625" s="1">
        <v>33.0</v>
      </c>
      <c r="B7625" s="1" t="s">
        <v>3423</v>
      </c>
      <c r="C7625" s="1">
        <v>3.0</v>
      </c>
      <c r="D7625" s="1" t="s">
        <v>3503</v>
      </c>
      <c r="E7625" s="1" t="str">
        <f>IFERROR(__xludf.DUMMYFUNCTION("GOOGLETRANSLATE(D7625,""PT"",""EN"")"),"Lack of support for the company, no interest on the part of the managers")</f>
        <v>Lack of support for the company, no interest on the part of the managers</v>
      </c>
    </row>
    <row r="7626" ht="14.25" customHeight="1">
      <c r="A7626" s="1">
        <v>100.0</v>
      </c>
      <c r="B7626" s="1" t="s">
        <v>3423</v>
      </c>
      <c r="C7626" s="1">
        <v>10.0</v>
      </c>
      <c r="D7626" s="1" t="s">
        <v>9</v>
      </c>
      <c r="E7626" s="1" t="str">
        <f>IFERROR(__xludf.DUMMYFUNCTION("GOOGLETRANSLATE(D7626,""PT"",""EN"")"),"10")</f>
        <v>10</v>
      </c>
    </row>
    <row r="7627" ht="14.25" customHeight="1">
      <c r="A7627" s="1">
        <v>100.0</v>
      </c>
      <c r="B7627" s="1" t="s">
        <v>3423</v>
      </c>
      <c r="C7627" s="1">
        <v>9.0</v>
      </c>
      <c r="D7627" s="1" t="s">
        <v>6</v>
      </c>
      <c r="E7627" s="1"/>
    </row>
    <row r="7628" ht="14.25" customHeight="1">
      <c r="A7628" s="1">
        <v>33.0</v>
      </c>
      <c r="B7628" s="1" t="s">
        <v>3423</v>
      </c>
      <c r="C7628" s="1">
        <v>2.0</v>
      </c>
      <c r="D7628" s="1" t="s">
        <v>3504</v>
      </c>
      <c r="E7628" s="1" t="str">
        <f>IFERROR(__xludf.DUMMYFUNCTION("GOOGLETRANSLATE(D7628,""PT"",""EN"")"),"Est")</f>
        <v>Est</v>
      </c>
    </row>
    <row r="7629" ht="14.25" customHeight="1">
      <c r="A7629" s="1">
        <v>33.0</v>
      </c>
      <c r="B7629" s="1" t="s">
        <v>3423</v>
      </c>
      <c r="C7629" s="1">
        <v>3.0</v>
      </c>
      <c r="D7629" s="2" t="s">
        <v>3505</v>
      </c>
      <c r="E7629" s="1" t="str">
        <f>IFERROR(__xludf.DUMMYFUNCTION("GOOGLETRANSLATE(D7629,""PT"",""EN"")"),"Well at the beginning of the account opening that I was as a salary account I can not evaluate why I did not need the bank any time, but every time I went after credits I had to look for another institution to meet me, loan cards etc.")</f>
        <v>Well at the beginning of the account opening that I was as a salary account I can not evaluate why I did not need the bank any time, but every time I went after credits I had to look for another institution to meet me, loan cards etc.</v>
      </c>
    </row>
    <row r="7630" ht="14.25" customHeight="1">
      <c r="A7630" s="1">
        <v>100.0</v>
      </c>
      <c r="B7630" s="1" t="s">
        <v>3423</v>
      </c>
      <c r="C7630" s="1">
        <v>10.0</v>
      </c>
      <c r="D7630" s="1" t="s">
        <v>6</v>
      </c>
      <c r="E7630" s="1"/>
    </row>
    <row r="7631" ht="14.25" customHeight="1">
      <c r="A7631" s="1">
        <v>100.0</v>
      </c>
      <c r="B7631" s="1" t="s">
        <v>3423</v>
      </c>
      <c r="C7631" s="1">
        <v>10.0</v>
      </c>
      <c r="D7631" s="1" t="s">
        <v>6</v>
      </c>
      <c r="E7631" s="1"/>
    </row>
    <row r="7632" ht="14.25" customHeight="1">
      <c r="A7632" s="1">
        <v>33.0</v>
      </c>
      <c r="B7632" s="1" t="s">
        <v>3423</v>
      </c>
      <c r="C7632" s="1">
        <v>0.0</v>
      </c>
      <c r="D7632" s="1" t="s">
        <v>6</v>
      </c>
      <c r="E7632" s="1"/>
    </row>
    <row r="7633" ht="14.25" customHeight="1">
      <c r="A7633" s="1">
        <v>33.0</v>
      </c>
      <c r="B7633" s="1" t="s">
        <v>3423</v>
      </c>
      <c r="C7633" s="1">
        <v>3.0</v>
      </c>
      <c r="D7633" s="2" t="s">
        <v>3506</v>
      </c>
      <c r="E7633" s="1" t="str">
        <f>IFERROR(__xludf.DUMMYFUNCTION("GOOGLETRANSLATE(D7633,""PT"",""EN"")"),"Does not accept digital wallet")</f>
        <v>Does not accept digital wallet</v>
      </c>
    </row>
    <row r="7634" ht="14.25" customHeight="1">
      <c r="A7634" s="1">
        <v>33.0</v>
      </c>
      <c r="B7634" s="1" t="s">
        <v>3423</v>
      </c>
      <c r="C7634" s="1">
        <v>0.0</v>
      </c>
      <c r="D7634" s="1" t="s">
        <v>6</v>
      </c>
      <c r="E7634" s="1"/>
    </row>
    <row r="7635" ht="14.25" customHeight="1">
      <c r="A7635" s="1">
        <v>100.0</v>
      </c>
      <c r="B7635" s="1" t="s">
        <v>3423</v>
      </c>
      <c r="C7635" s="1">
        <v>10.0</v>
      </c>
      <c r="D7635" s="1" t="s">
        <v>3507</v>
      </c>
      <c r="E7635" s="1" t="str">
        <f>IFERROR(__xludf.DUMMYFUNCTION("GOOGLETRANSLATE(D7635,""PT"",""EN"")"),"Unique service.")</f>
        <v>Unique service.</v>
      </c>
    </row>
    <row r="7636" ht="14.25" customHeight="1">
      <c r="A7636" s="1">
        <v>100.0</v>
      </c>
      <c r="B7636" s="1" t="s">
        <v>3423</v>
      </c>
      <c r="C7636" s="1">
        <v>9.0</v>
      </c>
      <c r="D7636" s="2" t="s">
        <v>3508</v>
      </c>
      <c r="E7636" s="1" t="str">
        <f>IFERROR(__xludf.DUMMYFUNCTION("GOOGLETRANSLATE(D7636,""PT"",""EN"")"),"I am pleased with the service of this institution, however, it is my decision not to evaluate the maximum.")</f>
        <v>I am pleased with the service of this institution, however, it is my decision not to evaluate the maximum.</v>
      </c>
    </row>
    <row r="7637" ht="14.25" customHeight="1">
      <c r="A7637" s="1">
        <v>100.0</v>
      </c>
      <c r="B7637" s="1" t="s">
        <v>3423</v>
      </c>
      <c r="C7637" s="1">
        <v>9.0</v>
      </c>
      <c r="D7637" s="1" t="s">
        <v>6</v>
      </c>
      <c r="E7637" s="1"/>
    </row>
    <row r="7638" ht="14.25" customHeight="1">
      <c r="A7638" s="1">
        <v>100.0</v>
      </c>
      <c r="B7638" s="1" t="s">
        <v>3423</v>
      </c>
      <c r="C7638" s="1">
        <v>10.0</v>
      </c>
      <c r="D7638" s="1" t="s">
        <v>6</v>
      </c>
      <c r="E7638" s="1"/>
    </row>
    <row r="7639" ht="14.25" customHeight="1">
      <c r="A7639" s="1">
        <v>100.0</v>
      </c>
      <c r="B7639" s="1" t="s">
        <v>3423</v>
      </c>
      <c r="C7639" s="1">
        <v>10.0</v>
      </c>
      <c r="D7639" s="1" t="s">
        <v>3509</v>
      </c>
      <c r="E7639" s="1" t="str">
        <f>IFERROR(__xludf.DUMMYFUNCTION("GOOGLETRANSLATE(D7639,""PT"",""EN"")"),"Every time it took service via WhatsApp or personally, Wanessa of 4364 always with full attention was ready to answer my questions. NOTE THOUSAND FOR HER SERVICE.")</f>
        <v>Every time it took service via WhatsApp or personally, Wanessa of 4364 always with full attention was ready to answer my questions. NOTE THOUSAND FOR HER SERVICE.</v>
      </c>
    </row>
    <row r="7640" ht="14.25" customHeight="1">
      <c r="A7640" s="1">
        <v>100.0</v>
      </c>
      <c r="B7640" s="1" t="s">
        <v>3423</v>
      </c>
      <c r="C7640" s="1">
        <v>10.0</v>
      </c>
      <c r="D7640" s="2" t="s">
        <v>3510</v>
      </c>
      <c r="E7640" s="1" t="str">
        <f>IFERROR(__xludf.DUMMYFUNCTION("GOOGLETRANSLATE(D7640,""PT"",""EN"")"),"Credit and loan card")</f>
        <v>Credit and loan card</v>
      </c>
    </row>
    <row r="7641" ht="14.25" customHeight="1">
      <c r="A7641" s="1">
        <v>100.0</v>
      </c>
      <c r="B7641" s="1" t="s">
        <v>3423</v>
      </c>
      <c r="C7641" s="1">
        <v>10.0</v>
      </c>
      <c r="D7641" s="1" t="s">
        <v>6</v>
      </c>
      <c r="E7641" s="1"/>
    </row>
    <row r="7642" ht="14.25" customHeight="1">
      <c r="A7642" s="1">
        <v>100.0</v>
      </c>
      <c r="B7642" s="1" t="s">
        <v>3423</v>
      </c>
      <c r="C7642" s="1">
        <v>10.0</v>
      </c>
      <c r="D7642" s="1" t="s">
        <v>6</v>
      </c>
      <c r="E7642" s="1"/>
    </row>
    <row r="7643" ht="14.25" customHeight="1">
      <c r="A7643" s="1">
        <v>100.0</v>
      </c>
      <c r="B7643" s="1" t="s">
        <v>3423</v>
      </c>
      <c r="C7643" s="1">
        <v>10.0</v>
      </c>
      <c r="D7643" s="2" t="s">
        <v>3511</v>
      </c>
      <c r="E7643" s="1" t="str">
        <f>IFERROR(__xludf.DUMMYFUNCTION("GOOGLETRANSLATE(D7643,""PT"",""EN"")"),"Very good service is to meet all my needs")</f>
        <v>Very good service is to meet all my needs</v>
      </c>
    </row>
    <row r="7644" ht="14.25" customHeight="1">
      <c r="A7644" s="1">
        <v>66.0</v>
      </c>
      <c r="B7644" s="1" t="s">
        <v>3423</v>
      </c>
      <c r="C7644" s="1">
        <v>8.0</v>
      </c>
      <c r="D7644" s="2" t="s">
        <v>3512</v>
      </c>
      <c r="E7644" s="1" t="str">
        <f>IFERROR(__xludf.DUMMYFUNCTION("GOOGLETRANSLATE(D7644,""PT"",""EN"")"),"Sicoob needs to be more agile.")</f>
        <v>Sicoob needs to be more agile.</v>
      </c>
    </row>
    <row r="7645" ht="14.25" customHeight="1">
      <c r="A7645" s="1">
        <v>100.0</v>
      </c>
      <c r="B7645" s="1" t="s">
        <v>3423</v>
      </c>
      <c r="C7645" s="1">
        <v>10.0</v>
      </c>
      <c r="D7645" s="1" t="s">
        <v>3513</v>
      </c>
      <c r="E7645" s="1" t="str">
        <f>IFERROR(__xludf.DUMMYFUNCTION("GOOGLETRANSLATE(D7645,""PT"",""EN"")"),"Sicoob is the best wonderful bank grade 10")</f>
        <v>Sicoob is the best wonderful bank grade 10</v>
      </c>
    </row>
    <row r="7646" ht="14.25" customHeight="1">
      <c r="A7646" s="1">
        <v>100.0</v>
      </c>
      <c r="B7646" s="1" t="s">
        <v>3423</v>
      </c>
      <c r="C7646" s="1">
        <v>9.0</v>
      </c>
      <c r="D7646" s="1" t="s">
        <v>3514</v>
      </c>
      <c r="E7646" s="1" t="str">
        <f>IFERROR(__xludf.DUMMYFUNCTION("GOOGLETRANSLATE(D7646,""PT"",""EN"")"),"gratitude")</f>
        <v>gratitude</v>
      </c>
    </row>
    <row r="7647" ht="14.25" customHeight="1">
      <c r="A7647" s="1">
        <v>100.0</v>
      </c>
      <c r="B7647" s="1" t="s">
        <v>3423</v>
      </c>
      <c r="C7647" s="1">
        <v>10.0</v>
      </c>
      <c r="D7647" s="2" t="s">
        <v>3515</v>
      </c>
      <c r="E7647" s="1" t="str">
        <f>IFERROR(__xludf.DUMMYFUNCTION("GOOGLETRANSLATE(D7647,""PT"",""EN"")"),"Ease and tranquility with access.")</f>
        <v>Ease and tranquility with access.</v>
      </c>
    </row>
    <row r="7648" ht="14.25" customHeight="1">
      <c r="A7648" s="1">
        <v>100.0</v>
      </c>
      <c r="B7648" s="1" t="s">
        <v>3423</v>
      </c>
      <c r="C7648" s="1">
        <v>10.0</v>
      </c>
      <c r="D7648" s="1" t="s">
        <v>6</v>
      </c>
      <c r="E7648" s="1"/>
    </row>
    <row r="7649" ht="14.25" customHeight="1">
      <c r="A7649" s="1">
        <v>100.0</v>
      </c>
      <c r="B7649" s="1" t="s">
        <v>3423</v>
      </c>
      <c r="C7649" s="1">
        <v>9.0</v>
      </c>
      <c r="D7649" s="1" t="s">
        <v>6</v>
      </c>
      <c r="E7649" s="1"/>
    </row>
    <row r="7650" ht="14.25" customHeight="1">
      <c r="A7650" s="1">
        <v>100.0</v>
      </c>
      <c r="B7650" s="1" t="s">
        <v>3423</v>
      </c>
      <c r="C7650" s="1">
        <v>9.0</v>
      </c>
      <c r="D7650" s="1" t="s">
        <v>6</v>
      </c>
      <c r="E7650" s="1"/>
    </row>
    <row r="7651" ht="14.25" customHeight="1">
      <c r="A7651" s="1">
        <v>100.0</v>
      </c>
      <c r="B7651" s="1" t="s">
        <v>3423</v>
      </c>
      <c r="C7651" s="1">
        <v>9.0</v>
      </c>
      <c r="D7651" s="1" t="s">
        <v>3516</v>
      </c>
      <c r="E7651" s="1" t="str">
        <f>IFERROR(__xludf.DUMMYFUNCTION("GOOGLETRANSLATE(D7651,""PT"",""EN"")"),"9 (nine)")</f>
        <v>9 (nine)</v>
      </c>
    </row>
    <row r="7652" ht="14.25" customHeight="1">
      <c r="A7652" s="1">
        <v>100.0</v>
      </c>
      <c r="B7652" s="1" t="s">
        <v>3423</v>
      </c>
      <c r="C7652" s="1">
        <v>10.0</v>
      </c>
      <c r="D7652" s="2" t="s">
        <v>3517</v>
      </c>
      <c r="E7652" s="1" t="str">
        <f>IFERROR(__xludf.DUMMYFUNCTION("GOOGLETRANSLATE(D7652,""PT"",""EN"")"),"My grade is a group that see their members, family and collaborators such as honesty and seriousness as one family.")</f>
        <v>My grade is a group that see their members, family and collaborators such as honesty and seriousness as one family.</v>
      </c>
    </row>
    <row r="7653" ht="14.25" customHeight="1">
      <c r="A7653" s="1">
        <v>100.0</v>
      </c>
      <c r="B7653" s="1" t="s">
        <v>3423</v>
      </c>
      <c r="C7653" s="1">
        <v>9.0</v>
      </c>
      <c r="D7653" s="1" t="s">
        <v>6</v>
      </c>
      <c r="E7653" s="1"/>
    </row>
    <row r="7654" ht="14.25" customHeight="1">
      <c r="A7654" s="1">
        <v>100.0</v>
      </c>
      <c r="B7654" s="1" t="s">
        <v>3423</v>
      </c>
      <c r="C7654" s="1">
        <v>10.0</v>
      </c>
      <c r="D7654" s="1" t="s">
        <v>6</v>
      </c>
      <c r="E7654" s="1"/>
    </row>
    <row r="7655" ht="14.25" customHeight="1">
      <c r="A7655" s="1">
        <v>100.0</v>
      </c>
      <c r="B7655" s="1" t="s">
        <v>3423</v>
      </c>
      <c r="C7655" s="1">
        <v>10.0</v>
      </c>
      <c r="D7655" s="2" t="s">
        <v>3518</v>
      </c>
      <c r="E7655" s="1" t="str">
        <f>IFERROR(__xludf.DUMMYFUNCTION("GOOGLETRANSLATE(D7655,""PT"",""EN"")"),"Solutions is agility and professionalism of employees.")</f>
        <v>Solutions is agility and professionalism of employees.</v>
      </c>
    </row>
    <row r="7656" ht="14.25" customHeight="1">
      <c r="A7656" s="1">
        <v>100.0</v>
      </c>
      <c r="B7656" s="1" t="s">
        <v>3423</v>
      </c>
      <c r="C7656" s="1">
        <v>10.0</v>
      </c>
      <c r="D7656" s="1" t="s">
        <v>2844</v>
      </c>
      <c r="E7656" s="1" t="str">
        <f>IFERROR(__xludf.DUMMYFUNCTION("GOOGLETRANSLATE(D7656,""PT"",""EN"")"),"Rapid service")</f>
        <v>Rapid service</v>
      </c>
    </row>
    <row r="7657" ht="14.25" customHeight="1">
      <c r="A7657" s="1">
        <v>100.0</v>
      </c>
      <c r="B7657" s="1" t="s">
        <v>3423</v>
      </c>
      <c r="C7657" s="1">
        <v>10.0</v>
      </c>
      <c r="D7657" s="1" t="s">
        <v>6</v>
      </c>
      <c r="E7657" s="1"/>
    </row>
    <row r="7658" ht="14.25" customHeight="1">
      <c r="A7658" s="1">
        <v>100.0</v>
      </c>
      <c r="B7658" s="1" t="s">
        <v>3423</v>
      </c>
      <c r="C7658" s="1">
        <v>10.0</v>
      </c>
      <c r="D7658" s="1" t="s">
        <v>6</v>
      </c>
      <c r="E7658" s="1"/>
    </row>
    <row r="7659" ht="14.25" customHeight="1">
      <c r="A7659" s="1">
        <v>33.0</v>
      </c>
      <c r="B7659" s="1" t="s">
        <v>3423</v>
      </c>
      <c r="C7659" s="1">
        <v>0.0</v>
      </c>
      <c r="D7659" s="2" t="s">
        <v>3519</v>
      </c>
      <c r="E7659" s="1" t="str">
        <f>IFERROR(__xludf.DUMMYFUNCTION("GOOGLETRANSLATE(D7659,""PT"",""EN"")"),"The total lack of commitment to me, cooperated, upon full withdrawal of my money to pay a credit card invoice that was only in debt for a few days, which could be paid for the minimum amount, even with contractual consent. It was a lack of respect for the"&amp;" cooperative is with its financial responsibilities, which got the account zeroed. To date, the amount removed has not been returned, even with the negotiation already made to slaughter the minimum installment of the updated invoice. Thus, disrespect is t"&amp;"he lack of commitment to this cooperative, it leads me not only not to indicate, but to make severe criticism of the way the cooperative is at least in PAB/Samambaia.")</f>
        <v>The total lack of commitment to me, cooperated, upon full withdrawal of my money to pay a credit card invoice that was only in debt for a few days, which could be paid for the minimum amount, even with contractual consent. It was a lack of respect for the cooperative is with its financial responsibilities, which got the account zeroed. To date, the amount removed has not been returned, even with the negotiation already made to slaughter the minimum installment of the updated invoice. Thus, disrespect is the lack of commitment to this cooperative, it leads me not only not to indicate, but to make severe criticism of the way the cooperative is at least in PAB/Samambaia.</v>
      </c>
    </row>
    <row r="7660" ht="14.25" customHeight="1">
      <c r="A7660" s="1">
        <v>100.0</v>
      </c>
      <c r="B7660" s="1" t="s">
        <v>3423</v>
      </c>
      <c r="C7660" s="1">
        <v>10.0</v>
      </c>
      <c r="D7660" s="1" t="s">
        <v>6</v>
      </c>
      <c r="E7660" s="1"/>
    </row>
    <row r="7661" ht="14.25" customHeight="1">
      <c r="A7661" s="1">
        <v>100.0</v>
      </c>
      <c r="B7661" s="1" t="s">
        <v>3423</v>
      </c>
      <c r="C7661" s="1">
        <v>10.0</v>
      </c>
      <c r="D7661" s="1" t="s">
        <v>3520</v>
      </c>
      <c r="E7661" s="1" t="str">
        <f>IFERROR(__xludf.DUMMYFUNCTION("GOOGLETRANSLATE(D7661,""PT"",""EN"")"),"20")</f>
        <v>20</v>
      </c>
    </row>
    <row r="7662" ht="14.25" customHeight="1">
      <c r="A7662" s="1">
        <v>33.0</v>
      </c>
      <c r="B7662" s="1" t="s">
        <v>3423</v>
      </c>
      <c r="C7662" s="1">
        <v>0.0</v>
      </c>
      <c r="D7662" s="1" t="s">
        <v>6</v>
      </c>
      <c r="E7662" s="1"/>
    </row>
    <row r="7663" ht="14.25" customHeight="1">
      <c r="A7663" s="1">
        <v>100.0</v>
      </c>
      <c r="B7663" s="1" t="s">
        <v>3423</v>
      </c>
      <c r="C7663" s="1">
        <v>10.0</v>
      </c>
      <c r="D7663" s="2" t="s">
        <v>3521</v>
      </c>
      <c r="E7663" s="1" t="str">
        <f>IFERROR(__xludf.DUMMYFUNCTION("GOOGLETRANSLATE(D7663,""PT"",""EN"")"),"Because it is the best airline!")</f>
        <v>Because it is the best airline!</v>
      </c>
    </row>
    <row r="7664" ht="14.25" customHeight="1">
      <c r="A7664" s="1">
        <v>66.0</v>
      </c>
      <c r="B7664" s="1" t="s">
        <v>3423</v>
      </c>
      <c r="C7664" s="1">
        <v>7.0</v>
      </c>
      <c r="D7664" s="1" t="s">
        <v>6</v>
      </c>
      <c r="E7664" s="1"/>
    </row>
    <row r="7665" ht="14.25" customHeight="1">
      <c r="A7665" s="1">
        <v>66.0</v>
      </c>
      <c r="B7665" s="1" t="s">
        <v>3423</v>
      </c>
      <c r="C7665" s="1">
        <v>7.0</v>
      </c>
      <c r="D7665" s="1" t="s">
        <v>6</v>
      </c>
      <c r="E7665" s="1"/>
    </row>
    <row r="7666" ht="14.25" customHeight="1">
      <c r="A7666" s="1">
        <v>100.0</v>
      </c>
      <c r="B7666" s="1" t="s">
        <v>3423</v>
      </c>
      <c r="C7666" s="1">
        <v>10.0</v>
      </c>
      <c r="D7666" s="1" t="s">
        <v>3522</v>
      </c>
      <c r="E7666" s="1" t="str">
        <f>IFERROR(__xludf.DUMMYFUNCTION("GOOGLETRANSLATE(D7666,""PT"",""EN"")"),"The golden bank a thousand.")</f>
        <v>The golden bank a thousand.</v>
      </c>
    </row>
    <row r="7667" ht="14.25" customHeight="1">
      <c r="A7667" s="1">
        <v>100.0</v>
      </c>
      <c r="B7667" s="1" t="s">
        <v>3423</v>
      </c>
      <c r="C7667" s="1">
        <v>10.0</v>
      </c>
      <c r="D7667" s="1" t="s">
        <v>6</v>
      </c>
      <c r="E7667" s="1"/>
    </row>
    <row r="7668" ht="14.25" customHeight="1">
      <c r="A7668" s="1">
        <v>66.0</v>
      </c>
      <c r="B7668" s="1" t="s">
        <v>3423</v>
      </c>
      <c r="C7668" s="1">
        <v>8.0</v>
      </c>
      <c r="D7668" s="1" t="s">
        <v>3523</v>
      </c>
      <c r="E7668" s="1" t="str">
        <f>IFERROR(__xludf.DUMMYFUNCTION("GOOGLETRANSLATE(D7668,""PT"",""EN"")"),"Because of the fast service")</f>
        <v>Because of the fast service</v>
      </c>
    </row>
    <row r="7669" ht="14.25" customHeight="1">
      <c r="A7669" s="1">
        <v>100.0</v>
      </c>
      <c r="B7669" s="1" t="s">
        <v>3423</v>
      </c>
      <c r="C7669" s="1">
        <v>10.0</v>
      </c>
      <c r="D7669" s="2" t="s">
        <v>3524</v>
      </c>
      <c r="E7669" s="1" t="str">
        <f>IFERROR(__xludf.DUMMYFUNCTION("GOOGLETRANSLATE(D7669,""PT"",""EN"")"),"I can't even describe it. Very good perfect!")</f>
        <v>I can't even describe it. Very good perfect!</v>
      </c>
    </row>
    <row r="7670" ht="14.25" customHeight="1">
      <c r="A7670" s="1">
        <v>33.0</v>
      </c>
      <c r="B7670" s="1" t="s">
        <v>3423</v>
      </c>
      <c r="C7670" s="1">
        <v>0.0</v>
      </c>
      <c r="D7670" s="2" t="s">
        <v>3525</v>
      </c>
      <c r="E7670" s="1" t="str">
        <f>IFERROR(__xludf.DUMMYFUNCTION("GOOGLETRANSLATE(D7670,""PT"",""EN"")"),"I opened an account by downloading the Sicoob app. I received a credit card, in fact zero the limit; It is whenever I tried to make applications, or any bank movement, I was unsuccessful. I got tired of trying to access is uninstalled and threw the card o"&amp;"ut.")</f>
        <v>I opened an account by downloading the Sicoob app. I received a credit card, in fact zero the limit; It is whenever I tried to make applications, or any bank movement, I was unsuccessful. I got tired of trying to access is uninstalled and threw the card out.</v>
      </c>
    </row>
    <row r="7671" ht="14.25" customHeight="1">
      <c r="A7671" s="1">
        <v>100.0</v>
      </c>
      <c r="B7671" s="1" t="s">
        <v>3423</v>
      </c>
      <c r="C7671" s="1">
        <v>10.0</v>
      </c>
      <c r="D7671" s="1" t="s">
        <v>6</v>
      </c>
      <c r="E7671" s="1"/>
    </row>
    <row r="7672" ht="14.25" customHeight="1">
      <c r="A7672" s="1">
        <v>33.0</v>
      </c>
      <c r="B7672" s="1" t="s">
        <v>3423</v>
      </c>
      <c r="C7672" s="1">
        <v>6.0</v>
      </c>
      <c r="D7672" s="1" t="s">
        <v>6</v>
      </c>
      <c r="E7672" s="1"/>
    </row>
    <row r="7673" ht="14.25" customHeight="1">
      <c r="A7673" s="1">
        <v>33.0</v>
      </c>
      <c r="B7673" s="1" t="s">
        <v>3423</v>
      </c>
      <c r="C7673" s="1">
        <v>0.0</v>
      </c>
      <c r="D7673" s="1" t="s">
        <v>6</v>
      </c>
      <c r="E7673" s="1"/>
    </row>
    <row r="7674" ht="14.25" customHeight="1">
      <c r="A7674" s="1">
        <v>100.0</v>
      </c>
      <c r="B7674" s="1" t="s">
        <v>3423</v>
      </c>
      <c r="C7674" s="1">
        <v>10.0</v>
      </c>
      <c r="D7674" s="2" t="s">
        <v>3526</v>
      </c>
      <c r="E7674" s="1" t="str">
        <f>IFERROR(__xludf.DUMMYFUNCTION("GOOGLETRANSLATE(D7674,""PT"",""EN"")"),"I was always able to solve all the unforeseen events")</f>
        <v>I was always able to solve all the unforeseen events</v>
      </c>
    </row>
    <row r="7675" ht="14.25" customHeight="1">
      <c r="A7675" s="1">
        <v>66.0</v>
      </c>
      <c r="B7675" s="1" t="s">
        <v>3423</v>
      </c>
      <c r="C7675" s="1">
        <v>7.0</v>
      </c>
      <c r="D7675" s="1" t="s">
        <v>9</v>
      </c>
      <c r="E7675" s="1" t="str">
        <f>IFERROR(__xludf.DUMMYFUNCTION("GOOGLETRANSLATE(D7675,""PT"",""EN"")"),"10")</f>
        <v>10</v>
      </c>
    </row>
    <row r="7676" ht="14.25" customHeight="1">
      <c r="A7676" s="1">
        <v>33.0</v>
      </c>
      <c r="B7676" s="1" t="s">
        <v>3423</v>
      </c>
      <c r="C7676" s="1">
        <v>2.0</v>
      </c>
      <c r="D7676" s="1" t="s">
        <v>6</v>
      </c>
      <c r="E7676" s="1"/>
    </row>
    <row r="7677" ht="14.25" customHeight="1">
      <c r="A7677" s="1">
        <v>66.0</v>
      </c>
      <c r="B7677" s="1" t="s">
        <v>3423</v>
      </c>
      <c r="C7677" s="1">
        <v>8.0</v>
      </c>
      <c r="D7677" s="1" t="s">
        <v>85</v>
      </c>
      <c r="E7677" s="1" t="str">
        <f>IFERROR(__xludf.DUMMYFUNCTION("GOOGLETRANSLATE(D7677,""PT"",""EN"")"),"Service")</f>
        <v>Service</v>
      </c>
    </row>
    <row r="7678" ht="14.25" customHeight="1">
      <c r="A7678" s="1">
        <v>100.0</v>
      </c>
      <c r="B7678" s="1" t="s">
        <v>3423</v>
      </c>
      <c r="C7678" s="1">
        <v>10.0</v>
      </c>
      <c r="D7678" s="1" t="s">
        <v>20</v>
      </c>
      <c r="E7678" s="1" t="str">
        <f>IFERROR(__xludf.DUMMYFUNCTION("GOOGLETRANSLATE(D7678,""PT"",""EN"")"),"Very good")</f>
        <v>Very good</v>
      </c>
    </row>
    <row r="7679" ht="14.25" customHeight="1">
      <c r="A7679" s="1">
        <v>33.0</v>
      </c>
      <c r="B7679" s="1" t="s">
        <v>3423</v>
      </c>
      <c r="C7679" s="1">
        <v>6.0</v>
      </c>
      <c r="D7679" s="1" t="s">
        <v>6</v>
      </c>
      <c r="E7679" s="1"/>
    </row>
    <row r="7680" ht="14.25" customHeight="1">
      <c r="A7680" s="1">
        <v>33.0</v>
      </c>
      <c r="B7680" s="1" t="s">
        <v>3423</v>
      </c>
      <c r="C7680" s="1">
        <v>5.0</v>
      </c>
      <c r="D7680" s="1" t="s">
        <v>6</v>
      </c>
      <c r="E7680" s="1"/>
    </row>
    <row r="7681" ht="14.25" customHeight="1">
      <c r="A7681" s="1">
        <v>100.0</v>
      </c>
      <c r="B7681" s="1" t="s">
        <v>3423</v>
      </c>
      <c r="C7681" s="1">
        <v>10.0</v>
      </c>
      <c r="D7681" s="1" t="s">
        <v>6</v>
      </c>
      <c r="E7681" s="1"/>
    </row>
    <row r="7682" ht="14.25" customHeight="1">
      <c r="A7682" s="1">
        <v>33.0</v>
      </c>
      <c r="B7682" s="1" t="s">
        <v>3423</v>
      </c>
      <c r="C7682" s="1">
        <v>5.0</v>
      </c>
      <c r="D7682" s="1" t="s">
        <v>3527</v>
      </c>
      <c r="E7682" s="1" t="str">
        <f>IFERROR(__xludf.DUMMYFUNCTION("GOOGLETRANSLATE(D7682,""PT"",""EN"")"),"tough use platform")</f>
        <v>tough use platform</v>
      </c>
    </row>
    <row r="7683" ht="14.25" customHeight="1">
      <c r="A7683" s="1">
        <v>100.0</v>
      </c>
      <c r="B7683" s="1" t="s">
        <v>3423</v>
      </c>
      <c r="C7683" s="1">
        <v>10.0</v>
      </c>
      <c r="D7683" s="1" t="s">
        <v>3528</v>
      </c>
      <c r="E7683" s="1" t="str">
        <f>IFERROR(__xludf.DUMMYFUNCTION("GOOGLETRANSLATE(D7683,""PT"",""EN"")"),"arrived fast")</f>
        <v>arrived fast</v>
      </c>
    </row>
    <row r="7684" ht="14.25" customHeight="1">
      <c r="A7684" s="1">
        <v>100.0</v>
      </c>
      <c r="B7684" s="1" t="s">
        <v>3423</v>
      </c>
      <c r="C7684" s="1">
        <v>10.0</v>
      </c>
      <c r="D7684" s="1" t="s">
        <v>6</v>
      </c>
      <c r="E7684" s="1"/>
    </row>
    <row r="7685" ht="14.25" customHeight="1">
      <c r="A7685" s="1">
        <v>100.0</v>
      </c>
      <c r="B7685" s="1" t="s">
        <v>3423</v>
      </c>
      <c r="C7685" s="1">
        <v>10.0</v>
      </c>
      <c r="D7685" s="2" t="s">
        <v>3529</v>
      </c>
      <c r="E7685" s="1" t="str">
        <f>IFERROR(__xludf.DUMMYFUNCTION("GOOGLETRANSLATE(D7685,""PT"",""EN"")"),"App very fast is excellent employee services.")</f>
        <v>App very fast is excellent employee services.</v>
      </c>
    </row>
    <row r="7686" ht="14.25" customHeight="1">
      <c r="A7686" s="1">
        <v>100.0</v>
      </c>
      <c r="B7686" s="1" t="s">
        <v>3423</v>
      </c>
      <c r="C7686" s="1">
        <v>10.0</v>
      </c>
      <c r="D7686" s="1" t="s">
        <v>3530</v>
      </c>
      <c r="E7686" s="1" t="str">
        <f>IFERROR(__xludf.DUMMYFUNCTION("GOOGLETRANSLATE(D7686,""PT"",""EN"")"),"Great!!")</f>
        <v>Great!!</v>
      </c>
    </row>
    <row r="7687" ht="14.25" customHeight="1">
      <c r="A7687" s="1">
        <v>100.0</v>
      </c>
      <c r="B7687" s="1" t="s">
        <v>3423</v>
      </c>
      <c r="C7687" s="1">
        <v>10.0</v>
      </c>
      <c r="D7687" s="1" t="s">
        <v>6</v>
      </c>
      <c r="E7687" s="1"/>
    </row>
    <row r="7688" ht="14.25" customHeight="1">
      <c r="A7688" s="1">
        <v>33.0</v>
      </c>
      <c r="B7688" s="1" t="s">
        <v>3423</v>
      </c>
      <c r="C7688" s="1">
        <v>3.0</v>
      </c>
      <c r="D7688" s="2" t="s">
        <v>3531</v>
      </c>
      <c r="E7688" s="1" t="str">
        <f>IFERROR(__xludf.DUMMYFUNCTION("GOOGLETRANSLATE(D7688,""PT"",""EN"")"),"There are not many advantages not give a credit card release is or credit options")</f>
        <v>There are not many advantages not give a credit card release is or credit options</v>
      </c>
    </row>
    <row r="7689" ht="14.25" customHeight="1">
      <c r="A7689" s="1">
        <v>100.0</v>
      </c>
      <c r="B7689" s="1" t="s">
        <v>3423</v>
      </c>
      <c r="C7689" s="1">
        <v>10.0</v>
      </c>
      <c r="D7689" s="1" t="s">
        <v>6</v>
      </c>
      <c r="E7689" s="1"/>
    </row>
    <row r="7690" ht="14.25" customHeight="1">
      <c r="A7690" s="1">
        <v>33.0</v>
      </c>
      <c r="B7690" s="1" t="s">
        <v>3423</v>
      </c>
      <c r="C7690" s="1">
        <v>1.0</v>
      </c>
      <c r="D7690" s="1" t="s">
        <v>6</v>
      </c>
      <c r="E7690" s="1"/>
    </row>
    <row r="7691" ht="14.25" customHeight="1">
      <c r="A7691" s="1">
        <v>100.0</v>
      </c>
      <c r="B7691" s="1" t="s">
        <v>3423</v>
      </c>
      <c r="C7691" s="1">
        <v>10.0</v>
      </c>
      <c r="D7691" s="1" t="s">
        <v>3532</v>
      </c>
      <c r="E7691" s="1" t="str">
        <f>IFERROR(__xludf.DUMMYFUNCTION("GOOGLETRANSLATE(D7691,""PT"",""EN"")"),"good return to the cooperative, good service, without much bureaucracy")</f>
        <v>good return to the cooperative, good service, without much bureaucracy</v>
      </c>
    </row>
    <row r="7692" ht="14.25" customHeight="1">
      <c r="A7692" s="1">
        <v>100.0</v>
      </c>
      <c r="B7692" s="1" t="s">
        <v>3423</v>
      </c>
      <c r="C7692" s="1">
        <v>10.0</v>
      </c>
      <c r="D7692" s="2" t="s">
        <v>3533</v>
      </c>
      <c r="E7692" s="1" t="str">
        <f>IFERROR(__xludf.DUMMYFUNCTION("GOOGLETRANSLATE(D7692,""PT"",""EN"")"),"Fast service, super attentive team is taste to work with cooperative.")</f>
        <v>Fast service, super attentive team is taste to work with cooperative.</v>
      </c>
    </row>
    <row r="7693" ht="14.25" customHeight="1">
      <c r="A7693" s="1">
        <v>33.0</v>
      </c>
      <c r="B7693" s="1" t="s">
        <v>3423</v>
      </c>
      <c r="C7693" s="1">
        <v>5.0</v>
      </c>
      <c r="D7693" s="1" t="s">
        <v>6</v>
      </c>
      <c r="E7693" s="1"/>
    </row>
    <row r="7694" ht="14.25" customHeight="1">
      <c r="A7694" s="1">
        <v>100.0</v>
      </c>
      <c r="B7694" s="1" t="s">
        <v>3423</v>
      </c>
      <c r="C7694" s="1">
        <v>10.0</v>
      </c>
      <c r="D7694" s="1" t="s">
        <v>3534</v>
      </c>
      <c r="E7694" s="1" t="str">
        <f>IFERROR(__xludf.DUMMYFUNCTION("GOOGLETRANSLATE(D7694,""PT"",""EN"")"),"Excellent cooperative.")</f>
        <v>Excellent cooperative.</v>
      </c>
    </row>
    <row r="7695" ht="14.25" customHeight="1">
      <c r="A7695" s="1">
        <v>33.0</v>
      </c>
      <c r="B7695" s="1" t="s">
        <v>3423</v>
      </c>
      <c r="C7695" s="1">
        <v>0.0</v>
      </c>
      <c r="D7695" s="1" t="s">
        <v>6</v>
      </c>
      <c r="E7695" s="1"/>
    </row>
    <row r="7696" ht="14.25" customHeight="1">
      <c r="A7696" s="1">
        <v>33.0</v>
      </c>
      <c r="B7696" s="1" t="s">
        <v>3423</v>
      </c>
      <c r="C7696" s="1">
        <v>0.0</v>
      </c>
      <c r="D7696" s="1" t="s">
        <v>3535</v>
      </c>
      <c r="E7696" s="1" t="str">
        <f>IFERROR(__xludf.DUMMYFUNCTION("GOOGLETRANSLATE(D7696,""PT"",""EN"")"),"Never released me anything")</f>
        <v>Never released me anything</v>
      </c>
    </row>
    <row r="7697" ht="14.25" customHeight="1">
      <c r="A7697" s="1">
        <v>100.0</v>
      </c>
      <c r="B7697" s="1" t="s">
        <v>3423</v>
      </c>
      <c r="C7697" s="1">
        <v>10.0</v>
      </c>
      <c r="D7697" s="1" t="s">
        <v>3536</v>
      </c>
      <c r="E7697" s="1" t="str">
        <f>IFERROR(__xludf.DUMMYFUNCTION("GOOGLETRANSLATE(D7697,""PT"",""EN"")"),"Excellent Financial Cooperative")</f>
        <v>Excellent Financial Cooperative</v>
      </c>
    </row>
    <row r="7698" ht="14.25" customHeight="1">
      <c r="A7698" s="1">
        <v>100.0</v>
      </c>
      <c r="B7698" s="1" t="s">
        <v>3423</v>
      </c>
      <c r="C7698" s="1">
        <v>10.0</v>
      </c>
      <c r="D7698" s="1" t="s">
        <v>62</v>
      </c>
      <c r="E7698" s="1" t="str">
        <f>IFERROR(__xludf.DUMMYFUNCTION("GOOGLETRANSLATE(D7698,""PT"",""EN"")"),"Good service")</f>
        <v>Good service</v>
      </c>
    </row>
    <row r="7699" ht="14.25" customHeight="1">
      <c r="A7699" s="1">
        <v>100.0</v>
      </c>
      <c r="B7699" s="1" t="s">
        <v>3423</v>
      </c>
      <c r="C7699" s="1">
        <v>10.0</v>
      </c>
      <c r="D7699" s="2" t="s">
        <v>3537</v>
      </c>
      <c r="E7699" s="1" t="str">
        <f>IFERROR(__xludf.DUMMYFUNCTION("GOOGLETRANSLATE(D7699,""PT"",""EN"")"),"Excellent products and service.")</f>
        <v>Excellent products and service.</v>
      </c>
    </row>
    <row r="7700" ht="14.25" customHeight="1">
      <c r="A7700" s="1">
        <v>100.0</v>
      </c>
      <c r="B7700" s="1" t="s">
        <v>3423</v>
      </c>
      <c r="C7700" s="1">
        <v>10.0</v>
      </c>
      <c r="D7700" s="1" t="s">
        <v>6</v>
      </c>
      <c r="E7700" s="1"/>
    </row>
    <row r="7701" ht="14.25" customHeight="1">
      <c r="A7701" s="1">
        <v>100.0</v>
      </c>
      <c r="B7701" s="1" t="s">
        <v>3423</v>
      </c>
      <c r="C7701" s="1">
        <v>10.0</v>
      </c>
      <c r="D7701" s="1" t="s">
        <v>6</v>
      </c>
      <c r="E7701" s="1"/>
    </row>
    <row r="7702" ht="14.25" customHeight="1">
      <c r="A7702" s="1">
        <v>33.0</v>
      </c>
      <c r="B7702" s="1" t="s">
        <v>3423</v>
      </c>
      <c r="C7702" s="1">
        <v>3.0</v>
      </c>
      <c r="D7702" s="1" t="s">
        <v>6</v>
      </c>
      <c r="E7702" s="1"/>
    </row>
    <row r="7703" ht="14.25" customHeight="1">
      <c r="A7703" s="1">
        <v>100.0</v>
      </c>
      <c r="B7703" s="1" t="s">
        <v>3423</v>
      </c>
      <c r="C7703" s="1">
        <v>10.0</v>
      </c>
      <c r="D7703" s="1" t="s">
        <v>6</v>
      </c>
      <c r="E7703" s="1"/>
    </row>
    <row r="7704" ht="14.25" customHeight="1">
      <c r="A7704" s="1">
        <v>33.0</v>
      </c>
      <c r="B7704" s="1" t="s">
        <v>3423</v>
      </c>
      <c r="C7704" s="1">
        <v>0.0</v>
      </c>
      <c r="D7704" s="1" t="s">
        <v>6</v>
      </c>
      <c r="E7704" s="1"/>
    </row>
    <row r="7705" ht="14.25" customHeight="1">
      <c r="A7705" s="1">
        <v>100.0</v>
      </c>
      <c r="B7705" s="1" t="s">
        <v>3423</v>
      </c>
      <c r="C7705" s="1">
        <v>10.0</v>
      </c>
      <c r="D7705" s="1" t="s">
        <v>6</v>
      </c>
      <c r="E7705" s="1"/>
    </row>
    <row r="7706" ht="14.25" customHeight="1">
      <c r="A7706" s="1">
        <v>33.0</v>
      </c>
      <c r="B7706" s="1" t="s">
        <v>3423</v>
      </c>
      <c r="C7706" s="1">
        <v>0.0</v>
      </c>
      <c r="D7706" s="2" t="s">
        <v>3538</v>
      </c>
      <c r="E7706" s="1" t="str">
        <f>IFERROR(__xludf.DUMMYFUNCTION("GOOGLETRANSLATE(D7706,""PT"",""EN"")"),"Credit I got with Sicoob = 0")</f>
        <v>Credit I got with Sicoob = 0</v>
      </c>
    </row>
    <row r="7707" ht="14.25" customHeight="1">
      <c r="A7707" s="1">
        <v>33.0</v>
      </c>
      <c r="B7707" s="1" t="s">
        <v>3423</v>
      </c>
      <c r="C7707" s="1">
        <v>6.0</v>
      </c>
      <c r="D7707" s="1" t="s">
        <v>6</v>
      </c>
      <c r="E7707" s="1"/>
    </row>
    <row r="7708" ht="14.25" customHeight="1">
      <c r="A7708" s="1">
        <v>66.0</v>
      </c>
      <c r="B7708" s="1" t="s">
        <v>3423</v>
      </c>
      <c r="C7708" s="1">
        <v>8.0</v>
      </c>
      <c r="D7708" s="1" t="s">
        <v>3539</v>
      </c>
      <c r="E7708" s="1" t="str">
        <f>IFERROR(__xludf.DUMMYFUNCTION("GOOGLETRANSLATE(D7708,""PT"",""EN"")"),"Very good bank.")</f>
        <v>Very good bank.</v>
      </c>
    </row>
    <row r="7709" ht="14.25" customHeight="1">
      <c r="A7709" s="1">
        <v>33.0</v>
      </c>
      <c r="B7709" s="1" t="s">
        <v>3423</v>
      </c>
      <c r="C7709" s="1">
        <v>1.0</v>
      </c>
      <c r="D7709" s="1" t="s">
        <v>6</v>
      </c>
      <c r="E7709" s="1"/>
    </row>
    <row r="7710" ht="14.25" customHeight="1">
      <c r="A7710" s="1">
        <v>66.0</v>
      </c>
      <c r="B7710" s="1" t="s">
        <v>3423</v>
      </c>
      <c r="C7710" s="1">
        <v>8.0</v>
      </c>
      <c r="D7710" s="2" t="s">
        <v>3540</v>
      </c>
      <c r="E7710" s="1" t="str">
        <f>IFERROR(__xludf.DUMMYFUNCTION("GOOGLETRANSLATE(D7710,""PT"",""EN"")"),"Commitment is ethical.")</f>
        <v>Commitment is ethical.</v>
      </c>
    </row>
    <row r="7711" ht="14.25" customHeight="1">
      <c r="A7711" s="1">
        <v>100.0</v>
      </c>
      <c r="B7711" s="1" t="s">
        <v>3423</v>
      </c>
      <c r="C7711" s="1">
        <v>10.0</v>
      </c>
      <c r="D7711" s="1" t="s">
        <v>6</v>
      </c>
      <c r="E7711" s="1"/>
    </row>
    <row r="7712" ht="14.25" customHeight="1">
      <c r="A7712" s="1">
        <v>100.0</v>
      </c>
      <c r="B7712" s="1" t="s">
        <v>3423</v>
      </c>
      <c r="C7712" s="1">
        <v>10.0</v>
      </c>
      <c r="D7712" s="1" t="s">
        <v>6</v>
      </c>
      <c r="E7712" s="1"/>
    </row>
    <row r="7713" ht="14.25" customHeight="1">
      <c r="A7713" s="1">
        <v>33.0</v>
      </c>
      <c r="B7713" s="1" t="s">
        <v>3423</v>
      </c>
      <c r="C7713" s="1">
        <v>2.0</v>
      </c>
      <c r="D7713" s="1" t="s">
        <v>6</v>
      </c>
      <c r="E7713" s="1"/>
    </row>
    <row r="7714" ht="14.25" customHeight="1">
      <c r="A7714" s="1">
        <v>100.0</v>
      </c>
      <c r="B7714" s="1" t="s">
        <v>3423</v>
      </c>
      <c r="C7714" s="1">
        <v>10.0</v>
      </c>
      <c r="D7714" s="1" t="s">
        <v>6</v>
      </c>
      <c r="E7714" s="1"/>
    </row>
    <row r="7715" ht="14.25" customHeight="1">
      <c r="A7715" s="1">
        <v>100.0</v>
      </c>
      <c r="B7715" s="1" t="s">
        <v>3423</v>
      </c>
      <c r="C7715" s="1">
        <v>10.0</v>
      </c>
      <c r="D7715" s="1" t="s">
        <v>6</v>
      </c>
      <c r="E7715" s="1"/>
    </row>
    <row r="7716" ht="14.25" customHeight="1">
      <c r="A7716" s="1">
        <v>100.0</v>
      </c>
      <c r="B7716" s="1" t="s">
        <v>3423</v>
      </c>
      <c r="C7716" s="1">
        <v>10.0</v>
      </c>
      <c r="D7716" s="1" t="s">
        <v>3541</v>
      </c>
      <c r="E7716" s="1" t="str">
        <f>IFERROR(__xludf.DUMMYFUNCTION("GOOGLETRANSLATE(D7716,""PT"",""EN"")"),"Very good to work with this cooperative")</f>
        <v>Very good to work with this cooperative</v>
      </c>
    </row>
    <row r="7717" ht="14.25" customHeight="1">
      <c r="A7717" s="1">
        <v>33.0</v>
      </c>
      <c r="B7717" s="1" t="s">
        <v>3423</v>
      </c>
      <c r="C7717" s="1">
        <v>0.0</v>
      </c>
      <c r="D7717" s="1" t="s">
        <v>6</v>
      </c>
      <c r="E7717" s="1"/>
    </row>
    <row r="7718" ht="14.25" customHeight="1">
      <c r="A7718" s="1">
        <v>100.0</v>
      </c>
      <c r="B7718" s="1" t="s">
        <v>3423</v>
      </c>
      <c r="C7718" s="1">
        <v>10.0</v>
      </c>
      <c r="D7718" s="1" t="s">
        <v>6</v>
      </c>
      <c r="E7718" s="1"/>
    </row>
    <row r="7719" ht="14.25" customHeight="1">
      <c r="A7719" s="1">
        <v>100.0</v>
      </c>
      <c r="B7719" s="1" t="s">
        <v>3423</v>
      </c>
      <c r="C7719" s="1">
        <v>10.0</v>
      </c>
      <c r="D7719" s="1" t="s">
        <v>3542</v>
      </c>
      <c r="E7719" s="1" t="str">
        <f>IFERROR(__xludf.DUMMYFUNCTION("GOOGLETRANSLATE(D7719,""PT"",""EN"")"),"Very good application, great service")</f>
        <v>Very good application, great service</v>
      </c>
    </row>
    <row r="7720" ht="14.25" customHeight="1">
      <c r="A7720" s="1">
        <v>100.0</v>
      </c>
      <c r="B7720" s="1" t="s">
        <v>3423</v>
      </c>
      <c r="C7720" s="1">
        <v>9.0</v>
      </c>
      <c r="D7720" s="1" t="s">
        <v>6</v>
      </c>
      <c r="E7720" s="1"/>
    </row>
    <row r="7721" ht="14.25" customHeight="1">
      <c r="A7721" s="1">
        <v>100.0</v>
      </c>
      <c r="B7721" s="1" t="s">
        <v>3423</v>
      </c>
      <c r="C7721" s="1">
        <v>10.0</v>
      </c>
      <c r="D7721" s="2" t="s">
        <v>3543</v>
      </c>
      <c r="E7721" s="1" t="str">
        <f>IFERROR(__xludf.DUMMYFUNCTION("GOOGLETRANSLATE(D7721,""PT"",""EN"")"),"Service is cordially, differentiated treatment.")</f>
        <v>Service is cordially, differentiated treatment.</v>
      </c>
    </row>
    <row r="7722" ht="14.25" customHeight="1">
      <c r="A7722" s="1">
        <v>100.0</v>
      </c>
      <c r="B7722" s="1" t="s">
        <v>3423</v>
      </c>
      <c r="C7722" s="1">
        <v>10.0</v>
      </c>
      <c r="D7722" s="1" t="s">
        <v>2148</v>
      </c>
      <c r="E7722" s="1" t="str">
        <f>IFERROR(__xludf.DUMMYFUNCTION("GOOGLETRANSLATE(D7722,""PT"",""EN"")"),"Excellent bank")</f>
        <v>Excellent bank</v>
      </c>
    </row>
    <row r="7723" ht="14.25" customHeight="1">
      <c r="A7723" s="1">
        <v>100.0</v>
      </c>
      <c r="B7723" s="1" t="s">
        <v>3423</v>
      </c>
      <c r="C7723" s="1">
        <v>10.0</v>
      </c>
      <c r="D7723" s="2" t="s">
        <v>3544</v>
      </c>
      <c r="E7723" s="1" t="str">
        <f>IFERROR(__xludf.DUMMYFUNCTION("GOOGLETRANSLATE(D7723,""PT"",""EN"")"),"Excellent service, perfect for those who are running")</f>
        <v>Excellent service, perfect for those who are running</v>
      </c>
    </row>
    <row r="7724" ht="14.25" customHeight="1">
      <c r="A7724" s="1">
        <v>100.0</v>
      </c>
      <c r="B7724" s="1" t="s">
        <v>3423</v>
      </c>
      <c r="C7724" s="1">
        <v>9.0</v>
      </c>
      <c r="D7724" s="1" t="s">
        <v>3545</v>
      </c>
      <c r="E7724" s="1" t="str">
        <f>IFERROR(__xludf.DUMMYFUNCTION("GOOGLETRANSLATE(D7724,""PT"",""EN"")"),"It's a good bank!")</f>
        <v>It's a good bank!</v>
      </c>
    </row>
    <row r="7725" ht="14.25" customHeight="1">
      <c r="A7725" s="1">
        <v>66.0</v>
      </c>
      <c r="B7725" s="1" t="s">
        <v>3423</v>
      </c>
      <c r="C7725" s="1">
        <v>7.0</v>
      </c>
      <c r="D7725" s="1" t="s">
        <v>6</v>
      </c>
      <c r="E7725" s="1"/>
    </row>
    <row r="7726" ht="14.25" customHeight="1">
      <c r="A7726" s="1">
        <v>33.0</v>
      </c>
      <c r="B7726" s="1" t="s">
        <v>3423</v>
      </c>
      <c r="C7726" s="1">
        <v>0.0</v>
      </c>
      <c r="D7726" s="1" t="s">
        <v>6</v>
      </c>
      <c r="E7726" s="1"/>
    </row>
    <row r="7727" ht="14.25" customHeight="1">
      <c r="A7727" s="1">
        <v>33.0</v>
      </c>
      <c r="B7727" s="1" t="s">
        <v>3423</v>
      </c>
      <c r="C7727" s="1">
        <v>0.0</v>
      </c>
      <c r="D7727" s="1" t="s">
        <v>6</v>
      </c>
      <c r="E7727" s="1"/>
    </row>
    <row r="7728" ht="14.25" customHeight="1">
      <c r="A7728" s="1">
        <v>100.0</v>
      </c>
      <c r="B7728" s="1" t="s">
        <v>3423</v>
      </c>
      <c r="C7728" s="1">
        <v>10.0</v>
      </c>
      <c r="D7728" s="2" t="s">
        <v>3546</v>
      </c>
      <c r="E7728" s="1" t="str">
        <f>IFERROR(__xludf.DUMMYFUNCTION("GOOGLETRANSLATE(D7728,""PT"",""EN"")"),"Cooperation is the secret of growth !!")</f>
        <v>Cooperation is the secret of growth !!</v>
      </c>
    </row>
    <row r="7729" ht="14.25" customHeight="1">
      <c r="A7729" s="1">
        <v>33.0</v>
      </c>
      <c r="B7729" s="1" t="s">
        <v>3423</v>
      </c>
      <c r="C7729" s="1">
        <v>0.0</v>
      </c>
      <c r="D7729" s="1" t="s">
        <v>6</v>
      </c>
      <c r="E7729" s="1"/>
    </row>
    <row r="7730" ht="14.25" customHeight="1">
      <c r="A7730" s="1">
        <v>100.0</v>
      </c>
      <c r="B7730" s="1" t="s">
        <v>3423</v>
      </c>
      <c r="C7730" s="1">
        <v>10.0</v>
      </c>
      <c r="D7730" s="1" t="s">
        <v>9</v>
      </c>
      <c r="E7730" s="1" t="str">
        <f>IFERROR(__xludf.DUMMYFUNCTION("GOOGLETRANSLATE(D7730,""PT"",""EN"")"),"10")</f>
        <v>10</v>
      </c>
    </row>
    <row r="7731" ht="14.25" customHeight="1">
      <c r="A7731" s="1">
        <v>100.0</v>
      </c>
      <c r="B7731" s="1" t="s">
        <v>3423</v>
      </c>
      <c r="C7731" s="1">
        <v>10.0</v>
      </c>
      <c r="D7731" s="1" t="s">
        <v>6</v>
      </c>
      <c r="E7731" s="1"/>
    </row>
    <row r="7732" ht="14.25" customHeight="1">
      <c r="A7732" s="1">
        <v>100.0</v>
      </c>
      <c r="B7732" s="1" t="s">
        <v>3423</v>
      </c>
      <c r="C7732" s="1">
        <v>10.0</v>
      </c>
      <c r="D7732" s="1" t="s">
        <v>3547</v>
      </c>
      <c r="E7732" s="1" t="str">
        <f>IFERROR(__xludf.DUMMYFUNCTION("GOOGLETRANSLATE(D7732,""PT"",""EN"")"),"It has always helped me in my needs.")</f>
        <v>It has always helped me in my needs.</v>
      </c>
    </row>
    <row r="7733" ht="14.25" customHeight="1">
      <c r="A7733" s="1">
        <v>33.0</v>
      </c>
      <c r="B7733" s="1" t="s">
        <v>3423</v>
      </c>
      <c r="C7733" s="1">
        <v>2.0</v>
      </c>
      <c r="D7733" s="1" t="s">
        <v>6</v>
      </c>
      <c r="E7733" s="1"/>
    </row>
    <row r="7734" ht="14.25" customHeight="1">
      <c r="A7734" s="1">
        <v>100.0</v>
      </c>
      <c r="B7734" s="1" t="s">
        <v>3423</v>
      </c>
      <c r="C7734" s="1">
        <v>10.0</v>
      </c>
      <c r="D7734" s="1" t="s">
        <v>6</v>
      </c>
      <c r="E7734" s="1"/>
    </row>
    <row r="7735" ht="14.25" customHeight="1">
      <c r="A7735" s="1">
        <v>100.0</v>
      </c>
      <c r="B7735" s="1" t="s">
        <v>3423</v>
      </c>
      <c r="C7735" s="1">
        <v>9.0</v>
      </c>
      <c r="D7735" s="1" t="s">
        <v>6</v>
      </c>
      <c r="E7735" s="1"/>
    </row>
    <row r="7736" ht="14.25" customHeight="1">
      <c r="A7736" s="1">
        <v>100.0</v>
      </c>
      <c r="B7736" s="1" t="s">
        <v>3423</v>
      </c>
      <c r="C7736" s="1">
        <v>9.0</v>
      </c>
      <c r="D7736" s="1" t="s">
        <v>6</v>
      </c>
      <c r="E7736" s="1"/>
    </row>
    <row r="7737" ht="14.25" customHeight="1">
      <c r="A7737" s="1">
        <v>33.0</v>
      </c>
      <c r="B7737" s="1" t="s">
        <v>3423</v>
      </c>
      <c r="C7737" s="1">
        <v>0.0</v>
      </c>
      <c r="D7737" s="1" t="s">
        <v>3548</v>
      </c>
      <c r="E7737" s="1" t="str">
        <f>IFERROR(__xludf.DUMMYFUNCTION("GOOGLETRANSLATE(D7737,""PT"",""EN"")"),"Neglect with the customer")</f>
        <v>Neglect with the customer</v>
      </c>
    </row>
    <row r="7738" ht="14.25" customHeight="1">
      <c r="A7738" s="1">
        <v>33.0</v>
      </c>
      <c r="B7738" s="1" t="s">
        <v>3423</v>
      </c>
      <c r="C7738" s="1">
        <v>0.0</v>
      </c>
      <c r="D7738" s="2" t="s">
        <v>3549</v>
      </c>
      <c r="E7738" s="1" t="str">
        <f>IFERROR(__xludf.DUMMYFUNCTION("GOOGLETRANSLATE(D7738,""PT"",""EN"")"),"Application has been the same since 2011, has to go to the automatic cashier to unlock devices. Sicoobnet Business Application All Buggada among other things, such as product information and the like. The feeling it gives is that it has left a long time t"&amp;"o be a cooperative focused on its associates, just wants to push product to profit is often what the associate really needs can not. At the time I had to open in Sicoob because it was the only one that would not charge maintenance monthly to have the bill"&amp;", but it was even good to send this research for me to look for any other institution")</f>
        <v>Application has been the same since 2011, has to go to the automatic cashier to unlock devices. Sicoobnet Business Application All Buggada among other things, such as product information and the like. The feeling it gives is that it has left a long time to be a cooperative focused on its associates, just wants to push product to profit is often what the associate really needs can not. At the time I had to open in Sicoob because it was the only one that would not charge maintenance monthly to have the bill, but it was even good to send this research for me to look for any other institution</v>
      </c>
    </row>
    <row r="7739" ht="14.25" customHeight="1">
      <c r="A7739" s="1">
        <v>66.0</v>
      </c>
      <c r="B7739" s="1" t="s">
        <v>3423</v>
      </c>
      <c r="C7739" s="1">
        <v>8.0</v>
      </c>
      <c r="D7739" s="1" t="s">
        <v>6</v>
      </c>
      <c r="E7739" s="1"/>
    </row>
    <row r="7740" ht="14.25" customHeight="1">
      <c r="A7740" s="1">
        <v>100.0</v>
      </c>
      <c r="B7740" s="1" t="s">
        <v>3423</v>
      </c>
      <c r="C7740" s="1">
        <v>9.0</v>
      </c>
      <c r="D7740" s="1" t="s">
        <v>3126</v>
      </c>
      <c r="E7740" s="1" t="str">
        <f>IFERROR(__xludf.DUMMYFUNCTION("GOOGLETRANSLATE(D7740,""PT"",""EN"")"),"Trust.")</f>
        <v>Trust.</v>
      </c>
    </row>
    <row r="7741" ht="14.25" customHeight="1">
      <c r="A7741" s="1">
        <v>100.0</v>
      </c>
      <c r="B7741" s="1" t="s">
        <v>3423</v>
      </c>
      <c r="C7741" s="1">
        <v>10.0</v>
      </c>
      <c r="D7741" s="1" t="s">
        <v>6</v>
      </c>
      <c r="E7741" s="1"/>
    </row>
    <row r="7742" ht="14.25" customHeight="1">
      <c r="A7742" s="1">
        <v>33.0</v>
      </c>
      <c r="B7742" s="1" t="s">
        <v>3423</v>
      </c>
      <c r="C7742" s="1">
        <v>0.0</v>
      </c>
      <c r="D7742" s="2" t="s">
        <v>3550</v>
      </c>
      <c r="E7742" s="1" t="str">
        <f>IFERROR(__xludf.DUMMYFUNCTION("GOOGLETRANSLATE(D7742,""PT"",""EN"")"),"I have high score, I have an account on other banks. It's just not offered a credit card.")</f>
        <v>I have high score, I have an account on other banks. It's just not offered a credit card.</v>
      </c>
    </row>
    <row r="7743" ht="14.25" customHeight="1">
      <c r="A7743" s="1">
        <v>100.0</v>
      </c>
      <c r="B7743" s="1" t="s">
        <v>3423</v>
      </c>
      <c r="C7743" s="1">
        <v>10.0</v>
      </c>
      <c r="D7743" s="1" t="s">
        <v>6</v>
      </c>
      <c r="E7743" s="1"/>
    </row>
    <row r="7744" ht="14.25" customHeight="1">
      <c r="A7744" s="1">
        <v>100.0</v>
      </c>
      <c r="B7744" s="1" t="s">
        <v>3423</v>
      </c>
      <c r="C7744" s="1">
        <v>10.0</v>
      </c>
      <c r="D7744" s="1" t="s">
        <v>9</v>
      </c>
      <c r="E7744" s="1" t="str">
        <f>IFERROR(__xludf.DUMMYFUNCTION("GOOGLETRANSLATE(D7744,""PT"",""EN"")"),"10")</f>
        <v>10</v>
      </c>
    </row>
    <row r="7745" ht="14.25" customHeight="1">
      <c r="A7745" s="1">
        <v>66.0</v>
      </c>
      <c r="B7745" s="1" t="s">
        <v>3423</v>
      </c>
      <c r="C7745" s="1">
        <v>8.0</v>
      </c>
      <c r="D7745" s="1" t="s">
        <v>6</v>
      </c>
      <c r="E7745" s="1"/>
    </row>
    <row r="7746" ht="14.25" customHeight="1">
      <c r="A7746" s="1">
        <v>33.0</v>
      </c>
      <c r="B7746" s="1" t="s">
        <v>3423</v>
      </c>
      <c r="C7746" s="1">
        <v>0.0</v>
      </c>
      <c r="D7746" s="2" t="s">
        <v>3551</v>
      </c>
      <c r="E7746" s="1" t="str">
        <f>IFERROR(__xludf.DUMMYFUNCTION("GOOGLETRANSLATE(D7746,""PT"",""EN"")"),"Bad bank to make agreement, prefers to be in the prejudice!")</f>
        <v>Bad bank to make agreement, prefers to be in the prejudice!</v>
      </c>
    </row>
    <row r="7747" ht="14.25" customHeight="1">
      <c r="A7747" s="1">
        <v>33.0</v>
      </c>
      <c r="B7747" s="1" t="s">
        <v>3423</v>
      </c>
      <c r="C7747" s="1">
        <v>0.0</v>
      </c>
      <c r="D7747" s="2" t="s">
        <v>3026</v>
      </c>
      <c r="E7747" s="1" t="str">
        <f>IFERROR(__xludf.DUMMYFUNCTION("GOOGLETRANSLATE(D7747,""PT"",""EN"")"),"No good")</f>
        <v>No good</v>
      </c>
    </row>
    <row r="7748" ht="14.25" customHeight="1">
      <c r="A7748" s="1">
        <v>100.0</v>
      </c>
      <c r="B7748" s="1" t="s">
        <v>3423</v>
      </c>
      <c r="C7748" s="1">
        <v>10.0</v>
      </c>
      <c r="D7748" s="1" t="s">
        <v>3552</v>
      </c>
      <c r="E7748" s="1" t="str">
        <f>IFERROR(__xludf.DUMMYFUNCTION("GOOGLETRANSLATE(D7748,""PT"",""EN"")"),"Great bank")</f>
        <v>Great bank</v>
      </c>
    </row>
    <row r="7749" ht="14.25" customHeight="1">
      <c r="A7749" s="1">
        <v>66.0</v>
      </c>
      <c r="B7749" s="1" t="s">
        <v>3423</v>
      </c>
      <c r="C7749" s="1">
        <v>8.0</v>
      </c>
      <c r="D7749" s="1" t="s">
        <v>6</v>
      </c>
      <c r="E7749" s="1"/>
    </row>
    <row r="7750" ht="14.25" customHeight="1">
      <c r="A7750" s="1">
        <v>66.0</v>
      </c>
      <c r="B7750" s="1" t="s">
        <v>3423</v>
      </c>
      <c r="C7750" s="1">
        <v>8.0</v>
      </c>
      <c r="D7750" s="1" t="s">
        <v>6</v>
      </c>
      <c r="E7750" s="1"/>
    </row>
    <row r="7751" ht="14.25" customHeight="1">
      <c r="A7751" s="1">
        <v>100.0</v>
      </c>
      <c r="B7751" s="1" t="s">
        <v>3423</v>
      </c>
      <c r="C7751" s="1">
        <v>10.0</v>
      </c>
      <c r="D7751" s="1" t="s">
        <v>6</v>
      </c>
      <c r="E7751" s="1"/>
    </row>
    <row r="7752" ht="14.25" customHeight="1">
      <c r="A7752" s="1">
        <v>100.0</v>
      </c>
      <c r="B7752" s="1" t="s">
        <v>3423</v>
      </c>
      <c r="C7752" s="1">
        <v>10.0</v>
      </c>
      <c r="D7752" s="1" t="s">
        <v>6</v>
      </c>
      <c r="E7752" s="1"/>
    </row>
    <row r="7753" ht="14.25" customHeight="1">
      <c r="A7753" s="1">
        <v>33.0</v>
      </c>
      <c r="B7753" s="1" t="s">
        <v>3423</v>
      </c>
      <c r="C7753" s="1">
        <v>1.0</v>
      </c>
      <c r="D7753" s="1" t="s">
        <v>6</v>
      </c>
      <c r="E7753" s="1"/>
    </row>
    <row r="7754" ht="14.25" customHeight="1">
      <c r="A7754" s="1">
        <v>100.0</v>
      </c>
      <c r="B7754" s="1" t="s">
        <v>3423</v>
      </c>
      <c r="C7754" s="1">
        <v>10.0</v>
      </c>
      <c r="D7754" s="1" t="s">
        <v>6</v>
      </c>
      <c r="E7754" s="1"/>
    </row>
    <row r="7755" ht="14.25" customHeight="1">
      <c r="A7755" s="1">
        <v>100.0</v>
      </c>
      <c r="B7755" s="1" t="s">
        <v>3423</v>
      </c>
      <c r="C7755" s="1">
        <v>10.0</v>
      </c>
      <c r="D7755" s="2" t="s">
        <v>3553</v>
      </c>
      <c r="E7755" s="1" t="str">
        <f>IFERROR(__xludf.DUMMYFUNCTION("GOOGLETRANSLATE(D7755,""PT"",""EN"")"),"Good service is return of our doubts.")</f>
        <v>Good service is return of our doubts.</v>
      </c>
    </row>
    <row r="7756" ht="14.25" customHeight="1">
      <c r="A7756" s="1">
        <v>100.0</v>
      </c>
      <c r="B7756" s="1" t="s">
        <v>3423</v>
      </c>
      <c r="C7756" s="1">
        <v>10.0</v>
      </c>
      <c r="D7756" s="1" t="s">
        <v>3554</v>
      </c>
      <c r="E7756" s="1" t="str">
        <f>IFERROR(__xludf.DUMMYFUNCTION("GOOGLETRANSLATE(D7756,""PT"",""EN"")"),"Nothing 10")</f>
        <v>Nothing 10</v>
      </c>
    </row>
    <row r="7757" ht="14.25" customHeight="1">
      <c r="A7757" s="1">
        <v>33.0</v>
      </c>
      <c r="B7757" s="1" t="s">
        <v>3423</v>
      </c>
      <c r="C7757" s="1">
        <v>1.0</v>
      </c>
      <c r="D7757" s="2" t="s">
        <v>3555</v>
      </c>
      <c r="E7757" s="1" t="str">
        <f>IFERROR(__xludf.DUMMYFUNCTION("GOOGLETRANSLATE(D7757,""PT"",""EN"")"),"Absence of credit")</f>
        <v>Absence of credit</v>
      </c>
    </row>
    <row r="7758" ht="14.25" customHeight="1">
      <c r="A7758" s="1">
        <v>100.0</v>
      </c>
      <c r="B7758" s="1" t="s">
        <v>3423</v>
      </c>
      <c r="C7758" s="1">
        <v>10.0</v>
      </c>
      <c r="D7758" s="1" t="s">
        <v>6</v>
      </c>
      <c r="E7758" s="1"/>
    </row>
    <row r="7759" ht="14.25" customHeight="1">
      <c r="A7759" s="1">
        <v>33.0</v>
      </c>
      <c r="B7759" s="1" t="s">
        <v>3423</v>
      </c>
      <c r="C7759" s="1">
        <v>0.0</v>
      </c>
      <c r="D7759" s="1" t="s">
        <v>901</v>
      </c>
      <c r="E7759" s="1"/>
    </row>
    <row r="7760" ht="14.25" customHeight="1">
      <c r="A7760" s="1">
        <v>100.0</v>
      </c>
      <c r="B7760" s="1" t="s">
        <v>3423</v>
      </c>
      <c r="C7760" s="1">
        <v>10.0</v>
      </c>
      <c r="D7760" s="1" t="s">
        <v>6</v>
      </c>
      <c r="E7760" s="1"/>
    </row>
    <row r="7761" ht="14.25" customHeight="1">
      <c r="A7761" s="1">
        <v>100.0</v>
      </c>
      <c r="B7761" s="1" t="s">
        <v>3423</v>
      </c>
      <c r="C7761" s="1">
        <v>10.0</v>
      </c>
      <c r="D7761" s="2" t="s">
        <v>3556</v>
      </c>
      <c r="E7761" s="1" t="str">
        <f>IFERROR(__xludf.DUMMYFUNCTION("GOOGLETRANSLATE(D7761,""PT"",""EN"")"),"Good service and attention with members")</f>
        <v>Good service and attention with members</v>
      </c>
    </row>
    <row r="7762" ht="14.25" customHeight="1">
      <c r="A7762" s="1">
        <v>33.0</v>
      </c>
      <c r="B7762" s="1" t="s">
        <v>3423</v>
      </c>
      <c r="C7762" s="1">
        <v>0.0</v>
      </c>
      <c r="D7762" s="2" t="s">
        <v>3557</v>
      </c>
      <c r="E7762" s="1" t="str">
        <f>IFERROR(__xludf.DUMMYFUNCTION("GOOGLETRANSLATE(D7762,""PT"",""EN"")"),"The bank has preferred by customers")</f>
        <v>The bank has preferred by customers</v>
      </c>
    </row>
    <row r="7763" ht="14.25" customHeight="1">
      <c r="A7763" s="1">
        <v>100.0</v>
      </c>
      <c r="B7763" s="1" t="s">
        <v>3423</v>
      </c>
      <c r="C7763" s="1">
        <v>10.0</v>
      </c>
      <c r="D7763" s="2" t="s">
        <v>3558</v>
      </c>
      <c r="E7763" s="1" t="str">
        <f>IFERROR(__xludf.DUMMYFUNCTION("GOOGLETRANSLATE(D7763,""PT"",""EN"")"),"I am already from the Sicoob System, as a CCS collaborator is to have the opportunity to adhere to a cooperative, was an old intention now performed precisely by the values ​​and principles of the system.")</f>
        <v>I am already from the Sicoob System, as a CCS collaborator is to have the opportunity to adhere to a cooperative, was an old intention now performed precisely by the values ​​and principles of the system.</v>
      </c>
    </row>
    <row r="7764" ht="14.25" customHeight="1">
      <c r="A7764" s="1">
        <v>100.0</v>
      </c>
      <c r="B7764" s="1" t="s">
        <v>3423</v>
      </c>
      <c r="C7764" s="1">
        <v>9.0</v>
      </c>
      <c r="D7764" s="1" t="s">
        <v>3559</v>
      </c>
      <c r="E7764" s="1" t="str">
        <f>IFERROR(__xludf.DUMMYFUNCTION("GOOGLETRANSLATE(D7764,""PT"",""EN"")"),"Reliable institution")</f>
        <v>Reliable institution</v>
      </c>
    </row>
    <row r="7765" ht="14.25" customHeight="1">
      <c r="A7765" s="1">
        <v>100.0</v>
      </c>
      <c r="B7765" s="1" t="s">
        <v>3423</v>
      </c>
      <c r="C7765" s="1">
        <v>10.0</v>
      </c>
      <c r="D7765" s="1" t="s">
        <v>6</v>
      </c>
      <c r="E7765" s="1"/>
    </row>
    <row r="7766" ht="14.25" customHeight="1">
      <c r="A7766" s="1">
        <v>100.0</v>
      </c>
      <c r="B7766" s="1" t="s">
        <v>3423</v>
      </c>
      <c r="C7766" s="1">
        <v>10.0</v>
      </c>
      <c r="D7766" s="1" t="s">
        <v>3560</v>
      </c>
      <c r="E7766" s="1" t="str">
        <f>IFERROR(__xludf.DUMMYFUNCTION("GOOGLETRANSLATE(D7766,""PT"",""EN"")"),"Excellent company to work.")</f>
        <v>Excellent company to work.</v>
      </c>
    </row>
    <row r="7767" ht="14.25" customHeight="1">
      <c r="A7767" s="1">
        <v>100.0</v>
      </c>
      <c r="B7767" s="1" t="s">
        <v>3423</v>
      </c>
      <c r="C7767" s="1">
        <v>10.0</v>
      </c>
      <c r="D7767" s="1" t="s">
        <v>164</v>
      </c>
      <c r="E7767" s="1" t="str">
        <f>IFERROR(__xludf.DUMMYFUNCTION("GOOGLETRANSLATE(D7767,""PT"",""EN"")"),"Great bank")</f>
        <v>Great bank</v>
      </c>
    </row>
    <row r="7768" ht="14.25" customHeight="1">
      <c r="A7768" s="1">
        <v>33.0</v>
      </c>
      <c r="B7768" s="1" t="s">
        <v>3423</v>
      </c>
      <c r="C7768" s="1">
        <v>0.0</v>
      </c>
      <c r="D7768" s="2" t="s">
        <v>3561</v>
      </c>
      <c r="E7768" s="1" t="str">
        <f>IFERROR(__xludf.DUMMYFUNCTION("GOOGLETRANSLATE(D7768,""PT"",""EN"")"),"Bank that does not cooperate with the cooperative.")</f>
        <v>Bank that does not cooperate with the cooperative.</v>
      </c>
    </row>
    <row r="7769" ht="14.25" customHeight="1">
      <c r="A7769" s="1">
        <v>33.0</v>
      </c>
      <c r="B7769" s="1" t="s">
        <v>3423</v>
      </c>
      <c r="C7769" s="1">
        <v>0.0</v>
      </c>
      <c r="D7769" s="1" t="s">
        <v>6</v>
      </c>
      <c r="E7769" s="1"/>
    </row>
    <row r="7770" ht="14.25" customHeight="1">
      <c r="A7770" s="1">
        <v>33.0</v>
      </c>
      <c r="B7770" s="1" t="s">
        <v>3423</v>
      </c>
      <c r="C7770" s="1">
        <v>2.0</v>
      </c>
      <c r="D7770" s="1" t="s">
        <v>6</v>
      </c>
      <c r="E7770" s="1"/>
    </row>
    <row r="7771" ht="14.25" customHeight="1">
      <c r="A7771" s="1">
        <v>100.0</v>
      </c>
      <c r="B7771" s="1" t="s">
        <v>3423</v>
      </c>
      <c r="C7771" s="1">
        <v>10.0</v>
      </c>
      <c r="D7771" s="1" t="s">
        <v>6</v>
      </c>
      <c r="E7771" s="1"/>
    </row>
    <row r="7772" ht="14.25" customHeight="1">
      <c r="A7772" s="1">
        <v>100.0</v>
      </c>
      <c r="B7772" s="1" t="s">
        <v>3423</v>
      </c>
      <c r="C7772" s="1">
        <v>9.0</v>
      </c>
      <c r="D7772" s="2" t="s">
        <v>3562</v>
      </c>
      <c r="E7772" s="1" t="str">
        <f>IFERROR(__xludf.DUMMYFUNCTION("GOOGLETRANSLATE(D7772,""PT"",""EN"")"),"Good service is without queues. What was missing to have a 10 was easier with the products")</f>
        <v>Good service is without queues. What was missing to have a 10 was easier with the products</v>
      </c>
    </row>
    <row r="7773" ht="14.25" customHeight="1">
      <c r="A7773" s="1">
        <v>100.0</v>
      </c>
      <c r="B7773" s="1" t="s">
        <v>3423</v>
      </c>
      <c r="C7773" s="1">
        <v>10.0</v>
      </c>
      <c r="D7773" s="1" t="s">
        <v>6</v>
      </c>
      <c r="E7773" s="1"/>
    </row>
    <row r="7774" ht="14.25" customHeight="1">
      <c r="A7774" s="1">
        <v>33.0</v>
      </c>
      <c r="B7774" s="1" t="s">
        <v>3423</v>
      </c>
      <c r="C7774" s="1">
        <v>0.0</v>
      </c>
      <c r="D7774" s="2" t="s">
        <v>3563</v>
      </c>
      <c r="E7774" s="1" t="str">
        <f>IFERROR(__xludf.DUMMYFUNCTION("GOOGLETRANSLATE(D7774,""PT"",""EN"")"),"Good afternoon! A bank that offers a checking account with benefits equal to the checkbook charges fare more actually only receives the money from the fare does not release checkbook. Thanks")</f>
        <v>Good afternoon! A bank that offers a checking account with benefits equal to the checkbook charges fare more actually only receives the money from the fare does not release checkbook. Thanks</v>
      </c>
    </row>
    <row r="7775" ht="14.25" customHeight="1">
      <c r="A7775" s="1">
        <v>33.0</v>
      </c>
      <c r="B7775" s="1" t="s">
        <v>3423</v>
      </c>
      <c r="C7775" s="1">
        <v>3.0</v>
      </c>
      <c r="D7775" s="2" t="s">
        <v>3564</v>
      </c>
      <c r="E7775" s="1" t="str">
        <f>IFERROR(__xludf.DUMMYFUNCTION("GOOGLETRANSLATE(D7775,""PT"",""EN"")"),"Credit line")</f>
        <v>Credit line</v>
      </c>
    </row>
    <row r="7776" ht="14.25" customHeight="1">
      <c r="A7776" s="1">
        <v>100.0</v>
      </c>
      <c r="B7776" s="1" t="s">
        <v>3423</v>
      </c>
      <c r="C7776" s="1">
        <v>9.0</v>
      </c>
      <c r="D7776" s="1" t="s">
        <v>6</v>
      </c>
      <c r="E7776" s="1"/>
    </row>
    <row r="7777" ht="14.25" customHeight="1">
      <c r="A7777" s="1">
        <v>100.0</v>
      </c>
      <c r="B7777" s="1" t="s">
        <v>3423</v>
      </c>
      <c r="C7777" s="1">
        <v>9.0</v>
      </c>
      <c r="D7777" s="1" t="s">
        <v>6</v>
      </c>
      <c r="E7777" s="1"/>
    </row>
    <row r="7778" ht="14.25" customHeight="1">
      <c r="A7778" s="1">
        <v>66.0</v>
      </c>
      <c r="B7778" s="1" t="s">
        <v>3423</v>
      </c>
      <c r="C7778" s="1">
        <v>8.0</v>
      </c>
      <c r="D7778" s="1" t="s">
        <v>6</v>
      </c>
      <c r="E7778" s="1"/>
    </row>
    <row r="7779" ht="14.25" customHeight="1">
      <c r="A7779" s="1">
        <v>66.0</v>
      </c>
      <c r="B7779" s="1" t="s">
        <v>3423</v>
      </c>
      <c r="C7779" s="1">
        <v>8.0</v>
      </c>
      <c r="D7779" s="2" t="s">
        <v>3565</v>
      </c>
      <c r="E7779" s="1" t="str">
        <f>IFERROR(__xludf.DUMMYFUNCTION("GOOGLETRANSLATE(D7779,""PT"",""EN"")"),"The Sicoob app is fast is responsive, in front of some bank applications. Regarding investments, there are few options there is no diversification as applications in CDB, LCI, LCA, CRA, CRI is actions negotiated in B3 is etc.")</f>
        <v>The Sicoob app is fast is responsive, in front of some bank applications. Regarding investments, there are few options there is no diversification as applications in CDB, LCI, LCA, CRA, CRI is actions negotiated in B3 is etc.</v>
      </c>
    </row>
    <row r="7780" ht="14.25" customHeight="1">
      <c r="A7780" s="1">
        <v>33.0</v>
      </c>
      <c r="B7780" s="1" t="s">
        <v>3423</v>
      </c>
      <c r="C7780" s="1">
        <v>1.0</v>
      </c>
      <c r="D7780" s="2" t="s">
        <v>3566</v>
      </c>
      <c r="E7780" s="1" t="str">
        <f>IFERROR(__xludf.DUMMYFUNCTION("GOOGLETRANSLATE(D7780,""PT"",""EN"")"),"I didn't get a credit card.")</f>
        <v>I didn't get a credit card.</v>
      </c>
    </row>
    <row r="7781" ht="14.25" customHeight="1">
      <c r="A7781" s="1">
        <v>66.0</v>
      </c>
      <c r="B7781" s="1" t="s">
        <v>3423</v>
      </c>
      <c r="C7781" s="1">
        <v>8.0</v>
      </c>
      <c r="D7781" s="2" t="s">
        <v>3567</v>
      </c>
      <c r="E7781" s="1" t="str">
        <f>IFERROR(__xludf.DUMMYFUNCTION("GOOGLETRANSLATE(D7781,""PT"",""EN"")"),"I like it a lot, but it doesn't release the credit card.")</f>
        <v>I like it a lot, but it doesn't release the credit card.</v>
      </c>
    </row>
    <row r="7782" ht="14.25" customHeight="1">
      <c r="A7782" s="1">
        <v>100.0</v>
      </c>
      <c r="B7782" s="1" t="s">
        <v>3423</v>
      </c>
      <c r="C7782" s="1">
        <v>10.0</v>
      </c>
      <c r="D7782" s="1" t="s">
        <v>3568</v>
      </c>
      <c r="E7782" s="1" t="str">
        <f>IFERROR(__xludf.DUMMYFUNCTION("GOOGLETRANSLATE(D7782,""PT"",""EN"")"),"Fast service, empty agencies.")</f>
        <v>Fast service, empty agencies.</v>
      </c>
    </row>
    <row r="7783" ht="14.25" customHeight="1">
      <c r="A7783" s="1">
        <v>66.0</v>
      </c>
      <c r="B7783" s="1" t="s">
        <v>3423</v>
      </c>
      <c r="C7783" s="1">
        <v>8.0</v>
      </c>
      <c r="D7783" s="1" t="s">
        <v>6</v>
      </c>
      <c r="E7783" s="1"/>
    </row>
    <row r="7784" ht="14.25" customHeight="1">
      <c r="A7784" s="1">
        <v>33.0</v>
      </c>
      <c r="B7784" s="1" t="s">
        <v>3423</v>
      </c>
      <c r="C7784" s="1">
        <v>6.0</v>
      </c>
      <c r="D7784" s="1" t="s">
        <v>2620</v>
      </c>
      <c r="E7784" s="1" t="str">
        <f>IFERROR(__xludf.DUMMYFUNCTION("GOOGLETRANSLATE(D7784,""PT"",""EN"")"),"7")</f>
        <v>7</v>
      </c>
    </row>
    <row r="7785" ht="14.25" customHeight="1">
      <c r="A7785" s="1">
        <v>100.0</v>
      </c>
      <c r="B7785" s="1" t="s">
        <v>3423</v>
      </c>
      <c r="C7785" s="1">
        <v>10.0</v>
      </c>
      <c r="D7785" s="1" t="s">
        <v>6</v>
      </c>
      <c r="E7785" s="1"/>
    </row>
    <row r="7786" ht="14.25" customHeight="1">
      <c r="A7786" s="1">
        <v>100.0</v>
      </c>
      <c r="B7786" s="1" t="s">
        <v>3423</v>
      </c>
      <c r="C7786" s="1">
        <v>10.0</v>
      </c>
      <c r="D7786" s="1" t="s">
        <v>6</v>
      </c>
      <c r="E7786" s="1"/>
    </row>
    <row r="7787" ht="14.25" customHeight="1">
      <c r="A7787" s="1">
        <v>100.0</v>
      </c>
      <c r="B7787" s="1" t="s">
        <v>3423</v>
      </c>
      <c r="C7787" s="1">
        <v>10.0</v>
      </c>
      <c r="D7787" s="1" t="s">
        <v>6</v>
      </c>
      <c r="E7787" s="1"/>
    </row>
    <row r="7788" ht="14.25" customHeight="1">
      <c r="A7788" s="1">
        <v>33.0</v>
      </c>
      <c r="B7788" s="1" t="s">
        <v>3423</v>
      </c>
      <c r="C7788" s="1">
        <v>0.0</v>
      </c>
      <c r="D7788" s="2" t="s">
        <v>3569</v>
      </c>
      <c r="E7788" s="1" t="str">
        <f>IFERROR(__xludf.DUMMYFUNCTION("GOOGLETRANSLATE(D7788,""PT"",""EN"")"),"I didn't like much fee that charge in this account is no limit to anything")</f>
        <v>I didn't like much fee that charge in this account is no limit to anything</v>
      </c>
    </row>
    <row r="7789" ht="14.25" customHeight="1">
      <c r="A7789" s="1">
        <v>33.0</v>
      </c>
      <c r="B7789" s="1" t="s">
        <v>3423</v>
      </c>
      <c r="C7789" s="1">
        <v>0.0</v>
      </c>
      <c r="D7789" s="2" t="s">
        <v>3570</v>
      </c>
      <c r="E7789" s="1" t="str">
        <f>IFERROR(__xludf.DUMMYFUNCTION("GOOGLETRANSLATE(D7789,""PT"",""EN"")"),"Sicoob was no longer cooperative is became a bank. Bleed the cooperative for profits ....")</f>
        <v>Sicoob was no longer cooperative is became a bank. Bleed the cooperative for profits ....</v>
      </c>
    </row>
    <row r="7790" ht="14.25" customHeight="1">
      <c r="A7790" s="1">
        <v>33.0</v>
      </c>
      <c r="B7790" s="1" t="s">
        <v>3423</v>
      </c>
      <c r="C7790" s="1">
        <v>2.0</v>
      </c>
      <c r="D7790" s="1" t="s">
        <v>3571</v>
      </c>
      <c r="E7790" s="1" t="str">
        <f>IFERROR(__xludf.DUMMYFUNCTION("GOOGLETRANSLATE(D7790,""PT"",""EN"")"),"Precarious service.")</f>
        <v>Precarious service.</v>
      </c>
    </row>
    <row r="7791" ht="14.25" customHeight="1">
      <c r="A7791" s="1">
        <v>100.0</v>
      </c>
      <c r="B7791" s="1" t="s">
        <v>3423</v>
      </c>
      <c r="C7791" s="1">
        <v>10.0</v>
      </c>
      <c r="D7791" s="1" t="s">
        <v>6</v>
      </c>
      <c r="E7791" s="1"/>
    </row>
    <row r="7792" ht="14.25" customHeight="1">
      <c r="A7792" s="1">
        <v>33.0</v>
      </c>
      <c r="B7792" s="1" t="s">
        <v>3423</v>
      </c>
      <c r="C7792" s="1">
        <v>3.0</v>
      </c>
      <c r="D7792" s="1" t="s">
        <v>3572</v>
      </c>
      <c r="E7792" s="1" t="str">
        <f>IFERROR(__xludf.DUMMYFUNCTION("GOOGLETRANSLATE(D7792,""PT"",""EN"")"),"Much factors")</f>
        <v>Much factors</v>
      </c>
    </row>
    <row r="7793" ht="14.25" customHeight="1">
      <c r="A7793" s="1">
        <v>100.0</v>
      </c>
      <c r="B7793" s="1" t="s">
        <v>3423</v>
      </c>
      <c r="C7793" s="1">
        <v>10.0</v>
      </c>
      <c r="D7793" s="2" t="s">
        <v>3573</v>
      </c>
      <c r="E7793" s="1" t="str">
        <f>IFERROR(__xludf.DUMMYFUNCTION("GOOGLETRANSLATE(D7793,""PT"",""EN"")"),"A great bank is easily accessible")</f>
        <v>A great bank is easily accessible</v>
      </c>
    </row>
    <row r="7794" ht="14.25" customHeight="1">
      <c r="A7794" s="1">
        <v>100.0</v>
      </c>
      <c r="B7794" s="1" t="s">
        <v>3423</v>
      </c>
      <c r="C7794" s="1">
        <v>10.0</v>
      </c>
      <c r="D7794" s="1" t="s">
        <v>6</v>
      </c>
      <c r="E7794" s="1"/>
    </row>
    <row r="7795" ht="14.25" customHeight="1">
      <c r="A7795" s="1">
        <v>100.0</v>
      </c>
      <c r="B7795" s="1" t="s">
        <v>3423</v>
      </c>
      <c r="C7795" s="1">
        <v>10.0</v>
      </c>
      <c r="D7795" s="1" t="s">
        <v>18</v>
      </c>
      <c r="E7795" s="1" t="str">
        <f>IFERROR(__xludf.DUMMYFUNCTION("GOOGLETRANSLATE(D7795,""PT"",""EN"")"),"Trust")</f>
        <v>Trust</v>
      </c>
    </row>
    <row r="7796" ht="14.25" customHeight="1">
      <c r="A7796" s="1">
        <v>100.0</v>
      </c>
      <c r="B7796" s="1" t="s">
        <v>3423</v>
      </c>
      <c r="C7796" s="1">
        <v>10.0</v>
      </c>
      <c r="D7796" s="1" t="s">
        <v>3574</v>
      </c>
      <c r="E7796" s="1" t="str">
        <f>IFERROR(__xludf.DUMMYFUNCTION("GOOGLETRANSLATE(D7796,""PT"",""EN"")"),"Good in everything")</f>
        <v>Good in everything</v>
      </c>
    </row>
    <row r="7797" ht="14.25" customHeight="1">
      <c r="A7797" s="1">
        <v>100.0</v>
      </c>
      <c r="B7797" s="1" t="s">
        <v>3423</v>
      </c>
      <c r="C7797" s="1">
        <v>10.0</v>
      </c>
      <c r="D7797" s="1" t="s">
        <v>6</v>
      </c>
      <c r="E7797" s="1"/>
    </row>
    <row r="7798" ht="14.25" customHeight="1">
      <c r="A7798" s="1">
        <v>100.0</v>
      </c>
      <c r="B7798" s="1" t="s">
        <v>3423</v>
      </c>
      <c r="C7798" s="1">
        <v>10.0</v>
      </c>
      <c r="D7798" s="1" t="s">
        <v>6</v>
      </c>
      <c r="E7798" s="1"/>
    </row>
    <row r="7799" ht="14.25" customHeight="1">
      <c r="A7799" s="1">
        <v>100.0</v>
      </c>
      <c r="B7799" s="1" t="s">
        <v>3423</v>
      </c>
      <c r="C7799" s="1">
        <v>10.0</v>
      </c>
      <c r="D7799" s="1" t="s">
        <v>6</v>
      </c>
      <c r="E7799" s="1"/>
    </row>
    <row r="7800" ht="14.25" customHeight="1">
      <c r="A7800" s="1">
        <v>33.0</v>
      </c>
      <c r="B7800" s="1" t="s">
        <v>3423</v>
      </c>
      <c r="C7800" s="1">
        <v>0.0</v>
      </c>
      <c r="D7800" s="2" t="s">
        <v>3575</v>
      </c>
      <c r="E7800" s="1" t="str">
        <f>IFERROR(__xludf.DUMMYFUNCTION("GOOGLETRANSLATE(D7800,""PT"",""EN"")"),"Or approve the credit or not, at the time of the account opening")</f>
        <v>Or approve the credit or not, at the time of the account opening</v>
      </c>
    </row>
    <row r="7801" ht="14.25" customHeight="1">
      <c r="A7801" s="1">
        <v>100.0</v>
      </c>
      <c r="B7801" s="1" t="s">
        <v>3423</v>
      </c>
      <c r="C7801" s="1">
        <v>10.0</v>
      </c>
      <c r="D7801" s="1" t="s">
        <v>6</v>
      </c>
      <c r="E7801" s="1"/>
    </row>
    <row r="7802" ht="14.25" customHeight="1">
      <c r="A7802" s="1">
        <v>100.0</v>
      </c>
      <c r="B7802" s="1" t="s">
        <v>3423</v>
      </c>
      <c r="C7802" s="1">
        <v>10.0</v>
      </c>
      <c r="D7802" s="1" t="s">
        <v>3576</v>
      </c>
      <c r="E7802" s="1" t="str">
        <f>IFERROR(__xludf.DUMMYFUNCTION("GOOGLETRANSLATE(D7802,""PT"",""EN"")"),"Because I find one of the best")</f>
        <v>Because I find one of the best</v>
      </c>
    </row>
    <row r="7803" ht="14.25" customHeight="1">
      <c r="A7803" s="1">
        <v>33.0</v>
      </c>
      <c r="B7803" s="1" t="s">
        <v>3423</v>
      </c>
      <c r="C7803" s="1">
        <v>0.0</v>
      </c>
      <c r="D7803" s="1" t="s">
        <v>6</v>
      </c>
      <c r="E7803" s="1"/>
    </row>
    <row r="7804" ht="14.25" customHeight="1">
      <c r="A7804" s="1">
        <v>100.0</v>
      </c>
      <c r="B7804" s="1" t="s">
        <v>3423</v>
      </c>
      <c r="C7804" s="1">
        <v>10.0</v>
      </c>
      <c r="D7804" s="1" t="s">
        <v>6</v>
      </c>
      <c r="E7804" s="1"/>
    </row>
    <row r="7805" ht="14.25" customHeight="1">
      <c r="A7805" s="1">
        <v>100.0</v>
      </c>
      <c r="B7805" s="1" t="s">
        <v>3423</v>
      </c>
      <c r="C7805" s="1">
        <v>10.0</v>
      </c>
      <c r="D7805" s="2" t="s">
        <v>3577</v>
      </c>
      <c r="E7805" s="1" t="str">
        <f>IFERROR(__xludf.DUMMYFUNCTION("GOOGLETRANSLATE(D7805,""PT"",""EN"")"),"Good service is constant evolution.")</f>
        <v>Good service is constant evolution.</v>
      </c>
    </row>
    <row r="7806" ht="14.25" customHeight="1">
      <c r="A7806" s="1">
        <v>100.0</v>
      </c>
      <c r="B7806" s="1" t="s">
        <v>3423</v>
      </c>
      <c r="C7806" s="1">
        <v>10.0</v>
      </c>
      <c r="D7806" s="2" t="s">
        <v>3578</v>
      </c>
      <c r="E7806" s="1" t="str">
        <f>IFERROR(__xludf.DUMMYFUNCTION("GOOGLETRANSLATE(D7806,""PT"",""EN"")"),"I believe in credit cooperativism is love the app from Sicoob. Much better than Itaú, BB and Caixa")</f>
        <v>I believe in credit cooperativism is love the app from Sicoob. Much better than Itaú, BB and Caixa</v>
      </c>
    </row>
    <row r="7807" ht="14.25" customHeight="1">
      <c r="A7807" s="1">
        <v>100.0</v>
      </c>
      <c r="B7807" s="1" t="s">
        <v>3423</v>
      </c>
      <c r="C7807" s="1">
        <v>10.0</v>
      </c>
      <c r="D7807" s="1" t="s">
        <v>6</v>
      </c>
      <c r="E7807" s="1"/>
    </row>
    <row r="7808" ht="14.25" customHeight="1">
      <c r="A7808" s="1">
        <v>33.0</v>
      </c>
      <c r="B7808" s="1" t="s">
        <v>3423</v>
      </c>
      <c r="C7808" s="1">
        <v>2.0</v>
      </c>
      <c r="D7808" s="2" t="s">
        <v>3579</v>
      </c>
      <c r="E7808" s="1" t="str">
        <f>IFERROR(__xludf.DUMMYFUNCTION("GOOGLETRANSLATE(D7808,""PT"",""EN"")"),"They do not take low on the paid accounts is a collection advice on every day. They do not give the necessary support, electronic service is very time consuming. It's robot no doubt, humanized care is still very important.")</f>
        <v>They do not take low on the paid accounts is a collection advice on every day. They do not give the necessary support, electronic service is very time consuming. It's robot no doubt, humanized care is still very important.</v>
      </c>
    </row>
    <row r="7809" ht="14.25" customHeight="1">
      <c r="A7809" s="1">
        <v>100.0</v>
      </c>
      <c r="B7809" s="1" t="s">
        <v>3423</v>
      </c>
      <c r="C7809" s="1">
        <v>10.0</v>
      </c>
      <c r="D7809" s="1" t="s">
        <v>85</v>
      </c>
      <c r="E7809" s="1" t="str">
        <f>IFERROR(__xludf.DUMMYFUNCTION("GOOGLETRANSLATE(D7809,""PT"",""EN"")"),"Service")</f>
        <v>Service</v>
      </c>
    </row>
    <row r="7810" ht="14.25" customHeight="1">
      <c r="A7810" s="1">
        <v>33.0</v>
      </c>
      <c r="B7810" s="1" t="s">
        <v>3423</v>
      </c>
      <c r="C7810" s="1">
        <v>5.0</v>
      </c>
      <c r="D7810" s="1" t="s">
        <v>6</v>
      </c>
      <c r="E7810" s="1"/>
    </row>
    <row r="7811" ht="14.25" customHeight="1">
      <c r="A7811" s="1">
        <v>100.0</v>
      </c>
      <c r="B7811" s="1" t="s">
        <v>3423</v>
      </c>
      <c r="C7811" s="1">
        <v>10.0</v>
      </c>
      <c r="D7811" s="1" t="s">
        <v>6</v>
      </c>
      <c r="E7811" s="1"/>
    </row>
    <row r="7812" ht="14.25" customHeight="1">
      <c r="A7812" s="1">
        <v>100.0</v>
      </c>
      <c r="B7812" s="1" t="s">
        <v>3423</v>
      </c>
      <c r="C7812" s="1">
        <v>10.0</v>
      </c>
      <c r="D7812" s="1" t="s">
        <v>192</v>
      </c>
      <c r="E7812" s="1" t="str">
        <f>IFERROR(__xludf.DUMMYFUNCTION("GOOGLETRANSLATE(D7812,""PT"",""EN"")"),"Great")</f>
        <v>Great</v>
      </c>
    </row>
    <row r="7813" ht="14.25" customHeight="1">
      <c r="A7813" s="1">
        <v>66.0</v>
      </c>
      <c r="B7813" s="1" t="s">
        <v>3423</v>
      </c>
      <c r="C7813" s="1">
        <v>8.0</v>
      </c>
      <c r="D7813" s="2" t="s">
        <v>3580</v>
      </c>
      <c r="E7813" s="1" t="str">
        <f>IFERROR(__xludf.DUMMYFUNCTION("GOOGLETRANSLATE(D7813,""PT"",""EN"")"),"Good relationship with attendant Jordana, from Sicoob do Gama DF. That always proposed a great service. I am not very pleased with the machines of the machine")</f>
        <v>Good relationship with attendant Jordana, from Sicoob do Gama DF. That always proposed a great service. I am not very pleased with the machines of the machine</v>
      </c>
    </row>
    <row r="7814" ht="14.25" customHeight="1">
      <c r="A7814" s="1">
        <v>66.0</v>
      </c>
      <c r="B7814" s="1" t="s">
        <v>3423</v>
      </c>
      <c r="C7814" s="1">
        <v>8.0</v>
      </c>
      <c r="D7814" s="1" t="s">
        <v>1514</v>
      </c>
      <c r="E7814" s="1" t="str">
        <f>IFERROR(__xludf.DUMMYFUNCTION("GOOGLETRANSLATE(D7814,""PT"",""EN"")"),"Satisfied")</f>
        <v>Satisfied</v>
      </c>
    </row>
    <row r="7815" ht="14.25" customHeight="1">
      <c r="A7815" s="1">
        <v>100.0</v>
      </c>
      <c r="B7815" s="1" t="s">
        <v>3423</v>
      </c>
      <c r="C7815" s="1">
        <v>10.0</v>
      </c>
      <c r="D7815" s="1" t="s">
        <v>6</v>
      </c>
      <c r="E7815" s="1"/>
    </row>
    <row r="7816" ht="14.25" customHeight="1">
      <c r="A7816" s="1">
        <v>100.0</v>
      </c>
      <c r="B7816" s="1" t="s">
        <v>3423</v>
      </c>
      <c r="C7816" s="1">
        <v>10.0</v>
      </c>
      <c r="D7816" s="1" t="s">
        <v>6</v>
      </c>
      <c r="E7816" s="1"/>
    </row>
    <row r="7817" ht="14.25" customHeight="1">
      <c r="A7817" s="1">
        <v>33.0</v>
      </c>
      <c r="B7817" s="1" t="s">
        <v>3423</v>
      </c>
      <c r="C7817" s="1">
        <v>6.0</v>
      </c>
      <c r="D7817" s="1" t="s">
        <v>6</v>
      </c>
      <c r="E7817" s="1"/>
    </row>
    <row r="7818" ht="14.25" customHeight="1">
      <c r="A7818" s="1">
        <v>33.0</v>
      </c>
      <c r="B7818" s="1" t="s">
        <v>3423</v>
      </c>
      <c r="C7818" s="1">
        <v>5.0</v>
      </c>
      <c r="D7818" s="1" t="s">
        <v>6</v>
      </c>
      <c r="E7818" s="1"/>
    </row>
    <row r="7819" ht="14.25" customHeight="1">
      <c r="A7819" s="1">
        <v>100.0</v>
      </c>
      <c r="B7819" s="1" t="s">
        <v>3423</v>
      </c>
      <c r="C7819" s="1">
        <v>10.0</v>
      </c>
      <c r="D7819" s="2" t="s">
        <v>97</v>
      </c>
      <c r="E7819" s="1" t="str">
        <f>IFERROR(__xludf.DUMMYFUNCTION("GOOGLETRANSLATE(D7819,""PT"",""EN"")"),"Excellent")</f>
        <v>Excellent</v>
      </c>
    </row>
    <row r="7820" ht="14.25" customHeight="1">
      <c r="A7820" s="1">
        <v>100.0</v>
      </c>
      <c r="B7820" s="1" t="s">
        <v>3423</v>
      </c>
      <c r="C7820" s="1">
        <v>10.0</v>
      </c>
      <c r="D7820" s="1" t="s">
        <v>6</v>
      </c>
      <c r="E7820" s="1"/>
    </row>
    <row r="7821" ht="14.25" customHeight="1">
      <c r="A7821" s="1">
        <v>100.0</v>
      </c>
      <c r="B7821" s="1" t="s">
        <v>3423</v>
      </c>
      <c r="C7821" s="1">
        <v>10.0</v>
      </c>
      <c r="D7821" s="1" t="s">
        <v>3581</v>
      </c>
      <c r="E7821" s="1" t="str">
        <f>IFERROR(__xludf.DUMMYFUNCTION("GOOGLETRANSLATE(D7821,""PT"",""EN"")"),"Remuneration, benefits, growth opportunity.")</f>
        <v>Remuneration, benefits, growth opportunity.</v>
      </c>
    </row>
    <row r="7822" ht="14.25" customHeight="1">
      <c r="A7822" s="1">
        <v>33.0</v>
      </c>
      <c r="B7822" s="1" t="s">
        <v>3423</v>
      </c>
      <c r="C7822" s="1">
        <v>0.0</v>
      </c>
      <c r="D7822" s="1" t="s">
        <v>6</v>
      </c>
      <c r="E7822" s="1"/>
    </row>
    <row r="7823" ht="14.25" customHeight="1">
      <c r="A7823" s="1">
        <v>66.0</v>
      </c>
      <c r="B7823" s="1" t="s">
        <v>3423</v>
      </c>
      <c r="C7823" s="1">
        <v>7.0</v>
      </c>
      <c r="D7823" s="2" t="s">
        <v>3582</v>
      </c>
      <c r="E7823" s="1" t="str">
        <f>IFERROR(__xludf.DUMMYFUNCTION("GOOGLETRANSLATE(D7823,""PT"",""EN"")"),"There are still a lack of bank services to the portfolio.")</f>
        <v>There are still a lack of bank services to the portfolio.</v>
      </c>
    </row>
    <row r="7824" ht="14.25" customHeight="1">
      <c r="A7824" s="1">
        <v>33.0</v>
      </c>
      <c r="B7824" s="1" t="s">
        <v>3423</v>
      </c>
      <c r="C7824" s="1">
        <v>0.0</v>
      </c>
      <c r="D7824" s="1" t="s">
        <v>6</v>
      </c>
      <c r="E7824" s="1"/>
    </row>
    <row r="7825" ht="14.25" customHeight="1">
      <c r="A7825" s="1">
        <v>100.0</v>
      </c>
      <c r="B7825" s="1" t="s">
        <v>3423</v>
      </c>
      <c r="C7825" s="1">
        <v>10.0</v>
      </c>
      <c r="D7825" s="1" t="s">
        <v>6</v>
      </c>
      <c r="E7825" s="1"/>
    </row>
    <row r="7826" ht="14.25" customHeight="1">
      <c r="A7826" s="1">
        <v>100.0</v>
      </c>
      <c r="B7826" s="1" t="s">
        <v>3423</v>
      </c>
      <c r="C7826" s="1">
        <v>9.0</v>
      </c>
      <c r="D7826" s="1" t="s">
        <v>3583</v>
      </c>
      <c r="E7826" s="1" t="str">
        <f>IFERROR(__xludf.DUMMYFUNCTION("GOOGLETRANSLATE(D7826,""PT"",""EN"")"),"Service, app")</f>
        <v>Service, app</v>
      </c>
    </row>
    <row r="7827" ht="14.25" customHeight="1">
      <c r="A7827" s="1">
        <v>100.0</v>
      </c>
      <c r="B7827" s="1" t="s">
        <v>3423</v>
      </c>
      <c r="C7827" s="1">
        <v>10.0</v>
      </c>
      <c r="D7827" s="1" t="s">
        <v>3584</v>
      </c>
      <c r="E7827" s="1" t="str">
        <f>IFERROR(__xludf.DUMMYFUNCTION("GOOGLETRANSLATE(D7827,""PT"",""EN"")"),"I think it's super practical")</f>
        <v>I think it's super practical</v>
      </c>
    </row>
    <row r="7828" ht="14.25" customHeight="1">
      <c r="A7828" s="1">
        <v>66.0</v>
      </c>
      <c r="B7828" s="1" t="s">
        <v>3423</v>
      </c>
      <c r="C7828" s="1">
        <v>8.0</v>
      </c>
      <c r="D7828" s="1" t="s">
        <v>3585</v>
      </c>
      <c r="E7828" s="1" t="str">
        <f>IFERROR(__xludf.DUMMYFUNCTION("GOOGLETRANSLATE(D7828,""PT"",""EN"")"),"Small service network")</f>
        <v>Small service network</v>
      </c>
    </row>
    <row r="7829" ht="14.25" customHeight="1">
      <c r="A7829" s="1">
        <v>100.0</v>
      </c>
      <c r="B7829" s="1" t="s">
        <v>3423</v>
      </c>
      <c r="C7829" s="1">
        <v>10.0</v>
      </c>
      <c r="D7829" s="1" t="s">
        <v>3586</v>
      </c>
      <c r="E7829" s="1" t="str">
        <f>IFERROR(__xludf.DUMMYFUNCTION("GOOGLETRANSLATE(D7829,""PT"",""EN"")"),"5,000.00")</f>
        <v>5,000.00</v>
      </c>
    </row>
    <row r="7830" ht="14.25" customHeight="1">
      <c r="A7830" s="1">
        <v>100.0</v>
      </c>
      <c r="B7830" s="1" t="s">
        <v>3423</v>
      </c>
      <c r="C7830" s="1">
        <v>10.0</v>
      </c>
      <c r="D7830" s="1" t="s">
        <v>6</v>
      </c>
      <c r="E7830" s="1"/>
    </row>
    <row r="7831" ht="14.25" customHeight="1">
      <c r="A7831" s="1">
        <v>33.0</v>
      </c>
      <c r="B7831" s="1" t="s">
        <v>3423</v>
      </c>
      <c r="C7831" s="1">
        <v>1.0</v>
      </c>
      <c r="D7831" s="1" t="s">
        <v>3587</v>
      </c>
      <c r="E7831" s="1" t="str">
        <f>IFERROR(__xludf.DUMMYFUNCTION("GOOGLETRANSLATE(D7831,""PT"",""EN"")"),"Unfortunately each day worse the service.")</f>
        <v>Unfortunately each day worse the service.</v>
      </c>
    </row>
    <row r="7832" ht="14.25" customHeight="1">
      <c r="A7832" s="1">
        <v>100.0</v>
      </c>
      <c r="B7832" s="1" t="s">
        <v>3423</v>
      </c>
      <c r="C7832" s="1">
        <v>10.0</v>
      </c>
      <c r="D7832" s="1" t="s">
        <v>6</v>
      </c>
      <c r="E7832" s="1"/>
    </row>
    <row r="7833" ht="14.25" customHeight="1">
      <c r="A7833" s="1">
        <v>100.0</v>
      </c>
      <c r="B7833" s="1" t="s">
        <v>3423</v>
      </c>
      <c r="C7833" s="1">
        <v>10.0</v>
      </c>
      <c r="D7833" s="1" t="s">
        <v>3588</v>
      </c>
      <c r="E7833" s="1" t="str">
        <f>IFERROR(__xludf.DUMMYFUNCTION("GOOGLETRANSLATE(D7833,""PT"",""EN"")"),"Easy -to -work")</f>
        <v>Easy -to -work</v>
      </c>
    </row>
    <row r="7834" ht="14.25" customHeight="1">
      <c r="A7834" s="1">
        <v>100.0</v>
      </c>
      <c r="B7834" s="1" t="s">
        <v>3423</v>
      </c>
      <c r="C7834" s="1">
        <v>10.0</v>
      </c>
      <c r="D7834" s="1" t="s">
        <v>6</v>
      </c>
      <c r="E7834" s="1"/>
    </row>
    <row r="7835" ht="14.25" customHeight="1">
      <c r="A7835" s="1">
        <v>100.0</v>
      </c>
      <c r="B7835" s="1" t="s">
        <v>3423</v>
      </c>
      <c r="C7835" s="1">
        <v>10.0</v>
      </c>
      <c r="D7835" s="1" t="s">
        <v>3589</v>
      </c>
      <c r="E7835" s="1" t="str">
        <f>IFERROR(__xludf.DUMMYFUNCTION("GOOGLETRANSLATE(D7835,""PT"",""EN"")"),"Respect.")</f>
        <v>Respect.</v>
      </c>
    </row>
    <row r="7836" ht="14.25" customHeight="1">
      <c r="A7836" s="1">
        <v>100.0</v>
      </c>
      <c r="B7836" s="1" t="s">
        <v>3423</v>
      </c>
      <c r="C7836" s="1">
        <v>10.0</v>
      </c>
      <c r="D7836" s="1" t="s">
        <v>6</v>
      </c>
      <c r="E7836" s="1"/>
    </row>
    <row r="7837" ht="14.25" customHeight="1">
      <c r="A7837" s="1">
        <v>33.0</v>
      </c>
      <c r="B7837" s="1" t="s">
        <v>3423</v>
      </c>
      <c r="C7837" s="1">
        <v>5.0</v>
      </c>
      <c r="D7837" s="2" t="s">
        <v>3590</v>
      </c>
      <c r="E7837" s="1" t="str">
        <f>IFERROR(__xludf.DUMMYFUNCTION("GOOGLETRANSLATE(D7837,""PT"",""EN"")"),"Do not release credit card")</f>
        <v>Do not release credit card</v>
      </c>
    </row>
    <row r="7838" ht="14.25" customHeight="1">
      <c r="A7838" s="1">
        <v>100.0</v>
      </c>
      <c r="B7838" s="1" t="s">
        <v>3423</v>
      </c>
      <c r="C7838" s="1">
        <v>10.0</v>
      </c>
      <c r="D7838" s="1" t="s">
        <v>6</v>
      </c>
      <c r="E7838" s="1"/>
    </row>
    <row r="7839" ht="14.25" customHeight="1">
      <c r="A7839" s="1">
        <v>100.0</v>
      </c>
      <c r="B7839" s="1" t="s">
        <v>3423</v>
      </c>
      <c r="C7839" s="1">
        <v>10.0</v>
      </c>
      <c r="D7839" s="1" t="s">
        <v>3591</v>
      </c>
      <c r="E7839" s="1" t="str">
        <f>IFERROR(__xludf.DUMMYFUNCTION("GOOGLETRANSLATE(D7839,""PT"",""EN"")"),"Good customer service")</f>
        <v>Good customer service</v>
      </c>
    </row>
    <row r="7840" ht="14.25" customHeight="1">
      <c r="A7840" s="1">
        <v>100.0</v>
      </c>
      <c r="B7840" s="1" t="s">
        <v>3423</v>
      </c>
      <c r="C7840" s="1">
        <v>10.0</v>
      </c>
      <c r="D7840" s="1" t="s">
        <v>6</v>
      </c>
      <c r="E7840" s="1"/>
    </row>
    <row r="7841" ht="14.25" customHeight="1">
      <c r="A7841" s="1">
        <v>100.0</v>
      </c>
      <c r="B7841" s="1" t="s">
        <v>3423</v>
      </c>
      <c r="C7841" s="1">
        <v>10.0</v>
      </c>
      <c r="D7841" s="1" t="s">
        <v>6</v>
      </c>
      <c r="E7841" s="1"/>
    </row>
    <row r="7842" ht="14.25" customHeight="1">
      <c r="A7842" s="1">
        <v>100.0</v>
      </c>
      <c r="B7842" s="1" t="s">
        <v>3423</v>
      </c>
      <c r="C7842" s="1">
        <v>9.0</v>
      </c>
      <c r="D7842" s="1" t="s">
        <v>6</v>
      </c>
      <c r="E7842" s="1"/>
    </row>
    <row r="7843" ht="14.25" customHeight="1">
      <c r="A7843" s="1">
        <v>33.0</v>
      </c>
      <c r="B7843" s="1" t="s">
        <v>3423</v>
      </c>
      <c r="C7843" s="1">
        <v>1.0</v>
      </c>
      <c r="D7843" s="1" t="s">
        <v>6</v>
      </c>
      <c r="E7843" s="1"/>
    </row>
    <row r="7844" ht="14.25" customHeight="1">
      <c r="A7844" s="1">
        <v>33.0</v>
      </c>
      <c r="B7844" s="1" t="s">
        <v>3423</v>
      </c>
      <c r="C7844" s="1">
        <v>0.0</v>
      </c>
      <c r="D7844" s="1" t="s">
        <v>6</v>
      </c>
      <c r="E7844" s="1"/>
    </row>
    <row r="7845" ht="14.25" customHeight="1">
      <c r="A7845" s="1">
        <v>33.0</v>
      </c>
      <c r="B7845" s="1" t="s">
        <v>3423</v>
      </c>
      <c r="C7845" s="1">
        <v>5.0</v>
      </c>
      <c r="D7845" s="2" t="s">
        <v>3592</v>
      </c>
      <c r="E7845" s="1" t="str">
        <f>IFERROR(__xludf.DUMMYFUNCTION("GOOGLETRANSLATE(D7845,""PT"",""EN"")"),"Comparing with other banks is not differentiated in cooperative service in terms of financing!")</f>
        <v>Comparing with other banks is not differentiated in cooperative service in terms of financing!</v>
      </c>
    </row>
    <row r="7846" ht="14.25" customHeight="1">
      <c r="A7846" s="1">
        <v>100.0</v>
      </c>
      <c r="B7846" s="1" t="s">
        <v>3423</v>
      </c>
      <c r="C7846" s="1">
        <v>9.0</v>
      </c>
      <c r="D7846" s="1" t="s">
        <v>6</v>
      </c>
      <c r="E7846" s="1"/>
    </row>
    <row r="7847" ht="14.25" customHeight="1">
      <c r="A7847" s="1">
        <v>100.0</v>
      </c>
      <c r="B7847" s="1" t="s">
        <v>3423</v>
      </c>
      <c r="C7847" s="1">
        <v>10.0</v>
      </c>
      <c r="D7847" s="1" t="s">
        <v>3593</v>
      </c>
      <c r="E7847" s="1" t="str">
        <f>IFERROR(__xludf.DUMMYFUNCTION("GOOGLETRANSLATE(D7847,""PT"",""EN"")"),"Quality")</f>
        <v>Quality</v>
      </c>
    </row>
    <row r="7848" ht="14.25" customHeight="1">
      <c r="A7848" s="1">
        <v>33.0</v>
      </c>
      <c r="B7848" s="1" t="s">
        <v>3423</v>
      </c>
      <c r="C7848" s="1">
        <v>0.0</v>
      </c>
      <c r="D7848" s="1" t="s">
        <v>6</v>
      </c>
      <c r="E7848" s="1"/>
    </row>
    <row r="7849" ht="14.25" customHeight="1">
      <c r="A7849" s="1">
        <v>100.0</v>
      </c>
      <c r="B7849" s="1" t="s">
        <v>3423</v>
      </c>
      <c r="C7849" s="1">
        <v>10.0</v>
      </c>
      <c r="D7849" s="1" t="s">
        <v>3594</v>
      </c>
      <c r="E7849" s="1" t="str">
        <f>IFERROR(__xludf.DUMMYFUNCTION("GOOGLETRANSLATE(D7849,""PT"",""EN"")"),"Great service real cooperative system")</f>
        <v>Great service real cooperative system</v>
      </c>
    </row>
    <row r="7850" ht="14.25" customHeight="1">
      <c r="A7850" s="1">
        <v>100.0</v>
      </c>
      <c r="B7850" s="1" t="s">
        <v>3423</v>
      </c>
      <c r="C7850" s="1">
        <v>10.0</v>
      </c>
      <c r="D7850" s="1" t="s">
        <v>6</v>
      </c>
      <c r="E7850" s="1"/>
    </row>
    <row r="7851" ht="14.25" customHeight="1">
      <c r="A7851" s="1">
        <v>33.0</v>
      </c>
      <c r="B7851" s="1" t="s">
        <v>3423</v>
      </c>
      <c r="C7851" s="1">
        <v>0.0</v>
      </c>
      <c r="D7851" s="1" t="s">
        <v>6</v>
      </c>
      <c r="E7851" s="1"/>
    </row>
    <row r="7852" ht="14.25" customHeight="1">
      <c r="A7852" s="1">
        <v>33.0</v>
      </c>
      <c r="B7852" s="1" t="s">
        <v>3423</v>
      </c>
      <c r="C7852" s="1">
        <v>1.0</v>
      </c>
      <c r="D7852" s="2" t="s">
        <v>3595</v>
      </c>
      <c r="E7852" s="1" t="str">
        <f>IFERROR(__xludf.DUMMYFUNCTION("GOOGLETRANSLATE(D7852,""PT"",""EN"")"),"I have been a customer of Sicoob for many years for many years has been my card cloned in August 2022 there was no communication from the bank, I found only with the arrival of the invoice, I contacted the center of the card that said there was a new card"&amp;" already Okay, but they had not notified of the event. There was the reversal of the amount is after a few months, again the amount was charged to me. The attendants, the agency's treasurer is others very joint but the board or card center had the least r"&amp;"espect for my story as a client. I never used even the account limit or was late for the payment of my card. However, nothing has been done. I'm making movements to change bank.")</f>
        <v>I have been a customer of Sicoob for many years for many years has been my card cloned in August 2022 there was no communication from the bank, I found only with the arrival of the invoice, I contacted the center of the card that said there was a new card already Okay, but they had not notified of the event. There was the reversal of the amount is after a few months, again the amount was charged to me. The attendants, the agency's treasurer is others very joint but the board or card center had the least respect for my story as a client. I never used even the account limit or was late for the payment of my card. However, nothing has been done. I'm making movements to change bank.</v>
      </c>
    </row>
    <row r="7853" ht="14.25" customHeight="1">
      <c r="A7853" s="1">
        <v>100.0</v>
      </c>
      <c r="B7853" s="1" t="s">
        <v>3423</v>
      </c>
      <c r="C7853" s="1">
        <v>10.0</v>
      </c>
      <c r="D7853" s="1" t="s">
        <v>6</v>
      </c>
      <c r="E7853" s="1"/>
    </row>
    <row r="7854" ht="14.25" customHeight="1">
      <c r="A7854" s="1">
        <v>33.0</v>
      </c>
      <c r="B7854" s="1" t="s">
        <v>3423</v>
      </c>
      <c r="C7854" s="1">
        <v>0.0</v>
      </c>
      <c r="D7854" s="1" t="s">
        <v>6</v>
      </c>
      <c r="E7854" s="1"/>
    </row>
    <row r="7855" ht="14.25" customHeight="1">
      <c r="A7855" s="1">
        <v>100.0</v>
      </c>
      <c r="B7855" s="1" t="s">
        <v>3423</v>
      </c>
      <c r="C7855" s="1">
        <v>9.0</v>
      </c>
      <c r="D7855" s="1" t="s">
        <v>3596</v>
      </c>
      <c r="E7855" s="1" t="str">
        <f>IFERROR(__xludf.DUMMYFUNCTION("GOOGLETRANSLATE(D7855,""PT"",""EN"")"),"Meets needs")</f>
        <v>Meets needs</v>
      </c>
    </row>
    <row r="7856" ht="14.25" customHeight="1">
      <c r="A7856" s="1">
        <v>100.0</v>
      </c>
      <c r="B7856" s="1" t="s">
        <v>3423</v>
      </c>
      <c r="C7856" s="1">
        <v>10.0</v>
      </c>
      <c r="D7856" s="1" t="s">
        <v>6</v>
      </c>
      <c r="E7856" s="1"/>
    </row>
    <row r="7857" ht="14.25" customHeight="1">
      <c r="A7857" s="1">
        <v>100.0</v>
      </c>
      <c r="B7857" s="1" t="s">
        <v>3423</v>
      </c>
      <c r="C7857" s="1">
        <v>10.0</v>
      </c>
      <c r="D7857" s="1" t="s">
        <v>6</v>
      </c>
      <c r="E7857" s="1"/>
    </row>
    <row r="7858" ht="14.25" customHeight="1">
      <c r="A7858" s="1">
        <v>33.0</v>
      </c>
      <c r="B7858" s="1" t="s">
        <v>3423</v>
      </c>
      <c r="C7858" s="1">
        <v>2.0</v>
      </c>
      <c r="D7858" s="2" t="s">
        <v>3597</v>
      </c>
      <c r="E7858" s="1" t="str">
        <f>IFERROR(__xludf.DUMMYFUNCTION("GOOGLETRANSLATE(D7858,""PT"",""EN"")"),"Opening the legal account is not generated the limit on the card is even on the overdraft")</f>
        <v>Opening the legal account is not generated the limit on the card is even on the overdraft</v>
      </c>
    </row>
    <row r="7859" ht="14.25" customHeight="1">
      <c r="A7859" s="1">
        <v>66.0</v>
      </c>
      <c r="B7859" s="1" t="s">
        <v>3423</v>
      </c>
      <c r="C7859" s="1">
        <v>8.0</v>
      </c>
      <c r="D7859" s="2" t="s">
        <v>3598</v>
      </c>
      <c r="E7859" s="1" t="str">
        <f>IFERROR(__xludf.DUMMYFUNCTION("GOOGLETRANSLATE(D7859,""PT"",""EN"")"),"It is too long to solve things to accept")</f>
        <v>It is too long to solve things to accept</v>
      </c>
    </row>
    <row r="7860" ht="14.25" customHeight="1">
      <c r="A7860" s="1">
        <v>100.0</v>
      </c>
      <c r="B7860" s="1" t="s">
        <v>3423</v>
      </c>
      <c r="C7860" s="1">
        <v>10.0</v>
      </c>
      <c r="D7860" s="1" t="s">
        <v>6</v>
      </c>
      <c r="E7860" s="1"/>
    </row>
    <row r="7861" ht="14.25" customHeight="1">
      <c r="A7861" s="1">
        <v>100.0</v>
      </c>
      <c r="B7861" s="1" t="s">
        <v>3423</v>
      </c>
      <c r="C7861" s="1">
        <v>10.0</v>
      </c>
      <c r="D7861" s="1" t="s">
        <v>20</v>
      </c>
      <c r="E7861" s="1" t="str">
        <f>IFERROR(__xludf.DUMMYFUNCTION("GOOGLETRANSLATE(D7861,""PT"",""EN"")"),"Very good")</f>
        <v>Very good</v>
      </c>
    </row>
    <row r="7862" ht="14.25" customHeight="1">
      <c r="A7862" s="1">
        <v>100.0</v>
      </c>
      <c r="B7862" s="1" t="s">
        <v>3423</v>
      </c>
      <c r="C7862" s="1">
        <v>9.0</v>
      </c>
      <c r="D7862" s="2" t="s">
        <v>3599</v>
      </c>
      <c r="E7862" s="1" t="str">
        <f>IFERROR(__xludf.DUMMYFUNCTION("GOOGLETRANSLATE(D7862,""PT"",""EN"")"),"Whenever I need the service is very good. Now it was not 10 because I think there is a lot of tariff the bank/cooperative is also the remuneration of the applications are below the market, but I am pleased with the service.")</f>
        <v>Whenever I need the service is very good. Now it was not 10 because I think there is a lot of tariff the bank/cooperative is also the remuneration of the applications are below the market, but I am pleased with the service.</v>
      </c>
    </row>
    <row r="7863" ht="14.25" customHeight="1">
      <c r="A7863" s="1">
        <v>33.0</v>
      </c>
      <c r="B7863" s="1" t="s">
        <v>3423</v>
      </c>
      <c r="C7863" s="1">
        <v>2.0</v>
      </c>
      <c r="D7863" s="1" t="s">
        <v>6</v>
      </c>
      <c r="E7863" s="1"/>
    </row>
    <row r="7864" ht="14.25" customHeight="1">
      <c r="A7864" s="1">
        <v>33.0</v>
      </c>
      <c r="B7864" s="1" t="s">
        <v>3423</v>
      </c>
      <c r="C7864" s="1">
        <v>0.0</v>
      </c>
      <c r="D7864" s="1" t="s">
        <v>6</v>
      </c>
      <c r="E7864" s="1"/>
    </row>
    <row r="7865" ht="14.25" customHeight="1">
      <c r="A7865" s="1">
        <v>33.0</v>
      </c>
      <c r="B7865" s="1" t="s">
        <v>3423</v>
      </c>
      <c r="C7865" s="1">
        <v>0.0</v>
      </c>
      <c r="D7865" s="2" t="s">
        <v>3600</v>
      </c>
      <c r="E7865" s="1" t="str">
        <f>IFERROR(__xludf.DUMMYFUNCTION("GOOGLETRANSLATE(D7865,""PT"",""EN"")"),"terrible attendance.")</f>
        <v>terrible attendance.</v>
      </c>
    </row>
    <row r="7866" ht="14.25" customHeight="1">
      <c r="A7866" s="1">
        <v>100.0</v>
      </c>
      <c r="B7866" s="1" t="s">
        <v>3423</v>
      </c>
      <c r="C7866" s="1">
        <v>10.0</v>
      </c>
      <c r="D7866" s="2" t="s">
        <v>3601</v>
      </c>
      <c r="E7866" s="1" t="str">
        <f>IFERROR(__xludf.DUMMYFUNCTION("GOOGLETRANSLATE(D7866,""PT"",""EN"")"),"Sicoob is an excellent bank, who thinks of the customer is not just in numbers.")</f>
        <v>Sicoob is an excellent bank, who thinks of the customer is not just in numbers.</v>
      </c>
    </row>
    <row r="7867" ht="14.25" customHeight="1">
      <c r="A7867" s="1">
        <v>100.0</v>
      </c>
      <c r="B7867" s="1" t="s">
        <v>3423</v>
      </c>
      <c r="C7867" s="1">
        <v>10.0</v>
      </c>
      <c r="D7867" s="1" t="s">
        <v>3602</v>
      </c>
      <c r="E7867" s="1" t="str">
        <f>IFERROR(__xludf.DUMMYFUNCTION("GOOGLETRANSLATE(D7867,""PT"",""EN"")"),"Best financial institution.")</f>
        <v>Best financial institution.</v>
      </c>
    </row>
    <row r="7868" ht="14.25" customHeight="1">
      <c r="A7868" s="1">
        <v>100.0</v>
      </c>
      <c r="B7868" s="1" t="s">
        <v>3423</v>
      </c>
      <c r="C7868" s="1">
        <v>10.0</v>
      </c>
      <c r="D7868" s="1" t="s">
        <v>6</v>
      </c>
      <c r="E7868" s="1"/>
    </row>
    <row r="7869" ht="14.25" customHeight="1">
      <c r="A7869" s="1">
        <v>100.0</v>
      </c>
      <c r="B7869" s="1" t="s">
        <v>3423</v>
      </c>
      <c r="C7869" s="1">
        <v>10.0</v>
      </c>
      <c r="D7869" s="1" t="s">
        <v>3603</v>
      </c>
      <c r="E7869" s="1" t="str">
        <f>IFERROR(__xludf.DUMMYFUNCTION("GOOGLETRANSLATE(D7869,""PT"",""EN"")"),"Respect ...")</f>
        <v>Respect ...</v>
      </c>
    </row>
    <row r="7870" ht="14.25" customHeight="1">
      <c r="A7870" s="1">
        <v>100.0</v>
      </c>
      <c r="B7870" s="1" t="s">
        <v>3423</v>
      </c>
      <c r="C7870" s="1">
        <v>10.0</v>
      </c>
      <c r="D7870" s="1" t="s">
        <v>6</v>
      </c>
      <c r="E7870" s="1"/>
    </row>
    <row r="7871" ht="14.25" customHeight="1">
      <c r="A7871" s="1">
        <v>66.0</v>
      </c>
      <c r="B7871" s="1" t="s">
        <v>3423</v>
      </c>
      <c r="C7871" s="1">
        <v>7.0</v>
      </c>
      <c r="D7871" s="1" t="s">
        <v>6</v>
      </c>
      <c r="E7871" s="1"/>
    </row>
    <row r="7872" ht="14.25" customHeight="1">
      <c r="A7872" s="1">
        <v>100.0</v>
      </c>
      <c r="B7872" s="1" t="s">
        <v>3423</v>
      </c>
      <c r="C7872" s="1">
        <v>10.0</v>
      </c>
      <c r="D7872" s="2" t="s">
        <v>3604</v>
      </c>
      <c r="E7872" s="1" t="str">
        <f>IFERROR(__xludf.DUMMYFUNCTION("GOOGLETRANSLATE(D7872,""PT"",""EN"")"),"Accessibility and differentiated service.")</f>
        <v>Accessibility and differentiated service.</v>
      </c>
    </row>
    <row r="7873" ht="14.25" customHeight="1">
      <c r="A7873" s="1">
        <v>100.0</v>
      </c>
      <c r="B7873" s="1" t="s">
        <v>3423</v>
      </c>
      <c r="C7873" s="1">
        <v>10.0</v>
      </c>
      <c r="D7873" s="1" t="s">
        <v>9</v>
      </c>
      <c r="E7873" s="1" t="str">
        <f>IFERROR(__xludf.DUMMYFUNCTION("GOOGLETRANSLATE(D7873,""PT"",""EN"")"),"10")</f>
        <v>10</v>
      </c>
    </row>
    <row r="7874" ht="14.25" customHeight="1">
      <c r="A7874" s="1">
        <v>100.0</v>
      </c>
      <c r="B7874" s="1" t="s">
        <v>3423</v>
      </c>
      <c r="C7874" s="1">
        <v>10.0</v>
      </c>
      <c r="D7874" s="1" t="s">
        <v>3605</v>
      </c>
      <c r="E7874" s="1" t="str">
        <f>IFERROR(__xludf.DUMMYFUNCTION("GOOGLETRANSLATE(D7874,""PT"",""EN"")"),"I love Sicoob !!")</f>
        <v>I love Sicoob !!</v>
      </c>
    </row>
    <row r="7875" ht="14.25" customHeight="1">
      <c r="A7875" s="1">
        <v>33.0</v>
      </c>
      <c r="B7875" s="1" t="s">
        <v>3423</v>
      </c>
      <c r="C7875" s="1">
        <v>0.0</v>
      </c>
      <c r="D7875" s="1" t="s">
        <v>6</v>
      </c>
      <c r="E7875" s="1"/>
    </row>
    <row r="7876" ht="14.25" customHeight="1">
      <c r="A7876" s="1">
        <v>100.0</v>
      </c>
      <c r="B7876" s="1" t="s">
        <v>3423</v>
      </c>
      <c r="C7876" s="1">
        <v>10.0</v>
      </c>
      <c r="D7876" s="2" t="s">
        <v>3606</v>
      </c>
      <c r="E7876" s="1" t="str">
        <f>IFERROR(__xludf.DUMMYFUNCTION("GOOGLETRANSLATE(D7876,""PT"",""EN"")"),"Why I like the way the bank works")</f>
        <v>Why I like the way the bank works</v>
      </c>
    </row>
    <row r="7877" ht="14.25" customHeight="1">
      <c r="A7877" s="1">
        <v>100.0</v>
      </c>
      <c r="B7877" s="1" t="s">
        <v>3423</v>
      </c>
      <c r="C7877" s="1">
        <v>9.0</v>
      </c>
      <c r="D7877" s="2" t="s">
        <v>3607</v>
      </c>
      <c r="E7877" s="1" t="str">
        <f>IFERROR(__xludf.DUMMYFUNCTION("GOOGLETRANSLATE(D7877,""PT"",""EN"")"),"For not having rates")</f>
        <v>For not having rates</v>
      </c>
    </row>
    <row r="7878" ht="14.25" customHeight="1">
      <c r="A7878" s="1">
        <v>100.0</v>
      </c>
      <c r="B7878" s="1" t="s">
        <v>3423</v>
      </c>
      <c r="C7878" s="1">
        <v>10.0</v>
      </c>
      <c r="D7878" s="1" t="s">
        <v>342</v>
      </c>
      <c r="E7878" s="1" t="str">
        <f>IFERROR(__xludf.DUMMYFUNCTION("GOOGLETRANSLATE(D7878,""PT"",""EN"")"),"Perfect service")</f>
        <v>Perfect service</v>
      </c>
    </row>
    <row r="7879" ht="14.25" customHeight="1">
      <c r="A7879" s="1">
        <v>33.0</v>
      </c>
      <c r="B7879" s="1" t="s">
        <v>3423</v>
      </c>
      <c r="C7879" s="1">
        <v>0.0</v>
      </c>
      <c r="D7879" s="1" t="s">
        <v>3608</v>
      </c>
      <c r="E7879" s="1" t="str">
        <f>IFERROR(__xludf.DUMMYFUNCTION("GOOGLETRANSLATE(D7879,""PT"",""EN"")"),"Bank for rich.")</f>
        <v>Bank for rich.</v>
      </c>
    </row>
    <row r="7880" ht="14.25" customHeight="1">
      <c r="A7880" s="1">
        <v>33.0</v>
      </c>
      <c r="B7880" s="1" t="s">
        <v>3423</v>
      </c>
      <c r="C7880" s="1">
        <v>1.0</v>
      </c>
      <c r="D7880" s="2" t="s">
        <v>3609</v>
      </c>
      <c r="E7880" s="1" t="str">
        <f>IFERROR(__xludf.DUMMYFUNCTION("GOOGLETRANSLATE(D7880,""PT"",""EN"")"),"Because it did all. A process is not yet helped me at all rolled me up not released anything to me I sent all the documents my paycheck I passed references my very good score is at the end did not release anything only won earning well to receive by the b"&amp;"ank more I don't understand your policy I was very upset with this bank everything is all right")</f>
        <v>Because it did all. A process is not yet helped me at all rolled me up not released anything to me I sent all the documents my paycheck I passed references my very good score is at the end did not release anything only won earning well to receive by the bank more I don't understand your policy I was very upset with this bank everything is all right</v>
      </c>
    </row>
    <row r="7881" ht="14.25" customHeight="1">
      <c r="A7881" s="1">
        <v>100.0</v>
      </c>
      <c r="B7881" s="1" t="s">
        <v>3423</v>
      </c>
      <c r="C7881" s="1">
        <v>9.0</v>
      </c>
      <c r="D7881" s="1" t="s">
        <v>3610</v>
      </c>
      <c r="E7881" s="1" t="str">
        <f>IFERROR(__xludf.DUMMYFUNCTION("GOOGLETRANSLATE(D7881,""PT"",""EN"")"),"Good negotiations")</f>
        <v>Good negotiations</v>
      </c>
    </row>
    <row r="7882" ht="14.25" customHeight="1">
      <c r="A7882" s="1">
        <v>33.0</v>
      </c>
      <c r="B7882" s="1" t="s">
        <v>3423</v>
      </c>
      <c r="C7882" s="1">
        <v>0.0</v>
      </c>
      <c r="D7882" s="2" t="s">
        <v>3611</v>
      </c>
      <c r="E7882" s="1" t="str">
        <f>IFERROR(__xludf.DUMMYFUNCTION("GOOGLETRANSLATE(D7882,""PT"",""EN"")"),"I have no benefit.")</f>
        <v>I have no benefit.</v>
      </c>
    </row>
    <row r="7883" ht="14.25" customHeight="1">
      <c r="A7883" s="1">
        <v>33.0</v>
      </c>
      <c r="B7883" s="1" t="s">
        <v>3423</v>
      </c>
      <c r="C7883" s="1">
        <v>4.0</v>
      </c>
      <c r="D7883" s="2" t="s">
        <v>3612</v>
      </c>
      <c r="E7883" s="1" t="str">
        <f>IFERROR(__xludf.DUMMYFUNCTION("GOOGLETRANSLATE(D7883,""PT"",""EN"")"),"Has never been answered on credit")</f>
        <v>Has never been answered on credit</v>
      </c>
    </row>
    <row r="7884" ht="14.25" customHeight="1">
      <c r="A7884" s="1">
        <v>33.0</v>
      </c>
      <c r="B7884" s="1" t="s">
        <v>3423</v>
      </c>
      <c r="C7884" s="1">
        <v>2.0</v>
      </c>
      <c r="D7884" s="2" t="s">
        <v>3600</v>
      </c>
      <c r="E7884" s="1" t="str">
        <f>IFERROR(__xludf.DUMMYFUNCTION("GOOGLETRANSLATE(D7884,""PT"",""EN"")"),"terrible attendance.")</f>
        <v>terrible attendance.</v>
      </c>
    </row>
    <row r="7885" ht="14.25" customHeight="1">
      <c r="A7885" s="1">
        <v>100.0</v>
      </c>
      <c r="B7885" s="1" t="s">
        <v>3423</v>
      </c>
      <c r="C7885" s="1">
        <v>10.0</v>
      </c>
      <c r="D7885" s="1" t="s">
        <v>6</v>
      </c>
      <c r="E7885" s="1"/>
    </row>
    <row r="7886" ht="14.25" customHeight="1">
      <c r="A7886" s="1">
        <v>100.0</v>
      </c>
      <c r="B7886" s="1" t="s">
        <v>3423</v>
      </c>
      <c r="C7886" s="1">
        <v>10.0</v>
      </c>
      <c r="D7886" s="2" t="s">
        <v>3613</v>
      </c>
      <c r="E7886" s="1" t="str">
        <f>IFERROR(__xludf.DUMMYFUNCTION("GOOGLETRANSLATE(D7886,""PT"",""EN"")"),"It has served me well in bank service.")</f>
        <v>It has served me well in bank service.</v>
      </c>
    </row>
    <row r="7887" ht="14.25" customHeight="1">
      <c r="A7887" s="1">
        <v>100.0</v>
      </c>
      <c r="B7887" s="1" t="s">
        <v>3423</v>
      </c>
      <c r="C7887" s="1">
        <v>10.0</v>
      </c>
      <c r="D7887" s="1" t="s">
        <v>6</v>
      </c>
      <c r="E7887" s="1"/>
    </row>
    <row r="7888" ht="14.25" customHeight="1">
      <c r="A7888" s="1">
        <v>100.0</v>
      </c>
      <c r="B7888" s="1" t="s">
        <v>3423</v>
      </c>
      <c r="C7888" s="1">
        <v>9.0</v>
      </c>
      <c r="D7888" s="1" t="s">
        <v>6</v>
      </c>
      <c r="E7888" s="1"/>
    </row>
    <row r="7889" ht="14.25" customHeight="1">
      <c r="A7889" s="1">
        <v>33.0</v>
      </c>
      <c r="B7889" s="1" t="s">
        <v>3423</v>
      </c>
      <c r="C7889" s="1">
        <v>0.0</v>
      </c>
      <c r="D7889" s="1" t="s">
        <v>3614</v>
      </c>
      <c r="E7889" s="1" t="str">
        <f>IFERROR(__xludf.DUMMYFUNCTION("GOOGLETRANSLATE(D7889,""PT"",""EN"")"),"bad service")</f>
        <v>bad service</v>
      </c>
    </row>
    <row r="7890" ht="14.25" customHeight="1">
      <c r="A7890" s="1">
        <v>66.0</v>
      </c>
      <c r="B7890" s="1" t="s">
        <v>3423</v>
      </c>
      <c r="C7890" s="1">
        <v>8.0</v>
      </c>
      <c r="D7890" s="2" t="s">
        <v>3615</v>
      </c>
      <c r="E7890" s="1" t="str">
        <f>IFERROR(__xludf.DUMMYFUNCTION("GOOGLETRANSLATE(D7890,""PT"",""EN"")"),"You have to improve but.")</f>
        <v>You have to improve but.</v>
      </c>
    </row>
    <row r="7891" ht="14.25" customHeight="1">
      <c r="A7891" s="1">
        <v>66.0</v>
      </c>
      <c r="B7891" s="1" t="s">
        <v>3423</v>
      </c>
      <c r="C7891" s="1">
        <v>8.0</v>
      </c>
      <c r="D7891" s="1" t="s">
        <v>6</v>
      </c>
      <c r="E7891" s="1"/>
    </row>
    <row r="7892" ht="14.25" customHeight="1">
      <c r="A7892" s="1">
        <v>100.0</v>
      </c>
      <c r="B7892" s="1" t="s">
        <v>3423</v>
      </c>
      <c r="C7892" s="1">
        <v>9.0</v>
      </c>
      <c r="D7892" s="1" t="s">
        <v>6</v>
      </c>
      <c r="E7892" s="1"/>
    </row>
    <row r="7893" ht="14.25" customHeight="1">
      <c r="A7893" s="1">
        <v>100.0</v>
      </c>
      <c r="B7893" s="1" t="s">
        <v>3423</v>
      </c>
      <c r="C7893" s="1">
        <v>9.0</v>
      </c>
      <c r="D7893" s="2" t="s">
        <v>3616</v>
      </c>
      <c r="E7893" s="1" t="str">
        <f>IFERROR(__xludf.DUMMYFUNCTION("GOOGLETRANSLATE(D7893,""PT"",""EN"")"),"Good service is concerned with your customers")</f>
        <v>Good service is concerned with your customers</v>
      </c>
    </row>
    <row r="7894" ht="14.25" customHeight="1">
      <c r="A7894" s="1">
        <v>33.0</v>
      </c>
      <c r="B7894" s="1" t="s">
        <v>3423</v>
      </c>
      <c r="C7894" s="1">
        <v>5.0</v>
      </c>
      <c r="D7894" s="1" t="s">
        <v>6</v>
      </c>
      <c r="E7894" s="1"/>
    </row>
    <row r="7895" ht="14.25" customHeight="1">
      <c r="A7895" s="1">
        <v>33.0</v>
      </c>
      <c r="B7895" s="1" t="s">
        <v>3423</v>
      </c>
      <c r="C7895" s="1">
        <v>2.0</v>
      </c>
      <c r="D7895" s="1" t="s">
        <v>6</v>
      </c>
      <c r="E7895" s="1"/>
    </row>
    <row r="7896" ht="14.25" customHeight="1">
      <c r="A7896" s="1">
        <v>33.0</v>
      </c>
      <c r="B7896" s="1" t="s">
        <v>3423</v>
      </c>
      <c r="C7896" s="1">
        <v>4.0</v>
      </c>
      <c r="D7896" s="2" t="s">
        <v>3617</v>
      </c>
      <c r="E7896" s="1" t="str">
        <f>IFERROR(__xludf.DUMMYFUNCTION("GOOGLETRANSLATE(D7896,""PT"",""EN"")"),"terrible attendance!")</f>
        <v>terrible attendance!</v>
      </c>
    </row>
    <row r="7897" ht="14.25" customHeight="1">
      <c r="A7897" s="1">
        <v>66.0</v>
      </c>
      <c r="B7897" s="1" t="s">
        <v>3423</v>
      </c>
      <c r="C7897" s="1">
        <v>8.0</v>
      </c>
      <c r="D7897" s="2" t="s">
        <v>3618</v>
      </c>
      <c r="E7897" s="1" t="str">
        <f>IFERROR(__xludf.DUMMYFUNCTION("GOOGLETRANSLATE(D7897,""PT"",""EN"")"),"For me wonderful")</f>
        <v>For me wonderful</v>
      </c>
    </row>
    <row r="7898" ht="14.25" customHeight="1">
      <c r="A7898" s="1">
        <v>66.0</v>
      </c>
      <c r="B7898" s="1" t="s">
        <v>3423</v>
      </c>
      <c r="C7898" s="1">
        <v>8.0</v>
      </c>
      <c r="D7898" s="1" t="s">
        <v>6</v>
      </c>
      <c r="E7898" s="1"/>
    </row>
    <row r="7899" ht="14.25" customHeight="1">
      <c r="A7899" s="1">
        <v>100.0</v>
      </c>
      <c r="B7899" s="1" t="s">
        <v>3423</v>
      </c>
      <c r="C7899" s="1">
        <v>10.0</v>
      </c>
      <c r="D7899" s="1" t="s">
        <v>6</v>
      </c>
      <c r="E7899" s="1"/>
    </row>
    <row r="7900" ht="14.25" customHeight="1">
      <c r="A7900" s="1">
        <v>33.0</v>
      </c>
      <c r="B7900" s="1" t="s">
        <v>3423</v>
      </c>
      <c r="C7900" s="1">
        <v>0.0</v>
      </c>
      <c r="D7900" s="1" t="s">
        <v>3619</v>
      </c>
      <c r="E7900" s="1" t="str">
        <f>IFERROR(__xludf.DUMMYFUNCTION("GOOGLETRANSLATE(D7900,""PT"",""EN"")"),"I never had service")</f>
        <v>I never had service</v>
      </c>
    </row>
    <row r="7901" ht="14.25" customHeight="1">
      <c r="A7901" s="1">
        <v>33.0</v>
      </c>
      <c r="B7901" s="1" t="s">
        <v>3423</v>
      </c>
      <c r="C7901" s="1">
        <v>0.0</v>
      </c>
      <c r="D7901" s="2" t="s">
        <v>3620</v>
      </c>
      <c r="E7901" s="1" t="str">
        <f>IFERROR(__xludf.DUMMYFUNCTION("GOOGLETRANSLATE(D7901,""PT"",""EN"")"),"It has no advantage")</f>
        <v>It has no advantage</v>
      </c>
    </row>
    <row r="7902" ht="14.25" customHeight="1">
      <c r="A7902" s="1">
        <v>33.0</v>
      </c>
      <c r="B7902" s="1" t="s">
        <v>3423</v>
      </c>
      <c r="C7902" s="1">
        <v>4.0</v>
      </c>
      <c r="D7902" s="1" t="s">
        <v>3621</v>
      </c>
      <c r="E7902" s="1" t="str">
        <f>IFERROR(__xludf.DUMMYFUNCTION("GOOGLETRANSLATE(D7902,""PT"",""EN"")"),"For more benefits to members")</f>
        <v>For more benefits to members</v>
      </c>
    </row>
    <row r="7903" ht="14.25" customHeight="1">
      <c r="A7903" s="1">
        <v>33.0</v>
      </c>
      <c r="B7903" s="1" t="s">
        <v>3423</v>
      </c>
      <c r="C7903" s="1">
        <v>3.0</v>
      </c>
      <c r="D7903" s="2" t="s">
        <v>3622</v>
      </c>
      <c r="E7903" s="1" t="str">
        <f>IFERROR(__xludf.DUMMYFUNCTION("GOOGLETRANSLATE(D7903,""PT"",""EN"")"),"A very slow app is nothing intuitive to move, and all that you solve has to go to the agency is to take a password to talk to the attendant. Much outdated.")</f>
        <v>A very slow app is nothing intuitive to move, and all that you solve has to go to the agency is to take a password to talk to the attendant. Much outdated.</v>
      </c>
    </row>
    <row r="7904" ht="14.25" customHeight="1">
      <c r="A7904" s="1">
        <v>33.0</v>
      </c>
      <c r="B7904" s="1" t="s">
        <v>3423</v>
      </c>
      <c r="C7904" s="1">
        <v>4.0</v>
      </c>
      <c r="D7904" s="1" t="s">
        <v>6</v>
      </c>
      <c r="E7904" s="1"/>
    </row>
    <row r="7905" ht="14.25" customHeight="1">
      <c r="A7905" s="1">
        <v>100.0</v>
      </c>
      <c r="B7905" s="1" t="s">
        <v>3423</v>
      </c>
      <c r="C7905" s="1">
        <v>10.0</v>
      </c>
      <c r="D7905" s="1" t="s">
        <v>6</v>
      </c>
      <c r="E7905" s="1"/>
    </row>
    <row r="7906" ht="14.25" customHeight="1">
      <c r="A7906" s="1">
        <v>100.0</v>
      </c>
      <c r="B7906" s="1" t="s">
        <v>3423</v>
      </c>
      <c r="C7906" s="1">
        <v>10.0</v>
      </c>
      <c r="D7906" s="1" t="s">
        <v>6</v>
      </c>
      <c r="E7906" s="1"/>
    </row>
    <row r="7907" ht="14.25" customHeight="1">
      <c r="A7907" s="1">
        <v>33.0</v>
      </c>
      <c r="B7907" s="1" t="s">
        <v>3423</v>
      </c>
      <c r="C7907" s="1">
        <v>0.0</v>
      </c>
      <c r="D7907" s="2" t="s">
        <v>3623</v>
      </c>
      <c r="E7907" s="1" t="str">
        <f>IFERROR(__xludf.DUMMYFUNCTION("GOOGLETRANSLATE(D7907,""PT"",""EN"")"),"Lots of credit card bureaucracy")</f>
        <v>Lots of credit card bureaucracy</v>
      </c>
    </row>
    <row r="7908" ht="14.25" customHeight="1">
      <c r="A7908" s="1">
        <v>66.0</v>
      </c>
      <c r="B7908" s="1" t="s">
        <v>3423</v>
      </c>
      <c r="C7908" s="1">
        <v>8.0</v>
      </c>
      <c r="D7908" s="1" t="s">
        <v>3624</v>
      </c>
      <c r="E7908" s="1" t="str">
        <f>IFERROR(__xludf.DUMMYFUNCTION("GOOGLETRANSLATE(D7908,""PT"",""EN"")"),"Simple service")</f>
        <v>Simple service</v>
      </c>
    </row>
    <row r="7909" ht="14.25" customHeight="1">
      <c r="A7909" s="1">
        <v>100.0</v>
      </c>
      <c r="B7909" s="1" t="s">
        <v>3423</v>
      </c>
      <c r="C7909" s="1">
        <v>10.0</v>
      </c>
      <c r="D7909" s="2" t="s">
        <v>3625</v>
      </c>
      <c r="E7909" s="1" t="str">
        <f>IFERROR(__xludf.DUMMYFUNCTION("GOOGLETRANSLATE(D7909,""PT"",""EN"")"),"Excellent digital service")</f>
        <v>Excellent digital service</v>
      </c>
    </row>
    <row r="7910" ht="14.25" customHeight="1">
      <c r="A7910" s="1">
        <v>100.0</v>
      </c>
      <c r="B7910" s="1" t="s">
        <v>3423</v>
      </c>
      <c r="C7910" s="1">
        <v>10.0</v>
      </c>
      <c r="D7910" s="1" t="s">
        <v>6</v>
      </c>
      <c r="E7910" s="1"/>
    </row>
    <row r="7911" ht="14.25" customHeight="1">
      <c r="A7911" s="1">
        <v>100.0</v>
      </c>
      <c r="B7911" s="1" t="s">
        <v>3423</v>
      </c>
      <c r="C7911" s="1">
        <v>10.0</v>
      </c>
      <c r="D7911" s="2" t="s">
        <v>3626</v>
      </c>
      <c r="E7911" s="1" t="str">
        <f>IFERROR(__xludf.DUMMYFUNCTION("GOOGLETRANSLATE(D7911,""PT"",""EN"")"),"It is a bank which I have flexibility is good service")</f>
        <v>It is a bank which I have flexibility is good service</v>
      </c>
    </row>
    <row r="7912" ht="14.25" customHeight="1">
      <c r="A7912" s="1">
        <v>66.0</v>
      </c>
      <c r="B7912" s="1" t="s">
        <v>3423</v>
      </c>
      <c r="C7912" s="1">
        <v>8.0</v>
      </c>
      <c r="D7912" s="1" t="s">
        <v>6</v>
      </c>
      <c r="E7912" s="1"/>
    </row>
    <row r="7913" ht="14.25" customHeight="1">
      <c r="A7913" s="1">
        <v>100.0</v>
      </c>
      <c r="B7913" s="1" t="s">
        <v>3423</v>
      </c>
      <c r="C7913" s="1">
        <v>10.0</v>
      </c>
      <c r="D7913" s="1" t="s">
        <v>6</v>
      </c>
      <c r="E7913" s="1"/>
    </row>
    <row r="7914" ht="14.25" customHeight="1">
      <c r="A7914" s="1">
        <v>33.0</v>
      </c>
      <c r="B7914" s="1" t="s">
        <v>3423</v>
      </c>
      <c r="C7914" s="1">
        <v>2.0</v>
      </c>
      <c r="D7914" s="1" t="s">
        <v>6</v>
      </c>
      <c r="E7914" s="1"/>
    </row>
    <row r="7915" ht="14.25" customHeight="1">
      <c r="A7915" s="1">
        <v>33.0</v>
      </c>
      <c r="B7915" s="1" t="s">
        <v>3423</v>
      </c>
      <c r="C7915" s="1">
        <v>0.0</v>
      </c>
      <c r="D7915" s="1" t="s">
        <v>6</v>
      </c>
      <c r="E7915" s="1"/>
    </row>
    <row r="7916" ht="14.25" customHeight="1">
      <c r="A7916" s="1">
        <v>100.0</v>
      </c>
      <c r="B7916" s="1" t="s">
        <v>3423</v>
      </c>
      <c r="C7916" s="1">
        <v>10.0</v>
      </c>
      <c r="D7916" s="1" t="s">
        <v>6</v>
      </c>
      <c r="E7916" s="1"/>
    </row>
    <row r="7917" ht="14.25" customHeight="1">
      <c r="A7917" s="1">
        <v>100.0</v>
      </c>
      <c r="B7917" s="1" t="s">
        <v>3423</v>
      </c>
      <c r="C7917" s="1">
        <v>10.0</v>
      </c>
      <c r="D7917" s="1" t="s">
        <v>6</v>
      </c>
      <c r="E7917" s="1"/>
    </row>
    <row r="7918" ht="14.25" customHeight="1">
      <c r="A7918" s="1">
        <v>33.0</v>
      </c>
      <c r="B7918" s="1" t="s">
        <v>3423</v>
      </c>
      <c r="C7918" s="1">
        <v>5.0</v>
      </c>
      <c r="D7918" s="2" t="s">
        <v>3627</v>
      </c>
      <c r="E7918" s="1" t="str">
        <f>IFERROR(__xludf.DUMMYFUNCTION("GOOGLETRANSLATE(D7918,""PT"",""EN"")"),"The service of Sicoob which was the differential became mechanical is in nothing, referring to the service, is differentiating from conventional banks.")</f>
        <v>The service of Sicoob which was the differential became mechanical is in nothing, referring to the service, is differentiating from conventional banks.</v>
      </c>
    </row>
    <row r="7919" ht="14.25" customHeight="1">
      <c r="A7919" s="1">
        <v>100.0</v>
      </c>
      <c r="B7919" s="1" t="s">
        <v>3423</v>
      </c>
      <c r="C7919" s="1">
        <v>10.0</v>
      </c>
      <c r="D7919" s="1" t="s">
        <v>3628</v>
      </c>
      <c r="E7919" s="1" t="str">
        <f>IFERROR(__xludf.DUMMYFUNCTION("GOOGLETRANSLATE(D7919,""PT"",""EN"")"),"My heart is 💚")</f>
        <v>My heart is 💚</v>
      </c>
    </row>
    <row r="7920" ht="14.25" customHeight="1">
      <c r="A7920" s="1">
        <v>100.0</v>
      </c>
      <c r="B7920" s="1" t="s">
        <v>3423</v>
      </c>
      <c r="C7920" s="1">
        <v>10.0</v>
      </c>
      <c r="D7920" s="1" t="s">
        <v>6</v>
      </c>
      <c r="E7920" s="1"/>
    </row>
    <row r="7921" ht="14.25" customHeight="1">
      <c r="A7921" s="1">
        <v>100.0</v>
      </c>
      <c r="B7921" s="1" t="s">
        <v>3423</v>
      </c>
      <c r="C7921" s="1">
        <v>9.0</v>
      </c>
      <c r="D7921" s="1" t="s">
        <v>6</v>
      </c>
      <c r="E7921" s="1"/>
    </row>
    <row r="7922" ht="14.25" customHeight="1">
      <c r="A7922" s="1">
        <v>33.0</v>
      </c>
      <c r="B7922" s="1" t="s">
        <v>3423</v>
      </c>
      <c r="C7922" s="1">
        <v>4.0</v>
      </c>
      <c r="D7922" s="1" t="s">
        <v>3629</v>
      </c>
      <c r="E7922" s="1" t="str">
        <f>IFERROR(__xludf.DUMMYFUNCTION("GOOGLETRANSLATE(D7922,""PT"",""EN"")"),"Low -limit")</f>
        <v>Low -limit</v>
      </c>
    </row>
    <row r="7923" ht="14.25" customHeight="1">
      <c r="A7923" s="1">
        <v>33.0</v>
      </c>
      <c r="B7923" s="1" t="s">
        <v>3423</v>
      </c>
      <c r="C7923" s="1">
        <v>0.0</v>
      </c>
      <c r="D7923" s="1" t="s">
        <v>6</v>
      </c>
      <c r="E7923" s="1"/>
    </row>
    <row r="7924" ht="14.25" customHeight="1">
      <c r="A7924" s="1">
        <v>100.0</v>
      </c>
      <c r="B7924" s="1" t="s">
        <v>3423</v>
      </c>
      <c r="C7924" s="1">
        <v>10.0</v>
      </c>
      <c r="D7924" s="1" t="s">
        <v>164</v>
      </c>
      <c r="E7924" s="1" t="str">
        <f>IFERROR(__xludf.DUMMYFUNCTION("GOOGLETRANSLATE(D7924,""PT"",""EN"")"),"Great bank")</f>
        <v>Great bank</v>
      </c>
    </row>
    <row r="7925" ht="14.25" customHeight="1">
      <c r="A7925" s="1">
        <v>100.0</v>
      </c>
      <c r="B7925" s="1" t="s">
        <v>3423</v>
      </c>
      <c r="C7925" s="1">
        <v>10.0</v>
      </c>
      <c r="D7925" s="1" t="s">
        <v>6</v>
      </c>
      <c r="E7925" s="1"/>
    </row>
    <row r="7926" ht="14.25" customHeight="1">
      <c r="A7926" s="1">
        <v>100.0</v>
      </c>
      <c r="B7926" s="1" t="s">
        <v>3423</v>
      </c>
      <c r="C7926" s="1">
        <v>10.0</v>
      </c>
      <c r="D7926" s="2" t="s">
        <v>3630</v>
      </c>
      <c r="E7926" s="1" t="str">
        <f>IFERROR(__xludf.DUMMYFUNCTION("GOOGLETRANSLATE(D7926,""PT"",""EN"")"),"Fees is ease of investments")</f>
        <v>Fees is ease of investments</v>
      </c>
    </row>
    <row r="7927" ht="14.25" customHeight="1">
      <c r="A7927" s="1">
        <v>100.0</v>
      </c>
      <c r="B7927" s="1" t="s">
        <v>3423</v>
      </c>
      <c r="C7927" s="1">
        <v>10.0</v>
      </c>
      <c r="D7927" s="2" t="s">
        <v>3631</v>
      </c>
      <c r="E7927" s="1" t="str">
        <f>IFERROR(__xludf.DUMMYFUNCTION("GOOGLETRANSLATE(D7927,""PT"",""EN"")"),"Reliability and practicality.")</f>
        <v>Reliability and practicality.</v>
      </c>
    </row>
    <row r="7928" ht="14.25" customHeight="1">
      <c r="A7928" s="1">
        <v>33.0</v>
      </c>
      <c r="B7928" s="1" t="s">
        <v>3423</v>
      </c>
      <c r="C7928" s="1">
        <v>6.0</v>
      </c>
      <c r="D7928" s="1" t="s">
        <v>6</v>
      </c>
      <c r="E7928" s="1"/>
    </row>
    <row r="7929" ht="14.25" customHeight="1">
      <c r="A7929" s="1">
        <v>66.0</v>
      </c>
      <c r="B7929" s="1" t="s">
        <v>3423</v>
      </c>
      <c r="C7929" s="1">
        <v>7.0</v>
      </c>
      <c r="D7929" s="2" t="s">
        <v>3632</v>
      </c>
      <c r="E7929" s="1" t="str">
        <f>IFERROR(__xludf.DUMMYFUNCTION("GOOGLETRANSLATE(D7929,""PT"",""EN"")"),"I couldn't limit the account card limit")</f>
        <v>I couldn't limit the account card limit</v>
      </c>
    </row>
    <row r="7930" ht="14.25" customHeight="1">
      <c r="A7930" s="1">
        <v>100.0</v>
      </c>
      <c r="B7930" s="1" t="s">
        <v>3423</v>
      </c>
      <c r="C7930" s="1">
        <v>10.0</v>
      </c>
      <c r="D7930" s="1" t="s">
        <v>6</v>
      </c>
      <c r="E7930" s="1"/>
    </row>
    <row r="7931" ht="14.25" customHeight="1">
      <c r="A7931" s="1">
        <v>33.0</v>
      </c>
      <c r="B7931" s="1" t="s">
        <v>3423</v>
      </c>
      <c r="C7931" s="1">
        <v>3.0</v>
      </c>
      <c r="D7931" s="2" t="s">
        <v>3633</v>
      </c>
      <c r="E7931" s="1" t="str">
        <f>IFERROR(__xludf.DUMMYFUNCTION("GOOGLETRANSLATE(D7931,""PT"",""EN"")"),"credit, very difficult")</f>
        <v>credit, very difficult</v>
      </c>
    </row>
    <row r="7932" ht="14.25" customHeight="1">
      <c r="A7932" s="1">
        <v>100.0</v>
      </c>
      <c r="B7932" s="1" t="s">
        <v>3423</v>
      </c>
      <c r="C7932" s="1">
        <v>10.0</v>
      </c>
      <c r="D7932" s="1" t="s">
        <v>6</v>
      </c>
      <c r="E7932" s="1"/>
    </row>
    <row r="7933" ht="14.25" customHeight="1">
      <c r="A7933" s="1">
        <v>100.0</v>
      </c>
      <c r="B7933" s="1" t="s">
        <v>3423</v>
      </c>
      <c r="C7933" s="1">
        <v>10.0</v>
      </c>
      <c r="D7933" s="1" t="s">
        <v>6</v>
      </c>
      <c r="E7933" s="1"/>
    </row>
    <row r="7934" ht="14.25" customHeight="1">
      <c r="A7934" s="1">
        <v>100.0</v>
      </c>
      <c r="B7934" s="1" t="s">
        <v>3423</v>
      </c>
      <c r="C7934" s="1">
        <v>10.0</v>
      </c>
      <c r="D7934" s="1" t="s">
        <v>3634</v>
      </c>
      <c r="E7934" s="1" t="str">
        <f>IFERROR(__xludf.DUMMYFUNCTION("GOOGLETRANSLATE(D7934,""PT"",""EN"")"),"A practical bank.")</f>
        <v>A practical bank.</v>
      </c>
    </row>
    <row r="7935" ht="14.25" customHeight="1">
      <c r="A7935" s="1">
        <v>100.0</v>
      </c>
      <c r="B7935" s="1" t="s">
        <v>3423</v>
      </c>
      <c r="C7935" s="1">
        <v>10.0</v>
      </c>
      <c r="D7935" s="1" t="s">
        <v>3635</v>
      </c>
      <c r="E7935" s="1" t="str">
        <f>IFERROR(__xludf.DUMMYFUNCTION("GOOGLETRANSLATE(D7935,""PT"",""EN"")"),"To this day")</f>
        <v>To this day</v>
      </c>
    </row>
    <row r="7936" ht="14.25" customHeight="1">
      <c r="A7936" s="1">
        <v>33.0</v>
      </c>
      <c r="B7936" s="1" t="s">
        <v>3423</v>
      </c>
      <c r="C7936" s="1">
        <v>0.0</v>
      </c>
      <c r="D7936" s="2" t="s">
        <v>3636</v>
      </c>
      <c r="E7936" s="1" t="str">
        <f>IFERROR(__xludf.DUMMYFUNCTION("GOOGLETRANSLATE(D7936,""PT"",""EN"")"),"I was almost 1 (month) to answer a request.")</f>
        <v>I was almost 1 (month) to answer a request.</v>
      </c>
    </row>
    <row r="7937" ht="14.25" customHeight="1">
      <c r="A7937" s="1">
        <v>100.0</v>
      </c>
      <c r="B7937" s="1" t="s">
        <v>3423</v>
      </c>
      <c r="C7937" s="1">
        <v>10.0</v>
      </c>
      <c r="D7937" s="1" t="s">
        <v>6</v>
      </c>
      <c r="E7937" s="1"/>
    </row>
    <row r="7938" ht="14.25" customHeight="1">
      <c r="A7938" s="1">
        <v>33.0</v>
      </c>
      <c r="B7938" s="1" t="s">
        <v>3423</v>
      </c>
      <c r="C7938" s="1">
        <v>3.0</v>
      </c>
      <c r="D7938" s="1" t="s">
        <v>3637</v>
      </c>
      <c r="E7938" s="1" t="str">
        <f>IFERROR(__xludf.DUMMYFUNCTION("GOOGLETRANSLATE(D7938,""PT"",""EN"")"),"Everything I needed was denied")</f>
        <v>Everything I needed was denied</v>
      </c>
    </row>
    <row r="7939" ht="14.25" customHeight="1">
      <c r="A7939" s="1">
        <v>100.0</v>
      </c>
      <c r="B7939" s="1" t="s">
        <v>3423</v>
      </c>
      <c r="C7939" s="1">
        <v>10.0</v>
      </c>
      <c r="D7939" s="2" t="s">
        <v>3638</v>
      </c>
      <c r="E7939" s="1" t="str">
        <f>IFERROR(__xludf.DUMMYFUNCTION("GOOGLETRANSLATE(D7939,""PT"",""EN"")"),"Excellent service and ease of operations")</f>
        <v>Excellent service and ease of operations</v>
      </c>
    </row>
    <row r="7940" ht="14.25" customHeight="1">
      <c r="A7940" s="1">
        <v>33.0</v>
      </c>
      <c r="B7940" s="1" t="s">
        <v>3423</v>
      </c>
      <c r="C7940" s="1">
        <v>3.0</v>
      </c>
      <c r="D7940" s="2" t="s">
        <v>3639</v>
      </c>
      <c r="E7940" s="1" t="str">
        <f>IFERROR(__xludf.DUMMYFUNCTION("GOOGLETRANSLATE(D7940,""PT"",""EN"")"),"Lack of respect and consideration by the board with the client is associated who keeps their salary")</f>
        <v>Lack of respect and consideration by the board with the client is associated who keeps their salary</v>
      </c>
    </row>
    <row r="7941" ht="14.25" customHeight="1">
      <c r="A7941" s="1">
        <v>66.0</v>
      </c>
      <c r="B7941" s="1" t="s">
        <v>3423</v>
      </c>
      <c r="C7941" s="1">
        <v>8.0</v>
      </c>
      <c r="D7941" s="2" t="s">
        <v>3640</v>
      </c>
      <c r="E7941" s="1" t="str">
        <f>IFERROR(__xludf.DUMMYFUNCTION("GOOGLETRANSLATE(D7941,""PT"",""EN"")"),"It is a very good association is banking services are within the average of other banks.")</f>
        <v>It is a very good association is banking services are within the average of other banks.</v>
      </c>
    </row>
    <row r="7942" ht="14.25" customHeight="1">
      <c r="A7942" s="1">
        <v>33.0</v>
      </c>
      <c r="B7942" s="1" t="s">
        <v>3423</v>
      </c>
      <c r="C7942" s="1">
        <v>0.0</v>
      </c>
      <c r="D7942" s="2" t="s">
        <v>3641</v>
      </c>
      <c r="E7942" s="1" t="str">
        <f>IFERROR(__xludf.DUMMYFUNCTION("GOOGLETRANSLATE(D7942,""PT"",""EN"")"),"I sent proof of income, and income tax receipt, I am INSS pensioner is municipal civil servant, at 15 years is not offered any type of credit, only a card with a meager 500.00 limit, I am very dissatisfied, soon I will end the account.")</f>
        <v>I sent proof of income, and income tax receipt, I am INSS pensioner is municipal civil servant, at 15 years is not offered any type of credit, only a card with a meager 500.00 limit, I am very dissatisfied, soon I will end the account.</v>
      </c>
    </row>
    <row r="7943" ht="14.25" customHeight="1">
      <c r="A7943" s="1">
        <v>100.0</v>
      </c>
      <c r="B7943" s="1" t="s">
        <v>3423</v>
      </c>
      <c r="C7943" s="1">
        <v>10.0</v>
      </c>
      <c r="D7943" s="1" t="s">
        <v>3642</v>
      </c>
      <c r="E7943" s="1" t="str">
        <f>IFERROR(__xludf.DUMMYFUNCTION("GOOGLETRANSLATE(D7943,""PT"",""EN"")"),"Agility Care")</f>
        <v>Agility Care</v>
      </c>
    </row>
    <row r="7944" ht="14.25" customHeight="1">
      <c r="A7944" s="1">
        <v>33.0</v>
      </c>
      <c r="B7944" s="1" t="s">
        <v>3423</v>
      </c>
      <c r="C7944" s="1">
        <v>0.0</v>
      </c>
      <c r="D7944" s="1" t="s">
        <v>6</v>
      </c>
      <c r="E7944" s="1"/>
    </row>
    <row r="7945" ht="14.25" customHeight="1">
      <c r="A7945" s="1">
        <v>100.0</v>
      </c>
      <c r="B7945" s="1" t="s">
        <v>3423</v>
      </c>
      <c r="C7945" s="1">
        <v>10.0</v>
      </c>
      <c r="D7945" s="1" t="s">
        <v>6</v>
      </c>
      <c r="E7945" s="1"/>
    </row>
    <row r="7946" ht="14.25" customHeight="1">
      <c r="A7946" s="1">
        <v>100.0</v>
      </c>
      <c r="B7946" s="1" t="s">
        <v>3423</v>
      </c>
      <c r="C7946" s="1">
        <v>10.0</v>
      </c>
      <c r="D7946" s="1" t="s">
        <v>3643</v>
      </c>
      <c r="E7946" s="1" t="str">
        <f>IFERROR(__xludf.DUMMYFUNCTION("GOOGLETRANSLATE(D7946,""PT"",""EN"")"),"I am very well attended")</f>
        <v>I am very well attended</v>
      </c>
    </row>
    <row r="7947" ht="14.25" customHeight="1">
      <c r="A7947" s="1">
        <v>33.0</v>
      </c>
      <c r="B7947" s="1" t="s">
        <v>3423</v>
      </c>
      <c r="C7947" s="1">
        <v>3.0</v>
      </c>
      <c r="D7947" s="2" t="s">
        <v>3644</v>
      </c>
      <c r="E7947" s="1" t="str">
        <f>IFERROR(__xludf.DUMMYFUNCTION("GOOGLETRANSLATE(D7947,""PT"",""EN"")"),"Employees are professional and dedicated.")</f>
        <v>Employees are professional and dedicated.</v>
      </c>
    </row>
    <row r="7948" ht="14.25" customHeight="1">
      <c r="A7948" s="1">
        <v>100.0</v>
      </c>
      <c r="B7948" s="1" t="s">
        <v>3423</v>
      </c>
      <c r="C7948" s="1">
        <v>10.0</v>
      </c>
      <c r="D7948" s="1" t="s">
        <v>3645</v>
      </c>
      <c r="E7948" s="1" t="str">
        <f>IFERROR(__xludf.DUMMYFUNCTION("GOOGLETRANSLATE(D7948,""PT"",""EN"")"),"It is an efficient bank, very good")</f>
        <v>It is an efficient bank, very good</v>
      </c>
    </row>
    <row r="7949" ht="14.25" customHeight="1">
      <c r="A7949" s="1">
        <v>33.0</v>
      </c>
      <c r="B7949" s="1" t="s">
        <v>3423</v>
      </c>
      <c r="C7949" s="1">
        <v>0.0</v>
      </c>
      <c r="D7949" s="1" t="s">
        <v>3646</v>
      </c>
      <c r="E7949" s="1" t="str">
        <f>IFERROR(__xludf.DUMMYFUNCTION("GOOGLETRANSLATE(D7949,""PT"",""EN"")"),"Trash !")</f>
        <v>Trash !</v>
      </c>
    </row>
    <row r="7950" ht="14.25" customHeight="1">
      <c r="A7950" s="1">
        <v>100.0</v>
      </c>
      <c r="B7950" s="1" t="s">
        <v>3423</v>
      </c>
      <c r="C7950" s="1">
        <v>10.0</v>
      </c>
      <c r="D7950" s="1" t="s">
        <v>6</v>
      </c>
      <c r="E7950" s="1"/>
    </row>
    <row r="7951" ht="14.25" customHeight="1">
      <c r="A7951" s="1">
        <v>100.0</v>
      </c>
      <c r="B7951" s="1" t="s">
        <v>3423</v>
      </c>
      <c r="C7951" s="1">
        <v>10.0</v>
      </c>
      <c r="D7951" s="2" t="s">
        <v>3647</v>
      </c>
      <c r="E7951" s="1" t="str">
        <f>IFERROR(__xludf.DUMMYFUNCTION("GOOGLETRANSLATE(D7951,""PT"",""EN"")"),"Sicoob has a personalized service is an efficient team.")</f>
        <v>Sicoob has a personalized service is an efficient team.</v>
      </c>
    </row>
    <row r="7952" ht="14.25" customHeight="1">
      <c r="A7952" s="1">
        <v>33.0</v>
      </c>
      <c r="B7952" s="1" t="s">
        <v>3423</v>
      </c>
      <c r="C7952" s="1">
        <v>0.0</v>
      </c>
      <c r="D7952" s="1" t="s">
        <v>3648</v>
      </c>
      <c r="E7952" s="1" t="str">
        <f>IFERROR(__xludf.DUMMYFUNCTION("GOOGLETRANSLATE(D7952,""PT"",""EN"")"),"Without")</f>
        <v>Without</v>
      </c>
    </row>
    <row r="7953" ht="14.25" customHeight="1">
      <c r="A7953" s="1">
        <v>33.0</v>
      </c>
      <c r="B7953" s="1" t="s">
        <v>3423</v>
      </c>
      <c r="C7953" s="1">
        <v>2.0</v>
      </c>
      <c r="D7953" s="1" t="s">
        <v>3649</v>
      </c>
      <c r="E7953" s="1" t="str">
        <f>IFERROR(__xludf.DUMMYFUNCTION("GOOGLETRANSLATE(D7953,""PT"",""EN"")"),"Little attention to the microenterprise.")</f>
        <v>Little attention to the microenterprise.</v>
      </c>
    </row>
    <row r="7954" ht="14.25" customHeight="1">
      <c r="A7954" s="1">
        <v>33.0</v>
      </c>
      <c r="B7954" s="1" t="s">
        <v>3423</v>
      </c>
      <c r="C7954" s="1">
        <v>5.0</v>
      </c>
      <c r="D7954" s="2" t="s">
        <v>3650</v>
      </c>
      <c r="E7954" s="1" t="str">
        <f>IFERROR(__xludf.DUMMYFUNCTION("GOOGLETRANSLATE(D7954,""PT"",""EN"")"),"I have been a long time since I am a client I get the salary in Sicoob is I have no credit")</f>
        <v>I have been a long time since I am a client I get the salary in Sicoob is I have no credit</v>
      </c>
    </row>
    <row r="7955" ht="14.25" customHeight="1">
      <c r="A7955" s="1">
        <v>100.0</v>
      </c>
      <c r="B7955" s="1" t="s">
        <v>3423</v>
      </c>
      <c r="C7955" s="1">
        <v>10.0</v>
      </c>
      <c r="D7955" s="2" t="s">
        <v>3651</v>
      </c>
      <c r="E7955" s="1" t="str">
        <f>IFERROR(__xludf.DUMMYFUNCTION("GOOGLETRANSLATE(D7955,""PT"",""EN"")"),"Excellent service, low rates, financial return in the period.")</f>
        <v>Excellent service, low rates, financial return in the period.</v>
      </c>
    </row>
    <row r="7956" ht="14.25" customHeight="1">
      <c r="A7956" s="1">
        <v>33.0</v>
      </c>
      <c r="B7956" s="1" t="s">
        <v>3423</v>
      </c>
      <c r="C7956" s="1">
        <v>1.0</v>
      </c>
      <c r="D7956" s="2" t="s">
        <v>3652</v>
      </c>
      <c r="E7956" s="1" t="str">
        <f>IFERROR(__xludf.DUMMYFUNCTION("GOOGLETRANSLATE(D7956,""PT"",""EN"")"),"Application is not intuitive, it is no benefits")</f>
        <v>Application is not intuitive, it is no benefits</v>
      </c>
    </row>
    <row r="7957" ht="14.25" customHeight="1">
      <c r="A7957" s="1">
        <v>100.0</v>
      </c>
      <c r="B7957" s="1" t="s">
        <v>3423</v>
      </c>
      <c r="C7957" s="1">
        <v>10.0</v>
      </c>
      <c r="D7957" s="2" t="s">
        <v>1325</v>
      </c>
      <c r="E7957" s="1" t="str">
        <f>IFERROR(__xludf.DUMMYFUNCTION("GOOGLETRANSLATE(D7957,""PT"",""EN"")"),"personalized service")</f>
        <v>personalized service</v>
      </c>
    </row>
    <row r="7958" ht="14.25" customHeight="1">
      <c r="A7958" s="1">
        <v>66.0</v>
      </c>
      <c r="B7958" s="1" t="s">
        <v>3423</v>
      </c>
      <c r="C7958" s="1">
        <v>8.0</v>
      </c>
      <c r="D7958" s="1" t="s">
        <v>6</v>
      </c>
      <c r="E7958" s="1"/>
    </row>
    <row r="7959" ht="14.25" customHeight="1">
      <c r="A7959" s="1">
        <v>100.0</v>
      </c>
      <c r="B7959" s="1" t="s">
        <v>3423</v>
      </c>
      <c r="C7959" s="1">
        <v>9.0</v>
      </c>
      <c r="D7959" s="1" t="s">
        <v>6</v>
      </c>
      <c r="E7959" s="1"/>
    </row>
    <row r="7960" ht="14.25" customHeight="1">
      <c r="A7960" s="1">
        <v>66.0</v>
      </c>
      <c r="B7960" s="1" t="s">
        <v>3423</v>
      </c>
      <c r="C7960" s="1">
        <v>8.0</v>
      </c>
      <c r="D7960" s="1" t="s">
        <v>6</v>
      </c>
      <c r="E7960" s="1"/>
    </row>
    <row r="7961" ht="14.25" customHeight="1">
      <c r="A7961" s="1">
        <v>33.0</v>
      </c>
      <c r="B7961" s="1" t="s">
        <v>3423</v>
      </c>
      <c r="C7961" s="1">
        <v>0.0</v>
      </c>
      <c r="D7961" s="2" t="s">
        <v>3653</v>
      </c>
      <c r="E7961" s="1" t="str">
        <f>IFERROR(__xludf.DUMMYFUNCTION("GOOGLETRANSLATE(D7961,""PT"",""EN"")"),"Bad service and service")</f>
        <v>Bad service and service</v>
      </c>
    </row>
    <row r="7962" ht="14.25" customHeight="1">
      <c r="A7962" s="1">
        <v>66.0</v>
      </c>
      <c r="B7962" s="1" t="s">
        <v>3423</v>
      </c>
      <c r="C7962" s="1">
        <v>7.0</v>
      </c>
      <c r="D7962" s="1" t="s">
        <v>6</v>
      </c>
      <c r="E7962" s="1"/>
    </row>
    <row r="7963" ht="14.25" customHeight="1">
      <c r="A7963" s="1">
        <v>33.0</v>
      </c>
      <c r="B7963" s="1" t="s">
        <v>3423</v>
      </c>
      <c r="C7963" s="1">
        <v>3.0</v>
      </c>
      <c r="D7963" s="2" t="s">
        <v>3654</v>
      </c>
      <c r="E7963" s="1" t="str">
        <f>IFERROR(__xludf.DUMMYFUNCTION("GOOGLETRANSLATE(D7963,""PT"",""EN"")"),"It didn't pay us much attention despite a reasonable movement we never had the chance to hear investment proposals if you want a credit offer, which ended up leading us to other bank with more interest despite higher rates!")</f>
        <v>It didn't pay us much attention despite a reasonable movement we never had the chance to hear investment proposals if you want a credit offer, which ended up leading us to other bank with more interest despite higher rates!</v>
      </c>
    </row>
    <row r="7964" ht="14.25" customHeight="1">
      <c r="A7964" s="1">
        <v>100.0</v>
      </c>
      <c r="B7964" s="1" t="s">
        <v>3423</v>
      </c>
      <c r="C7964" s="1">
        <v>10.0</v>
      </c>
      <c r="D7964" s="1" t="s">
        <v>22</v>
      </c>
      <c r="E7964" s="1" t="str">
        <f>IFERROR(__xludf.DUMMYFUNCTION("GOOGLETRANSLATE(D7964,""PT"",""EN"")"),"Excellent service")</f>
        <v>Excellent service</v>
      </c>
    </row>
    <row r="7965" ht="14.25" customHeight="1">
      <c r="A7965" s="1">
        <v>100.0</v>
      </c>
      <c r="B7965" s="1" t="s">
        <v>3423</v>
      </c>
      <c r="C7965" s="1">
        <v>10.0</v>
      </c>
      <c r="D7965" s="1" t="s">
        <v>3655</v>
      </c>
      <c r="E7965" s="1" t="str">
        <f>IFERROR(__xludf.DUMMYFUNCTION("GOOGLETRANSLATE(D7965,""PT"",""EN"")"),"Because it is a bank that serves companies well")</f>
        <v>Because it is a bank that serves companies well</v>
      </c>
    </row>
    <row r="7966" ht="14.25" customHeight="1">
      <c r="A7966" s="1">
        <v>66.0</v>
      </c>
      <c r="B7966" s="1" t="s">
        <v>3423</v>
      </c>
      <c r="C7966" s="1">
        <v>7.0</v>
      </c>
      <c r="D7966" s="1" t="s">
        <v>6</v>
      </c>
      <c r="E7966" s="1"/>
    </row>
    <row r="7967" ht="14.25" customHeight="1">
      <c r="A7967" s="1">
        <v>66.0</v>
      </c>
      <c r="B7967" s="1" t="s">
        <v>3423</v>
      </c>
      <c r="C7967" s="1">
        <v>7.0</v>
      </c>
      <c r="D7967" s="1" t="s">
        <v>3656</v>
      </c>
      <c r="E7967" s="1" t="str">
        <f>IFERROR(__xludf.DUMMYFUNCTION("GOOGLETRANSLATE(D7967,""PT"",""EN"")"),"Very high rates")</f>
        <v>Very high rates</v>
      </c>
    </row>
    <row r="7968" ht="14.25" customHeight="1">
      <c r="A7968" s="1">
        <v>100.0</v>
      </c>
      <c r="B7968" s="1" t="s">
        <v>3657</v>
      </c>
      <c r="C7968" s="1">
        <v>10.0</v>
      </c>
      <c r="D7968" s="1" t="s">
        <v>6</v>
      </c>
      <c r="E7968" s="1"/>
    </row>
    <row r="7969" ht="14.25" customHeight="1">
      <c r="A7969" s="1">
        <v>100.0</v>
      </c>
      <c r="B7969" s="1" t="s">
        <v>1340</v>
      </c>
      <c r="C7969" s="1">
        <v>10.0</v>
      </c>
      <c r="D7969" s="2" t="s">
        <v>3658</v>
      </c>
      <c r="E7969" s="1" t="str">
        <f>IFERROR(__xludf.DUMMYFUNCTION("GOOGLETRANSLATE(D7969,""PT"",""EN"")"),"The good service of management is the communication channels")</f>
        <v>The good service of management is the communication channels</v>
      </c>
    </row>
    <row r="7970" ht="14.25" customHeight="1">
      <c r="A7970" s="1">
        <v>33.0</v>
      </c>
      <c r="B7970" s="1" t="s">
        <v>245</v>
      </c>
      <c r="C7970" s="1">
        <v>2.0</v>
      </c>
      <c r="D7970" s="2" t="s">
        <v>3659</v>
      </c>
      <c r="E7970" s="1" t="str">
        <f>IFERROR(__xludf.DUMMYFUNCTION("GOOGLETRANSLATE(D7970,""PT"",""EN"")"),"Do not value customers")</f>
        <v>Do not value customers</v>
      </c>
    </row>
    <row r="7971" ht="14.25" customHeight="1">
      <c r="A7971" s="1">
        <v>100.0</v>
      </c>
      <c r="B7971" s="1" t="s">
        <v>245</v>
      </c>
      <c r="C7971" s="1">
        <v>10.0</v>
      </c>
      <c r="D7971" s="1" t="s">
        <v>1273</v>
      </c>
      <c r="E7971" s="1" t="str">
        <f>IFERROR(__xludf.DUMMYFUNCTION("GOOGLETRANSLATE(D7971,""PT"",""EN"")"),"Rapid service")</f>
        <v>Rapid service</v>
      </c>
    </row>
    <row r="7972" ht="14.25" customHeight="1">
      <c r="A7972" s="1">
        <v>33.0</v>
      </c>
      <c r="B7972" s="1" t="s">
        <v>1049</v>
      </c>
      <c r="C7972" s="1">
        <v>5.0</v>
      </c>
      <c r="D7972" s="2" t="s">
        <v>3660</v>
      </c>
      <c r="E7972" s="1" t="str">
        <f>IFERROR(__xludf.DUMMYFUNCTION("GOOGLETRANSLATE(D7972,""PT"",""EN"")"),"Credit lines are missing for small businesses")</f>
        <v>Credit lines are missing for small businesses</v>
      </c>
    </row>
    <row r="7973" ht="14.25" customHeight="1">
      <c r="A7973" s="1">
        <v>66.0</v>
      </c>
      <c r="B7973" s="1" t="s">
        <v>3657</v>
      </c>
      <c r="C7973" s="1">
        <v>8.0</v>
      </c>
      <c r="D7973" s="1" t="s">
        <v>803</v>
      </c>
      <c r="E7973" s="1" t="str">
        <f>IFERROR(__xludf.DUMMYFUNCTION("GOOGLETRANSLATE(D7973,""PT"",""EN"")"),"Good")</f>
        <v>Good</v>
      </c>
    </row>
    <row r="7974" ht="14.25" customHeight="1">
      <c r="A7974" s="1">
        <v>33.0</v>
      </c>
      <c r="B7974" s="1" t="s">
        <v>819</v>
      </c>
      <c r="C7974" s="1">
        <v>1.0</v>
      </c>
      <c r="D7974" s="2" t="s">
        <v>3661</v>
      </c>
      <c r="E7974" s="1" t="str">
        <f>IFERROR(__xludf.DUMMYFUNCTION("GOOGLETRANSLATE(D7974,""PT"",""EN"")"),"It doesn't offer me any kind of credit")</f>
        <v>It doesn't offer me any kind of credit</v>
      </c>
    </row>
    <row r="7975" ht="14.25" customHeight="1">
      <c r="A7975" s="1">
        <v>100.0</v>
      </c>
      <c r="B7975" s="1" t="s">
        <v>3657</v>
      </c>
      <c r="C7975" s="1">
        <v>10.0</v>
      </c>
      <c r="D7975" s="2" t="s">
        <v>3662</v>
      </c>
      <c r="E7975" s="1" t="str">
        <f>IFERROR(__xludf.DUMMYFUNCTION("GOOGLETRANSLATE(D7975,""PT"",""EN"")"),"Very good, great credit cooperative, leaves to want a little in the service, but I recommend")</f>
        <v>Very good, great credit cooperative, leaves to want a little in the service, but I recommend</v>
      </c>
    </row>
    <row r="7976" ht="14.25" customHeight="1">
      <c r="A7976" s="1">
        <v>66.0</v>
      </c>
      <c r="B7976" s="1" t="s">
        <v>3657</v>
      </c>
      <c r="C7976" s="1">
        <v>8.0</v>
      </c>
      <c r="D7976" s="1" t="s">
        <v>85</v>
      </c>
      <c r="E7976" s="1" t="str">
        <f>IFERROR(__xludf.DUMMYFUNCTION("GOOGLETRANSLATE(D7976,""PT"",""EN"")"),"Service")</f>
        <v>Service</v>
      </c>
    </row>
    <row r="7977" ht="14.25" customHeight="1">
      <c r="A7977" s="1">
        <v>100.0</v>
      </c>
      <c r="B7977" s="1" t="s">
        <v>1245</v>
      </c>
      <c r="C7977" s="1">
        <v>10.0</v>
      </c>
      <c r="D7977" s="1" t="s">
        <v>2595</v>
      </c>
      <c r="E7977" s="1" t="str">
        <f>IFERROR(__xludf.DUMMYFUNCTION("GOOGLETRANSLATE(D7977,""PT"",""EN"")"),"OK")</f>
        <v>OK</v>
      </c>
    </row>
    <row r="7978" ht="14.25" customHeight="1">
      <c r="A7978" s="1">
        <v>66.0</v>
      </c>
      <c r="B7978" s="1" t="s">
        <v>801</v>
      </c>
      <c r="C7978" s="1">
        <v>7.0</v>
      </c>
      <c r="D7978" s="2" t="s">
        <v>3663</v>
      </c>
      <c r="E7978" s="1" t="str">
        <f>IFERROR(__xludf.DUMMYFUNCTION("GOOGLETRANSLATE(D7978,""PT"",""EN"")"),"Easier credit is less bureaucratic")</f>
        <v>Easier credit is less bureaucratic</v>
      </c>
    </row>
    <row r="7979" ht="14.25" customHeight="1">
      <c r="A7979" s="1">
        <v>33.0</v>
      </c>
      <c r="B7979" s="1" t="s">
        <v>3423</v>
      </c>
      <c r="C7979" s="1">
        <v>1.0</v>
      </c>
      <c r="D7979" s="1" t="s">
        <v>3664</v>
      </c>
      <c r="E7979" s="1" t="str">
        <f>IFERROR(__xludf.DUMMYFUNCTION("GOOGLETRANSLATE(D7979,""PT"",""EN"")"),"No attention to the customer. I have never received a single bank connection")</f>
        <v>No attention to the customer. I have never received a single bank connection</v>
      </c>
    </row>
    <row r="7980" ht="14.25" customHeight="1">
      <c r="A7980" s="1">
        <v>100.0</v>
      </c>
      <c r="B7980" s="1" t="s">
        <v>2412</v>
      </c>
      <c r="C7980" s="1">
        <v>10.0</v>
      </c>
      <c r="D7980" s="1" t="s">
        <v>716</v>
      </c>
      <c r="E7980" s="1" t="str">
        <f>IFERROR(__xludf.DUMMYFUNCTION("GOOGLETRANSLATE(D7980,""PT"",""EN"")"),"The good relationship with the customer")</f>
        <v>The good relationship with the customer</v>
      </c>
    </row>
    <row r="7981" ht="14.25" customHeight="1">
      <c r="A7981" s="1">
        <v>100.0</v>
      </c>
      <c r="B7981" s="1" t="s">
        <v>3657</v>
      </c>
      <c r="C7981" s="1">
        <v>9.0</v>
      </c>
      <c r="D7981" s="1" t="s">
        <v>6</v>
      </c>
      <c r="E7981" s="1"/>
    </row>
    <row r="7982" ht="14.25" customHeight="1">
      <c r="A7982" s="1">
        <v>66.0</v>
      </c>
      <c r="B7982" s="1" t="s">
        <v>1691</v>
      </c>
      <c r="C7982" s="1">
        <v>8.0</v>
      </c>
      <c r="D7982" s="2" t="s">
        <v>3665</v>
      </c>
      <c r="E7982" s="1" t="str">
        <f>IFERROR(__xludf.DUMMYFUNCTION("GOOGLETRANSLATE(D7982,""PT"",""EN"")"),"I like the rates is principles. But a lot of bureaucracy.")</f>
        <v>I like the rates is principles. But a lot of bureaucracy.</v>
      </c>
    </row>
    <row r="7983" ht="14.25" customHeight="1">
      <c r="A7983" s="1">
        <v>100.0</v>
      </c>
      <c r="B7983" s="1" t="s">
        <v>5</v>
      </c>
      <c r="C7983" s="1">
        <v>10.0</v>
      </c>
      <c r="D7983" s="2" t="s">
        <v>3666</v>
      </c>
      <c r="E7983" s="1" t="str">
        <f>IFERROR(__xludf.DUMMYFUNCTION("GOOGLETRANSLATE(D7983,""PT"",""EN"")"),"Employee service. Interest Great Fee")</f>
        <v>Employee service. Interest Great Fee</v>
      </c>
    </row>
    <row r="7984" ht="14.25" customHeight="1">
      <c r="A7984" s="1">
        <v>100.0</v>
      </c>
      <c r="B7984" s="1" t="s">
        <v>3657</v>
      </c>
      <c r="C7984" s="1">
        <v>10.0</v>
      </c>
      <c r="D7984" s="2" t="s">
        <v>3667</v>
      </c>
      <c r="E7984" s="1" t="str">
        <f>IFERROR(__xludf.DUMMYFUNCTION("GOOGLETRANSLATE(D7984,""PT"",""EN"")"),"time service is time rates more affordable the manager meets time is the time")</f>
        <v>time service is time rates more affordable the manager meets time is the time</v>
      </c>
    </row>
    <row r="7985" ht="14.25" customHeight="1">
      <c r="A7985" s="1">
        <v>66.0</v>
      </c>
      <c r="B7985" s="1" t="s">
        <v>3657</v>
      </c>
      <c r="C7985" s="1">
        <v>8.0</v>
      </c>
      <c r="D7985" s="2" t="s">
        <v>3668</v>
      </c>
      <c r="E7985" s="1" t="str">
        <f>IFERROR(__xludf.DUMMYFUNCTION("GOOGLETRANSLATE(D7985,""PT"",""EN"")"),"I'm still in handling")</f>
        <v>I'm still in handling</v>
      </c>
    </row>
    <row r="7986" ht="14.25" customHeight="1">
      <c r="A7986" s="1">
        <v>100.0</v>
      </c>
      <c r="B7986" s="1" t="s">
        <v>245</v>
      </c>
      <c r="C7986" s="1">
        <v>10.0</v>
      </c>
      <c r="D7986" s="1" t="s">
        <v>6</v>
      </c>
      <c r="E7986" s="1"/>
    </row>
    <row r="7987" ht="14.25" customHeight="1">
      <c r="A7987" s="1">
        <v>33.0</v>
      </c>
      <c r="B7987" s="1" t="s">
        <v>3657</v>
      </c>
      <c r="C7987" s="1">
        <v>0.0</v>
      </c>
      <c r="D7987" s="1" t="s">
        <v>6</v>
      </c>
      <c r="E7987" s="1"/>
    </row>
    <row r="7988" ht="14.25" customHeight="1">
      <c r="A7988" s="1">
        <v>100.0</v>
      </c>
      <c r="B7988" s="1" t="s">
        <v>3423</v>
      </c>
      <c r="C7988" s="1">
        <v>10.0</v>
      </c>
      <c r="D7988" s="2" t="s">
        <v>3669</v>
      </c>
      <c r="E7988" s="1" t="str">
        <f>IFERROR(__xludf.DUMMYFUNCTION("GOOGLETRANSLATE(D7988,""PT"",""EN"")"),"I am satisfied with Sicoob, highly skilled, humble, simple and competent professionals!")</f>
        <v>I am satisfied with Sicoob, highly skilled, humble, simple and competent professionals!</v>
      </c>
    </row>
    <row r="7989" ht="14.25" customHeight="1">
      <c r="A7989" s="1">
        <v>100.0</v>
      </c>
      <c r="B7989" s="1" t="s">
        <v>1691</v>
      </c>
      <c r="C7989" s="1">
        <v>10.0</v>
      </c>
      <c r="D7989" s="1" t="s">
        <v>17</v>
      </c>
      <c r="E7989" s="1" t="str">
        <f>IFERROR(__xludf.DUMMYFUNCTION("GOOGLETRANSLATE(D7989,""PT"",""EN"")"),"Satisfaction")</f>
        <v>Satisfaction</v>
      </c>
    </row>
    <row r="7990" ht="14.25" customHeight="1">
      <c r="A7990" s="1">
        <v>100.0</v>
      </c>
      <c r="B7990" s="1" t="s">
        <v>3657</v>
      </c>
      <c r="C7990" s="1">
        <v>9.0</v>
      </c>
      <c r="D7990" s="1" t="s">
        <v>6</v>
      </c>
      <c r="E7990" s="1"/>
    </row>
    <row r="7991" ht="14.25" customHeight="1">
      <c r="A7991" s="1">
        <v>100.0</v>
      </c>
      <c r="B7991" s="1" t="s">
        <v>1607</v>
      </c>
      <c r="C7991" s="1">
        <v>10.0</v>
      </c>
      <c r="D7991" s="1" t="s">
        <v>1629</v>
      </c>
      <c r="E7991" s="1" t="str">
        <f>IFERROR(__xludf.DUMMYFUNCTION("GOOGLETRANSLATE(D7991,""PT"",""EN"")"),"Excellence in service.")</f>
        <v>Excellence in service.</v>
      </c>
    </row>
    <row r="7992" ht="14.25" customHeight="1">
      <c r="A7992" s="1">
        <v>33.0</v>
      </c>
      <c r="B7992" s="1" t="s">
        <v>3657</v>
      </c>
      <c r="C7992" s="1">
        <v>5.0</v>
      </c>
      <c r="D7992" s="1" t="s">
        <v>3670</v>
      </c>
      <c r="E7992" s="1" t="str">
        <f>IFERROR(__xludf.DUMMYFUNCTION("GOOGLETRANSLATE(D7992,""PT"",""EN"")"),"After it moved to Sicoob")</f>
        <v>After it moved to Sicoob</v>
      </c>
    </row>
    <row r="7993" ht="14.25" customHeight="1">
      <c r="A7993" s="1">
        <v>100.0</v>
      </c>
      <c r="B7993" s="1" t="s">
        <v>3657</v>
      </c>
      <c r="C7993" s="1">
        <v>10.0</v>
      </c>
      <c r="D7993" s="1" t="s">
        <v>6</v>
      </c>
      <c r="E7993" s="1"/>
    </row>
    <row r="7994" ht="14.25" customHeight="1">
      <c r="A7994" s="1">
        <v>100.0</v>
      </c>
      <c r="B7994" s="1" t="s">
        <v>1245</v>
      </c>
      <c r="C7994" s="1">
        <v>9.0</v>
      </c>
      <c r="D7994" s="1" t="s">
        <v>3671</v>
      </c>
      <c r="E7994" s="1" t="str">
        <f>IFERROR(__xludf.DUMMYFUNCTION("GOOGLETRANSLATE(D7994,""PT"",""EN"")"),"No bank is note 10")</f>
        <v>No bank is note 10</v>
      </c>
    </row>
    <row r="7995" ht="14.25" customHeight="1">
      <c r="A7995" s="1">
        <v>100.0</v>
      </c>
      <c r="B7995" s="1" t="s">
        <v>3657</v>
      </c>
      <c r="C7995" s="1">
        <v>10.0</v>
      </c>
      <c r="D7995" s="1" t="s">
        <v>1357</v>
      </c>
      <c r="E7995" s="1" t="str">
        <f>IFERROR(__xludf.DUMMYFUNCTION("GOOGLETRANSLATE(D7995,""PT"",""EN"")"),"Reliability!")</f>
        <v>Reliability!</v>
      </c>
    </row>
    <row r="7996" ht="14.25" customHeight="1">
      <c r="A7996" s="1">
        <v>33.0</v>
      </c>
      <c r="B7996" s="1" t="s">
        <v>3672</v>
      </c>
      <c r="C7996" s="1">
        <v>0.0</v>
      </c>
      <c r="D7996" s="1" t="s">
        <v>3673</v>
      </c>
      <c r="E7996" s="1" t="str">
        <f>IFERROR(__xludf.DUMMYFUNCTION("GOOGLETRANSLATE(D7996,""PT"",""EN"")"),"As much as I movement, I am treated like dog. I'm moving to Santander")</f>
        <v>As much as I movement, I am treated like dog. I'm moving to Santander</v>
      </c>
    </row>
    <row r="7997" ht="14.25" customHeight="1">
      <c r="A7997" s="1">
        <v>100.0</v>
      </c>
      <c r="B7997" s="1" t="s">
        <v>971</v>
      </c>
      <c r="C7997" s="1">
        <v>9.0</v>
      </c>
      <c r="D7997" s="1" t="s">
        <v>6</v>
      </c>
      <c r="E7997" s="1"/>
    </row>
    <row r="7998" ht="14.25" customHeight="1">
      <c r="A7998" s="1">
        <v>33.0</v>
      </c>
      <c r="B7998" s="1" t="s">
        <v>1245</v>
      </c>
      <c r="C7998" s="1">
        <v>4.0</v>
      </c>
      <c r="D7998" s="2" t="s">
        <v>3674</v>
      </c>
      <c r="E7998" s="1" t="str">
        <f>IFERROR(__xludf.DUMMYFUNCTION("GOOGLETRANSLATE(D7998,""PT"",""EN"")"),"I see no advantage in this bank")</f>
        <v>I see no advantage in this bank</v>
      </c>
    </row>
    <row r="7999" ht="14.25" customHeight="1">
      <c r="A7999" s="1">
        <v>100.0</v>
      </c>
      <c r="B7999" s="1" t="s">
        <v>3657</v>
      </c>
      <c r="C7999" s="1">
        <v>10.0</v>
      </c>
      <c r="D7999" s="1" t="s">
        <v>3675</v>
      </c>
      <c r="E7999" s="1" t="str">
        <f>IFERROR(__xludf.DUMMYFUNCTION("GOOGLETRANSLATE(D7999,""PT"",""EN"")"),"WONDERFUL COOPERATIVE")</f>
        <v>WONDERFUL COOPERATIVE</v>
      </c>
    </row>
    <row r="8000" ht="14.25" customHeight="1">
      <c r="A8000" s="1">
        <v>100.0</v>
      </c>
      <c r="B8000" s="1" t="s">
        <v>1691</v>
      </c>
      <c r="C8000" s="1">
        <v>10.0</v>
      </c>
      <c r="D8000" s="1" t="s">
        <v>6</v>
      </c>
      <c r="E8000" s="1"/>
    </row>
    <row r="8001" ht="14.25" customHeight="1">
      <c r="A8001" s="1">
        <v>100.0</v>
      </c>
      <c r="B8001" s="1" t="s">
        <v>1049</v>
      </c>
      <c r="C8001" s="1">
        <v>10.0</v>
      </c>
      <c r="D8001" s="2" t="s">
        <v>3676</v>
      </c>
      <c r="E8001" s="1" t="str">
        <f>IFERROR(__xludf.DUMMYFUNCTION("GOOGLETRANSLATE(D8001,""PT"",""EN"")"),"Excellent service and attention")</f>
        <v>Excellent service and attention</v>
      </c>
    </row>
    <row r="8002" ht="14.25" customHeight="1">
      <c r="A8002" s="1">
        <v>100.0</v>
      </c>
      <c r="B8002" s="1" t="s">
        <v>2669</v>
      </c>
      <c r="C8002" s="1">
        <v>9.0</v>
      </c>
      <c r="D8002" s="1" t="s">
        <v>3677</v>
      </c>
      <c r="E8002" s="1" t="str">
        <f>IFERROR(__xludf.DUMMYFUNCTION("GOOGLETRANSLATE(D8002,""PT"",""EN"")"),"Lower rates.")</f>
        <v>Lower rates.</v>
      </c>
    </row>
    <row r="8003" ht="14.25" customHeight="1">
      <c r="A8003" s="1">
        <v>33.0</v>
      </c>
      <c r="B8003" s="1" t="s">
        <v>3657</v>
      </c>
      <c r="C8003" s="1">
        <v>0.0</v>
      </c>
      <c r="D8003" s="2" t="s">
        <v>3678</v>
      </c>
      <c r="E8003" s="1" t="str">
        <f>IFERROR(__xludf.DUMMYFUNCTION("GOOGLETRANSLATE(D8003,""PT"",""EN"")"),"Pessimo in relationship is credit line")</f>
        <v>Pessimo in relationship is credit line</v>
      </c>
    </row>
    <row r="8004" ht="14.25" customHeight="1">
      <c r="A8004" s="1">
        <v>66.0</v>
      </c>
      <c r="B8004" s="1" t="s">
        <v>1049</v>
      </c>
      <c r="C8004" s="1">
        <v>8.0</v>
      </c>
      <c r="D8004" s="2" t="s">
        <v>3679</v>
      </c>
      <c r="E8004" s="1" t="str">
        <f>IFERROR(__xludf.DUMMYFUNCTION("GOOGLETRANSLATE(D8004,""PT"",""EN"")"),"Low cost of maintenance of the account is without queues")</f>
        <v>Low cost of maintenance of the account is without queues</v>
      </c>
    </row>
    <row r="8005" ht="14.25" customHeight="1">
      <c r="A8005" s="1">
        <v>100.0</v>
      </c>
      <c r="B8005" s="1" t="s">
        <v>3657</v>
      </c>
      <c r="C8005" s="1">
        <v>10.0</v>
      </c>
      <c r="D8005" s="1" t="s">
        <v>736</v>
      </c>
      <c r="E8005" s="1" t="str">
        <f>IFERROR(__xludf.DUMMYFUNCTION("GOOGLETRANSLATE(D8005,""PT"",""EN"")"),"Best atendiment")</f>
        <v>Best atendiment</v>
      </c>
    </row>
    <row r="8006" ht="14.25" customHeight="1">
      <c r="A8006" s="1">
        <v>100.0</v>
      </c>
      <c r="B8006" s="1" t="s">
        <v>3657</v>
      </c>
      <c r="C8006" s="1">
        <v>10.0</v>
      </c>
      <c r="D8006" s="1" t="s">
        <v>6</v>
      </c>
      <c r="E8006" s="1"/>
    </row>
    <row r="8007" ht="14.25" customHeight="1">
      <c r="A8007" s="1">
        <v>100.0</v>
      </c>
      <c r="B8007" s="1" t="s">
        <v>157</v>
      </c>
      <c r="C8007" s="1">
        <v>10.0</v>
      </c>
      <c r="D8007" s="1" t="s">
        <v>3680</v>
      </c>
      <c r="E8007" s="1" t="str">
        <f>IFERROR(__xludf.DUMMYFUNCTION("GOOGLETRANSLATE(D8007,""PT"",""EN"")"),"NOTE 10, good service, low interest rates")</f>
        <v>NOTE 10, good service, low interest rates</v>
      </c>
    </row>
    <row r="8008" ht="14.25" customHeight="1">
      <c r="A8008" s="1">
        <v>100.0</v>
      </c>
      <c r="B8008" s="1" t="s">
        <v>1204</v>
      </c>
      <c r="C8008" s="1">
        <v>10.0</v>
      </c>
      <c r="D8008" s="1" t="s">
        <v>6</v>
      </c>
      <c r="E8008" s="1"/>
    </row>
    <row r="8009" ht="14.25" customHeight="1">
      <c r="A8009" s="1">
        <v>100.0</v>
      </c>
      <c r="B8009" s="1" t="s">
        <v>157</v>
      </c>
      <c r="C8009" s="1">
        <v>10.0</v>
      </c>
      <c r="D8009" s="1" t="s">
        <v>3681</v>
      </c>
      <c r="E8009" s="1" t="str">
        <f>IFERROR(__xludf.DUMMYFUNCTION("GOOGLETRANSLATE(D8009,""PT"",""EN"")"),"The service provided by the team of Caldas Novas")</f>
        <v>The service provided by the team of Caldas Novas</v>
      </c>
    </row>
    <row r="8010" ht="14.25" customHeight="1">
      <c r="A8010" s="1">
        <v>33.0</v>
      </c>
      <c r="B8010" s="1" t="s">
        <v>1691</v>
      </c>
      <c r="C8010" s="1">
        <v>0.0</v>
      </c>
      <c r="D8010" s="1" t="s">
        <v>3682</v>
      </c>
      <c r="E8010" s="1" t="str">
        <f>IFERROR(__xludf.DUMMYFUNCTION("GOOGLETRANSLATE(D8010,""PT"",""EN"")"),"Removed our access to application performance!")</f>
        <v>Removed our access to application performance!</v>
      </c>
    </row>
    <row r="8011" ht="14.25" customHeight="1">
      <c r="A8011" s="1">
        <v>100.0</v>
      </c>
      <c r="B8011" s="1" t="s">
        <v>3423</v>
      </c>
      <c r="C8011" s="1">
        <v>10.0</v>
      </c>
      <c r="D8011" s="2" t="s">
        <v>3683</v>
      </c>
      <c r="E8011" s="1" t="str">
        <f>IFERROR(__xludf.DUMMYFUNCTION("GOOGLETRANSLATE(D8011,""PT"",""EN"")"),"We like the cooperative for not always serving ready not giving all the support and attention.")</f>
        <v>We like the cooperative for not always serving ready not giving all the support and attention.</v>
      </c>
    </row>
    <row r="8012" ht="14.25" customHeight="1">
      <c r="A8012" s="1">
        <v>100.0</v>
      </c>
      <c r="B8012" s="1" t="s">
        <v>687</v>
      </c>
      <c r="C8012" s="1">
        <v>10.0</v>
      </c>
      <c r="D8012" s="1" t="s">
        <v>6</v>
      </c>
      <c r="E8012" s="1"/>
    </row>
    <row r="8013" ht="14.25" customHeight="1">
      <c r="A8013" s="1">
        <v>66.0</v>
      </c>
      <c r="B8013" s="1" t="s">
        <v>2106</v>
      </c>
      <c r="C8013" s="1">
        <v>8.0</v>
      </c>
      <c r="D8013" s="2" t="s">
        <v>3684</v>
      </c>
      <c r="E8013" s="1" t="str">
        <f>IFERROR(__xludf.DUMMYFUNCTION("GOOGLETRANSLATE(D8013,""PT"",""EN"")"),"Reduced my personal credit line, without me having given reasons for it ... 😕😕😕")</f>
        <v>Reduced my personal credit line, without me having given reasons for it ... 😕😕😕</v>
      </c>
    </row>
    <row r="8014" ht="14.25" customHeight="1">
      <c r="A8014" s="1">
        <v>100.0</v>
      </c>
      <c r="B8014" s="1" t="s">
        <v>1691</v>
      </c>
      <c r="C8014" s="1">
        <v>10.0</v>
      </c>
      <c r="D8014" s="2" t="s">
        <v>208</v>
      </c>
      <c r="E8014" s="1" t="str">
        <f>IFERROR(__xludf.DUMMYFUNCTION("GOOGLETRANSLATE(D8014,""PT"",""EN"")"),"excellent")</f>
        <v>excellent</v>
      </c>
    </row>
    <row r="8015" ht="14.25" customHeight="1">
      <c r="A8015" s="1">
        <v>100.0</v>
      </c>
      <c r="B8015" s="1" t="s">
        <v>3657</v>
      </c>
      <c r="C8015" s="1">
        <v>9.0</v>
      </c>
      <c r="D8015" s="1" t="s">
        <v>6</v>
      </c>
      <c r="E8015" s="1"/>
    </row>
    <row r="8016" ht="14.25" customHeight="1">
      <c r="A8016" s="1">
        <v>100.0</v>
      </c>
      <c r="B8016" s="1" t="s">
        <v>245</v>
      </c>
      <c r="C8016" s="1">
        <v>10.0</v>
      </c>
      <c r="D8016" s="1" t="s">
        <v>481</v>
      </c>
      <c r="E8016" s="1" t="str">
        <f>IFERROR(__xludf.DUMMYFUNCTION("GOOGLETRANSLATE(D8016,""PT"",""EN"")"),"Partnership")</f>
        <v>Partnership</v>
      </c>
    </row>
    <row r="8017" ht="14.25" customHeight="1">
      <c r="A8017" s="1">
        <v>100.0</v>
      </c>
      <c r="B8017" s="1" t="s">
        <v>5</v>
      </c>
      <c r="C8017" s="1">
        <v>10.0</v>
      </c>
      <c r="D8017" s="1" t="s">
        <v>6</v>
      </c>
      <c r="E8017" s="1"/>
    </row>
    <row r="8018" ht="14.25" customHeight="1">
      <c r="A8018" s="1">
        <v>66.0</v>
      </c>
      <c r="B8018" s="1" t="s">
        <v>1691</v>
      </c>
      <c r="C8018" s="1">
        <v>7.0</v>
      </c>
      <c r="D8018" s="2" t="s">
        <v>3685</v>
      </c>
      <c r="E8018" s="1" t="str">
        <f>IFERROR(__xludf.DUMMYFUNCTION("GOOGLETRANSLATE(D8018,""PT"",""EN"")"),"Digital experience I find excellent, however management can improve. I requested approval of card limit increase is issuing checks for over 30 days it is my manager has not given me any return to this day.")</f>
        <v>Digital experience I find excellent, however management can improve. I requested approval of card limit increase is issuing checks for over 30 days it is my manager has not given me any return to this day.</v>
      </c>
    </row>
    <row r="8019" ht="14.25" customHeight="1">
      <c r="A8019" s="1">
        <v>33.0</v>
      </c>
      <c r="B8019" s="1" t="s">
        <v>1340</v>
      </c>
      <c r="C8019" s="1">
        <v>6.0</v>
      </c>
      <c r="D8019" s="1" t="s">
        <v>6</v>
      </c>
      <c r="E8019" s="1"/>
    </row>
    <row r="8020" ht="14.25" customHeight="1">
      <c r="A8020" s="1">
        <v>33.0</v>
      </c>
      <c r="B8020" s="1" t="s">
        <v>245</v>
      </c>
      <c r="C8020" s="1">
        <v>6.0</v>
      </c>
      <c r="D8020" s="1" t="s">
        <v>85</v>
      </c>
      <c r="E8020" s="1" t="str">
        <f>IFERROR(__xludf.DUMMYFUNCTION("GOOGLETRANSLATE(D8020,""PT"",""EN"")"),"Service")</f>
        <v>Service</v>
      </c>
    </row>
    <row r="8021" ht="14.25" customHeight="1">
      <c r="A8021" s="1">
        <v>100.0</v>
      </c>
      <c r="B8021" s="1" t="s">
        <v>3423</v>
      </c>
      <c r="C8021" s="1">
        <v>9.0</v>
      </c>
      <c r="D8021" s="1" t="s">
        <v>6</v>
      </c>
      <c r="E8021" s="1"/>
    </row>
    <row r="8022" ht="14.25" customHeight="1">
      <c r="A8022" s="1">
        <v>100.0</v>
      </c>
      <c r="B8022" s="1" t="s">
        <v>3333</v>
      </c>
      <c r="C8022" s="1">
        <v>10.0</v>
      </c>
      <c r="D8022" s="1" t="s">
        <v>6</v>
      </c>
      <c r="E8022" s="1"/>
    </row>
    <row r="8023" ht="14.25" customHeight="1">
      <c r="A8023" s="1">
        <v>66.0</v>
      </c>
      <c r="B8023" s="1" t="s">
        <v>3657</v>
      </c>
      <c r="C8023" s="1">
        <v>7.0</v>
      </c>
      <c r="D8023" s="1" t="s">
        <v>6</v>
      </c>
      <c r="E8023" s="1"/>
    </row>
    <row r="8024" ht="14.25" customHeight="1">
      <c r="A8024" s="1">
        <v>100.0</v>
      </c>
      <c r="B8024" s="1" t="s">
        <v>3657</v>
      </c>
      <c r="C8024" s="1">
        <v>10.0</v>
      </c>
      <c r="D8024" s="2" t="s">
        <v>3686</v>
      </c>
      <c r="E8024" s="1" t="str">
        <f>IFERROR(__xludf.DUMMYFUNCTION("GOOGLETRANSLATE(D8024,""PT"",""EN"")"),"Good service is good fees")</f>
        <v>Good service is good fees</v>
      </c>
    </row>
    <row r="8025" ht="14.25" customHeight="1">
      <c r="A8025" s="1">
        <v>100.0</v>
      </c>
      <c r="B8025" s="1" t="s">
        <v>3657</v>
      </c>
      <c r="C8025" s="1">
        <v>10.0</v>
      </c>
      <c r="D8025" s="1" t="s">
        <v>6</v>
      </c>
      <c r="E8025" s="1"/>
    </row>
    <row r="8026" ht="14.25" customHeight="1">
      <c r="A8026" s="1">
        <v>100.0</v>
      </c>
      <c r="B8026" s="1" t="s">
        <v>1049</v>
      </c>
      <c r="C8026" s="1">
        <v>10.0</v>
      </c>
      <c r="D8026" s="1" t="s">
        <v>2956</v>
      </c>
      <c r="E8026" s="1" t="str">
        <f>IFERROR(__xludf.DUMMYFUNCTION("GOOGLETRANSLATE(D8026,""PT"",""EN"")"),"Excellence service")</f>
        <v>Excellence service</v>
      </c>
    </row>
    <row r="8027" ht="14.25" customHeight="1">
      <c r="A8027" s="1">
        <v>33.0</v>
      </c>
      <c r="B8027" s="1" t="s">
        <v>157</v>
      </c>
      <c r="C8027" s="1">
        <v>0.0</v>
      </c>
      <c r="D8027" s="2" t="s">
        <v>3687</v>
      </c>
      <c r="E8027" s="1" t="str">
        <f>IFERROR(__xludf.DUMMYFUNCTION("GOOGLETRANSLATE(D8027,""PT"",""EN"")"),"Never have money every time I had there")</f>
        <v>Never have money every time I had there</v>
      </c>
    </row>
    <row r="8028" ht="14.25" customHeight="1">
      <c r="A8028" s="1">
        <v>100.0</v>
      </c>
      <c r="B8028" s="1" t="s">
        <v>3657</v>
      </c>
      <c r="C8028" s="1">
        <v>9.0</v>
      </c>
      <c r="D8028" s="1" t="s">
        <v>6</v>
      </c>
      <c r="E8028" s="1"/>
    </row>
    <row r="8029" ht="14.25" customHeight="1">
      <c r="A8029" s="1">
        <v>100.0</v>
      </c>
      <c r="B8029" s="1" t="s">
        <v>1826</v>
      </c>
      <c r="C8029" s="1">
        <v>10.0</v>
      </c>
      <c r="D8029" s="1" t="s">
        <v>6</v>
      </c>
      <c r="E8029" s="1"/>
    </row>
    <row r="8030" ht="14.25" customHeight="1">
      <c r="A8030" s="1">
        <v>100.0</v>
      </c>
      <c r="B8030" s="1" t="s">
        <v>245</v>
      </c>
      <c r="C8030" s="1">
        <v>10.0</v>
      </c>
      <c r="D8030" s="1" t="s">
        <v>3688</v>
      </c>
      <c r="E8030" s="1" t="str">
        <f>IFERROR(__xludf.DUMMYFUNCTION("GOOGLETRANSLATE(D8030,""PT"",""EN"")"),"Effective service")</f>
        <v>Effective service</v>
      </c>
    </row>
    <row r="8031" ht="14.25" customHeight="1">
      <c r="A8031" s="1">
        <v>33.0</v>
      </c>
      <c r="B8031" s="1" t="s">
        <v>5</v>
      </c>
      <c r="C8031" s="1">
        <v>4.0</v>
      </c>
      <c r="D8031" s="2" t="s">
        <v>3689</v>
      </c>
      <c r="E8031" s="1" t="str">
        <f>IFERROR(__xludf.DUMMYFUNCTION("GOOGLETRANSLATE(D8031,""PT"",""EN"")"),"I'm not a customer they pay attention")</f>
        <v>I'm not a customer they pay attention</v>
      </c>
    </row>
    <row r="8032" ht="14.25" customHeight="1">
      <c r="A8032" s="1">
        <v>100.0</v>
      </c>
      <c r="B8032" s="1" t="s">
        <v>3657</v>
      </c>
      <c r="C8032" s="1">
        <v>10.0</v>
      </c>
      <c r="D8032" s="1" t="s">
        <v>6</v>
      </c>
      <c r="E8032" s="1"/>
    </row>
    <row r="8033" ht="14.25" customHeight="1">
      <c r="A8033" s="1">
        <v>100.0</v>
      </c>
      <c r="B8033" s="1" t="s">
        <v>1049</v>
      </c>
      <c r="C8033" s="1">
        <v>10.0</v>
      </c>
      <c r="D8033" s="1" t="s">
        <v>6</v>
      </c>
      <c r="E8033" s="1"/>
    </row>
    <row r="8034" ht="14.25" customHeight="1">
      <c r="A8034" s="1">
        <v>100.0</v>
      </c>
      <c r="B8034" s="1" t="s">
        <v>1049</v>
      </c>
      <c r="C8034" s="1">
        <v>10.0</v>
      </c>
      <c r="D8034" s="1" t="s">
        <v>20</v>
      </c>
      <c r="E8034" s="1" t="str">
        <f>IFERROR(__xludf.DUMMYFUNCTION("GOOGLETRANSLATE(D8034,""PT"",""EN"")"),"Very good")</f>
        <v>Very good</v>
      </c>
    </row>
    <row r="8035" ht="14.25" customHeight="1">
      <c r="A8035" s="1">
        <v>100.0</v>
      </c>
      <c r="B8035" s="1" t="s">
        <v>3672</v>
      </c>
      <c r="C8035" s="1">
        <v>10.0</v>
      </c>
      <c r="D8035" s="2" t="s">
        <v>3690</v>
      </c>
      <c r="E8035" s="1" t="str">
        <f>IFERROR(__xludf.DUMMYFUNCTION("GOOGLETRANSLATE(D8035,""PT"",""EN"")"),"Bank with easy app is simple to move my money just need to give me credit!")</f>
        <v>Bank with easy app is simple to move my money just need to give me credit!</v>
      </c>
    </row>
    <row r="8036" ht="14.25" customHeight="1">
      <c r="A8036" s="1">
        <v>100.0</v>
      </c>
      <c r="B8036" s="1" t="s">
        <v>3657</v>
      </c>
      <c r="C8036" s="1">
        <v>10.0</v>
      </c>
      <c r="D8036" s="2" t="s">
        <v>3691</v>
      </c>
      <c r="E8036" s="1" t="str">
        <f>IFERROR(__xludf.DUMMYFUNCTION("GOOGLETRANSLATE(D8036,""PT"",""EN"")"),"Here I found security, facilities is very clear as a customer.")</f>
        <v>Here I found security, facilities is very clear as a customer.</v>
      </c>
    </row>
    <row r="8037" ht="14.25" customHeight="1">
      <c r="A8037" s="1">
        <v>66.0</v>
      </c>
      <c r="B8037" s="1" t="s">
        <v>2412</v>
      </c>
      <c r="C8037" s="1">
        <v>8.0</v>
      </c>
      <c r="D8037" s="1" t="s">
        <v>3692</v>
      </c>
      <c r="E8037" s="1" t="str">
        <f>IFERROR(__xludf.DUMMYFUNCTION("GOOGLETRANSLATE(D8037,""PT"",""EN"")"),"Service close to the manager. It is only a better guidance in relation to customer business management.")</f>
        <v>Service close to the manager. It is only a better guidance in relation to customer business management.</v>
      </c>
    </row>
    <row r="8038" ht="14.25" customHeight="1">
      <c r="A8038" s="1">
        <v>100.0</v>
      </c>
      <c r="B8038" s="1" t="s">
        <v>3657</v>
      </c>
      <c r="C8038" s="1">
        <v>10.0</v>
      </c>
      <c r="D8038" s="2" t="s">
        <v>3693</v>
      </c>
      <c r="E8038" s="1" t="str">
        <f>IFERROR(__xludf.DUMMYFUNCTION("GOOGLETRANSLATE(D8038,""PT"",""EN"")"),"It's great to be a client of Sicoob")</f>
        <v>It's great to be a client of Sicoob</v>
      </c>
    </row>
    <row r="8039" ht="14.25" customHeight="1">
      <c r="A8039" s="1">
        <v>33.0</v>
      </c>
      <c r="B8039" s="1" t="s">
        <v>1245</v>
      </c>
      <c r="C8039" s="1">
        <v>0.0</v>
      </c>
      <c r="D8039" s="2" t="s">
        <v>3694</v>
      </c>
      <c r="E8039" s="1" t="str">
        <f>IFERROR(__xludf.DUMMYFUNCTION("GOOGLETRANSLATE(D8039,""PT"",""EN"")"),"terrible")</f>
        <v>terrible</v>
      </c>
    </row>
    <row r="8040" ht="14.25" customHeight="1">
      <c r="A8040" s="1">
        <v>100.0</v>
      </c>
      <c r="B8040" s="1" t="s">
        <v>1340</v>
      </c>
      <c r="C8040" s="1">
        <v>10.0</v>
      </c>
      <c r="D8040" s="2" t="s">
        <v>3695</v>
      </c>
      <c r="E8040" s="1" t="str">
        <f>IFERROR(__xludf.DUMMYFUNCTION("GOOGLETRANSLATE(D8040,""PT"",""EN"")"),"It's easy it's practical all the application is very good service")</f>
        <v>It's easy it's practical all the application is very good service</v>
      </c>
    </row>
    <row r="8041" ht="14.25" customHeight="1">
      <c r="A8041" s="1">
        <v>100.0</v>
      </c>
      <c r="B8041" s="1" t="s">
        <v>819</v>
      </c>
      <c r="C8041" s="1">
        <v>9.0</v>
      </c>
      <c r="D8041" s="1" t="s">
        <v>6</v>
      </c>
      <c r="E8041" s="1"/>
    </row>
    <row r="8042" ht="14.25" customHeight="1">
      <c r="A8042" s="1">
        <v>100.0</v>
      </c>
      <c r="B8042" s="1" t="s">
        <v>3657</v>
      </c>
      <c r="C8042" s="1">
        <v>10.0</v>
      </c>
      <c r="D8042" s="1" t="s">
        <v>3696</v>
      </c>
      <c r="E8042" s="1" t="str">
        <f>IFERROR(__xludf.DUMMYFUNCTION("GOOGLETRANSLATE(D8042,""PT"",""EN"")"),"Relationship, simplicity, income")</f>
        <v>Relationship, simplicity, income</v>
      </c>
    </row>
    <row r="8043" ht="14.25" customHeight="1">
      <c r="A8043" s="1">
        <v>66.0</v>
      </c>
      <c r="B8043" s="1" t="s">
        <v>3423</v>
      </c>
      <c r="C8043" s="1">
        <v>8.0</v>
      </c>
      <c r="D8043" s="1" t="s">
        <v>3697</v>
      </c>
      <c r="E8043" s="1" t="str">
        <f>IFERROR(__xludf.DUMMYFUNCTION("GOOGLETRANSLATE(D8043,""PT"",""EN"")"),"Yield, service")</f>
        <v>Yield, service</v>
      </c>
    </row>
    <row r="8044" ht="14.25" customHeight="1">
      <c r="A8044" s="1">
        <v>100.0</v>
      </c>
      <c r="B8044" s="1" t="s">
        <v>3423</v>
      </c>
      <c r="C8044" s="1">
        <v>9.0</v>
      </c>
      <c r="D8044" s="2" t="s">
        <v>3698</v>
      </c>
      <c r="E8044" s="1" t="str">
        <f>IFERROR(__xludf.DUMMYFUNCTION("GOOGLETRANSLATE(D8044,""PT"",""EN"")"),"Service, relationship is income")</f>
        <v>Service, relationship is income</v>
      </c>
    </row>
    <row r="8045" ht="14.25" customHeight="1">
      <c r="A8045" s="1">
        <v>33.0</v>
      </c>
      <c r="B8045" s="1" t="s">
        <v>3423</v>
      </c>
      <c r="C8045" s="1">
        <v>0.0</v>
      </c>
      <c r="D8045" s="2" t="s">
        <v>3699</v>
      </c>
      <c r="E8045" s="1" t="str">
        <f>IFERROR(__xludf.DUMMYFUNCTION("GOOGLETRANSLATE(D8045,""PT"",""EN"")"),"APP Nothing Intuitive, Difficulty Care is Investments")</f>
        <v>APP Nothing Intuitive, Difficulty Care is Investments</v>
      </c>
    </row>
    <row r="8046" ht="14.25" customHeight="1">
      <c r="A8046" s="1">
        <v>100.0</v>
      </c>
      <c r="B8046" s="1" t="s">
        <v>5</v>
      </c>
      <c r="C8046" s="1">
        <v>10.0</v>
      </c>
      <c r="D8046" s="1" t="s">
        <v>6</v>
      </c>
      <c r="E8046" s="1"/>
    </row>
    <row r="8047" ht="14.25" customHeight="1">
      <c r="A8047" s="1">
        <v>33.0</v>
      </c>
      <c r="B8047" s="1" t="s">
        <v>2669</v>
      </c>
      <c r="C8047" s="1">
        <v>0.0</v>
      </c>
      <c r="D8047" s="2" t="s">
        <v>3700</v>
      </c>
      <c r="E8047" s="1" t="str">
        <f>IFERROR(__xludf.DUMMYFUNCTION("GOOGLETRANSLATE(D8047,""PT"",""EN"")"),"I can credits in other institutions that do not even count I have more in Sicoob")</f>
        <v>I can credits in other institutions that do not even count I have more in Sicoob</v>
      </c>
    </row>
    <row r="8048" ht="14.25" customHeight="1">
      <c r="A8048" s="1">
        <v>100.0</v>
      </c>
      <c r="B8048" s="1" t="s">
        <v>2106</v>
      </c>
      <c r="C8048" s="1">
        <v>10.0</v>
      </c>
      <c r="D8048" s="1" t="s">
        <v>9</v>
      </c>
      <c r="E8048" s="1" t="str">
        <f>IFERROR(__xludf.DUMMYFUNCTION("GOOGLETRANSLATE(D8048,""PT"",""EN"")"),"10")</f>
        <v>10</v>
      </c>
    </row>
    <row r="8049" ht="14.25" customHeight="1">
      <c r="A8049" s="1">
        <v>33.0</v>
      </c>
      <c r="B8049" s="1" t="s">
        <v>3657</v>
      </c>
      <c r="C8049" s="1">
        <v>2.0</v>
      </c>
      <c r="D8049" s="2" t="s">
        <v>3701</v>
      </c>
      <c r="E8049" s="1" t="str">
        <f>IFERROR(__xludf.DUMMYFUNCTION("GOOGLETRANSLATE(D8049,""PT"",""EN"")"),"5 years of account is clean name is no loan.")</f>
        <v>5 years of account is clean name is no loan.</v>
      </c>
    </row>
    <row r="8050" ht="14.25" customHeight="1">
      <c r="A8050" s="1">
        <v>33.0</v>
      </c>
      <c r="B8050" s="1" t="s">
        <v>1826</v>
      </c>
      <c r="C8050" s="1">
        <v>3.0</v>
      </c>
      <c r="D8050" s="2" t="s">
        <v>3702</v>
      </c>
      <c r="E8050" s="1" t="str">
        <f>IFERROR(__xludf.DUMMYFUNCTION("GOOGLETRANSLATE(D8050,""PT"",""EN"")"),"Do not borrow for me")</f>
        <v>Do not borrow for me</v>
      </c>
    </row>
    <row r="8051" ht="14.25" customHeight="1">
      <c r="A8051" s="1">
        <v>66.0</v>
      </c>
      <c r="B8051" s="1" t="s">
        <v>3657</v>
      </c>
      <c r="C8051" s="1">
        <v>7.0</v>
      </c>
      <c r="D8051" s="1" t="s">
        <v>6</v>
      </c>
      <c r="E8051" s="1"/>
    </row>
    <row r="8052" ht="14.25" customHeight="1">
      <c r="A8052" s="1">
        <v>100.0</v>
      </c>
      <c r="B8052" s="1" t="s">
        <v>3657</v>
      </c>
      <c r="C8052" s="1">
        <v>10.0</v>
      </c>
      <c r="D8052" s="2" t="s">
        <v>3703</v>
      </c>
      <c r="E8052" s="1" t="str">
        <f>IFERROR(__xludf.DUMMYFUNCTION("GOOGLETRANSLATE(D8052,""PT"",""EN"")"),"Service, support, more ease in credits.")</f>
        <v>Service, support, more ease in credits.</v>
      </c>
    </row>
    <row r="8053" ht="14.25" customHeight="1">
      <c r="A8053" s="1">
        <v>33.0</v>
      </c>
      <c r="B8053" s="1" t="s">
        <v>3657</v>
      </c>
      <c r="C8053" s="1">
        <v>5.0</v>
      </c>
      <c r="D8053" s="2" t="s">
        <v>3704</v>
      </c>
      <c r="E8053" s="1" t="str">
        <f>IFERROR(__xludf.DUMMYFUNCTION("GOOGLETRANSLATE(D8053,""PT"",""EN"")"),"Attendance at the very bad agency has to be adulating the account manager to have a return on any questions.")</f>
        <v>Attendance at the very bad agency has to be adulating the account manager to have a return on any questions.</v>
      </c>
    </row>
    <row r="8054" ht="14.25" customHeight="1">
      <c r="A8054" s="1">
        <v>33.0</v>
      </c>
      <c r="B8054" s="1" t="s">
        <v>1049</v>
      </c>
      <c r="C8054" s="1">
        <v>5.0</v>
      </c>
      <c r="D8054" s="2" t="s">
        <v>3705</v>
      </c>
      <c r="E8054" s="1" t="str">
        <f>IFERROR(__xludf.DUMMYFUNCTION("GOOGLETRANSLATE(D8054,""PT"",""EN"")"),"Service at the agency very bad, you have to get the account manager when I need something .. I just didn't change a bank yet for lack of time.")</f>
        <v>Service at the agency very bad, you have to get the account manager when I need something .. I just didn't change a bank yet for lack of time.</v>
      </c>
    </row>
    <row r="8055" ht="14.25" customHeight="1">
      <c r="A8055" s="1">
        <v>100.0</v>
      </c>
      <c r="B8055" s="1" t="s">
        <v>971</v>
      </c>
      <c r="C8055" s="1">
        <v>10.0</v>
      </c>
      <c r="D8055" s="2" t="s">
        <v>3706</v>
      </c>
      <c r="E8055" s="1" t="str">
        <f>IFERROR(__xludf.DUMMYFUNCTION("GOOGLETRANSLATE(D8055,""PT"",""EN"")"),"Great attention to small financial clients, just like me. Although not having great financial movement, the cooperative always meets me with readiness.")</f>
        <v>Great attention to small financial clients, just like me. Although not having great financial movement, the cooperative always meets me with readiness.</v>
      </c>
    </row>
    <row r="8056" ht="14.25" customHeight="1">
      <c r="A8056" s="1">
        <v>66.0</v>
      </c>
      <c r="B8056" s="1" t="s">
        <v>1245</v>
      </c>
      <c r="C8056" s="1">
        <v>8.0</v>
      </c>
      <c r="D8056" s="1" t="s">
        <v>6</v>
      </c>
      <c r="E8056" s="1"/>
    </row>
    <row r="8057" ht="14.25" customHeight="1">
      <c r="A8057" s="1">
        <v>100.0</v>
      </c>
      <c r="B8057" s="1" t="s">
        <v>3657</v>
      </c>
      <c r="C8057" s="1">
        <v>10.0</v>
      </c>
      <c r="D8057" s="1" t="s">
        <v>3707</v>
      </c>
      <c r="E8057" s="1" t="str">
        <f>IFERROR(__xludf.DUMMYFUNCTION("GOOGLETRANSLATE(D8057,""PT"",""EN"")"),"A good bank option without bureaucracy")</f>
        <v>A good bank option without bureaucracy</v>
      </c>
    </row>
    <row r="8058" ht="14.25" customHeight="1">
      <c r="A8058" s="1">
        <v>100.0</v>
      </c>
      <c r="B8058" s="1" t="s">
        <v>1691</v>
      </c>
      <c r="C8058" s="1">
        <v>10.0</v>
      </c>
      <c r="D8058" s="1" t="s">
        <v>3708</v>
      </c>
      <c r="E8058" s="1" t="str">
        <f>IFERROR(__xludf.DUMMYFUNCTION("GOOGLETRANSLATE(D8058,""PT"",""EN"")"),"Good service. Good rates")</f>
        <v>Good service. Good rates</v>
      </c>
    </row>
    <row r="8059" ht="14.25" customHeight="1">
      <c r="A8059" s="1">
        <v>100.0</v>
      </c>
      <c r="B8059" s="1" t="s">
        <v>2669</v>
      </c>
      <c r="C8059" s="1">
        <v>10.0</v>
      </c>
      <c r="D8059" s="1" t="s">
        <v>3709</v>
      </c>
      <c r="E8059" s="1" t="str">
        <f>IFERROR(__xludf.DUMMYFUNCTION("GOOGLETRANSLATE(D8059,""PT"",""EN"")"),"Exceptional service.")</f>
        <v>Exceptional service.</v>
      </c>
    </row>
    <row r="8060" ht="14.25" customHeight="1">
      <c r="A8060" s="1">
        <v>100.0</v>
      </c>
      <c r="B8060" s="1" t="s">
        <v>819</v>
      </c>
      <c r="C8060" s="1">
        <v>9.0</v>
      </c>
      <c r="D8060" s="2" t="s">
        <v>3710</v>
      </c>
      <c r="E8060" s="1" t="str">
        <f>IFERROR(__xludf.DUMMYFUNCTION("GOOGLETRANSLATE(D8060,""PT"",""EN"")"),"Better rates, service and services")</f>
        <v>Better rates, service and services</v>
      </c>
    </row>
    <row r="8061" ht="14.25" customHeight="1">
      <c r="A8061" s="1">
        <v>100.0</v>
      </c>
      <c r="B8061" s="1" t="s">
        <v>3657</v>
      </c>
      <c r="C8061" s="1">
        <v>10.0</v>
      </c>
      <c r="D8061" s="1" t="s">
        <v>2822</v>
      </c>
      <c r="E8061" s="1" t="str">
        <f>IFERROR(__xludf.DUMMYFUNCTION("GOOGLETRANSLATE(D8061,""PT"",""EN"")"),"The bank is good")</f>
        <v>The bank is good</v>
      </c>
    </row>
    <row r="8062" ht="14.25" customHeight="1">
      <c r="A8062" s="1">
        <v>33.0</v>
      </c>
      <c r="B8062" s="1" t="s">
        <v>245</v>
      </c>
      <c r="C8062" s="1">
        <v>4.0</v>
      </c>
      <c r="D8062" s="2" t="s">
        <v>3711</v>
      </c>
      <c r="E8062" s="1" t="str">
        <f>IFERROR(__xludf.DUMMYFUNCTION("GOOGLETRANSLATE(D8062,""PT"",""EN"")"),"For the bureaucracy of taking credit limit, the registration is never enough.")</f>
        <v>For the bureaucracy of taking credit limit, the registration is never enough.</v>
      </c>
    </row>
    <row r="8063" ht="14.25" customHeight="1">
      <c r="A8063" s="1">
        <v>100.0</v>
      </c>
      <c r="B8063" s="1" t="s">
        <v>3657</v>
      </c>
      <c r="C8063" s="1">
        <v>10.0</v>
      </c>
      <c r="D8063" s="1" t="s">
        <v>3712</v>
      </c>
      <c r="E8063" s="1" t="str">
        <f>IFERROR(__xludf.DUMMYFUNCTION("GOOGLETRANSLATE(D8063,""PT"",""EN"")"),"management")</f>
        <v>management</v>
      </c>
    </row>
    <row r="8064" ht="14.25" customHeight="1">
      <c r="A8064" s="1">
        <v>100.0</v>
      </c>
      <c r="B8064" s="1" t="s">
        <v>245</v>
      </c>
      <c r="C8064" s="1">
        <v>10.0</v>
      </c>
      <c r="D8064" s="1" t="s">
        <v>6</v>
      </c>
      <c r="E8064" s="1"/>
    </row>
    <row r="8065" ht="14.25" customHeight="1">
      <c r="A8065" s="1">
        <v>33.0</v>
      </c>
      <c r="B8065" s="1" t="s">
        <v>3657</v>
      </c>
      <c r="C8065" s="1">
        <v>0.0</v>
      </c>
      <c r="D8065" s="2" t="s">
        <v>3459</v>
      </c>
      <c r="E8065" s="1" t="str">
        <f>IFERROR(__xludf.DUMMYFUNCTION("GOOGLETRANSLATE(D8065,""PT"",""EN"")"),"terrible attendance")</f>
        <v>terrible attendance</v>
      </c>
    </row>
    <row r="8066" ht="14.25" customHeight="1">
      <c r="A8066" s="1">
        <v>100.0</v>
      </c>
      <c r="B8066" s="1" t="s">
        <v>3267</v>
      </c>
      <c r="C8066" s="1">
        <v>10.0</v>
      </c>
      <c r="D8066" s="1" t="s">
        <v>20</v>
      </c>
      <c r="E8066" s="1" t="str">
        <f>IFERROR(__xludf.DUMMYFUNCTION("GOOGLETRANSLATE(D8066,""PT"",""EN"")"),"Very good")</f>
        <v>Very good</v>
      </c>
    </row>
    <row r="8067" ht="14.25" customHeight="1">
      <c r="A8067" s="1">
        <v>66.0</v>
      </c>
      <c r="B8067" s="1" t="s">
        <v>2412</v>
      </c>
      <c r="C8067" s="1">
        <v>8.0</v>
      </c>
      <c r="D8067" s="2" t="s">
        <v>3713</v>
      </c>
      <c r="E8067" s="1" t="str">
        <f>IFERROR(__xludf.DUMMYFUNCTION("GOOGLETRANSLATE(D8067,""PT"",""EN"")"),"It needs to improve the release of credits.")</f>
        <v>It needs to improve the release of credits.</v>
      </c>
    </row>
    <row r="8068" ht="14.25" customHeight="1">
      <c r="A8068" s="1">
        <v>33.0</v>
      </c>
      <c r="B8068" s="1" t="s">
        <v>3657</v>
      </c>
      <c r="C8068" s="1">
        <v>3.0</v>
      </c>
      <c r="D8068" s="1" t="s">
        <v>3714</v>
      </c>
      <c r="E8068" s="1" t="str">
        <f>IFERROR(__xludf.DUMMYFUNCTION("GOOGLETRANSLATE(D8068,""PT"",""EN"")"),"Far outdated in some things compared to other digital banks.")</f>
        <v>Far outdated in some things compared to other digital banks.</v>
      </c>
    </row>
    <row r="8069" ht="14.25" customHeight="1">
      <c r="A8069" s="1">
        <v>33.0</v>
      </c>
      <c r="B8069" s="1" t="s">
        <v>3657</v>
      </c>
      <c r="C8069" s="1">
        <v>3.0</v>
      </c>
      <c r="D8069" s="1" t="s">
        <v>3714</v>
      </c>
      <c r="E8069" s="1" t="str">
        <f>IFERROR(__xludf.DUMMYFUNCTION("GOOGLETRANSLATE(D8069,""PT"",""EN"")"),"Far outdated in some things compared to other digital banks.")</f>
        <v>Far outdated in some things compared to other digital banks.</v>
      </c>
    </row>
    <row r="8070" ht="14.25" customHeight="1">
      <c r="A8070" s="1">
        <v>100.0</v>
      </c>
      <c r="B8070" s="1" t="s">
        <v>245</v>
      </c>
      <c r="C8070" s="1">
        <v>10.0</v>
      </c>
      <c r="D8070" s="2" t="s">
        <v>3715</v>
      </c>
      <c r="E8070" s="1" t="str">
        <f>IFERROR(__xludf.DUMMYFUNCTION("GOOGLETRANSLATE(D8070,""PT"",""EN"")"),"Good relationship and service.")</f>
        <v>Good relationship and service.</v>
      </c>
    </row>
    <row r="8071" ht="14.25" customHeight="1">
      <c r="A8071" s="1">
        <v>33.0</v>
      </c>
      <c r="B8071" s="1" t="s">
        <v>3657</v>
      </c>
      <c r="C8071" s="1">
        <v>6.0</v>
      </c>
      <c r="D8071" s="1" t="s">
        <v>6</v>
      </c>
      <c r="E8071" s="1"/>
    </row>
    <row r="8072" ht="14.25" customHeight="1">
      <c r="A8072" s="1">
        <v>100.0</v>
      </c>
      <c r="B8072" s="1" t="s">
        <v>3716</v>
      </c>
      <c r="C8072" s="1">
        <v>10.0</v>
      </c>
      <c r="D8072" s="2" t="s">
        <v>3717</v>
      </c>
      <c r="E8072" s="1" t="str">
        <f>IFERROR(__xludf.DUMMYFUNCTION("GOOGLETRANSLATE(D8072,""PT"",""EN"")"),"Financial Justice Products and Services")</f>
        <v>Financial Justice Products and Services</v>
      </c>
    </row>
    <row r="8073" ht="14.25" customHeight="1">
      <c r="A8073" s="1">
        <v>33.0</v>
      </c>
      <c r="B8073" s="1" t="s">
        <v>3657</v>
      </c>
      <c r="C8073" s="1">
        <v>5.0</v>
      </c>
      <c r="D8073" s="1" t="s">
        <v>3718</v>
      </c>
      <c r="E8073" s="1" t="str">
        <f>IFERROR(__xludf.DUMMYFUNCTION("GOOGLETRANSLATE(D8073,""PT"",""EN"")"),"For me .... 50% is good.")</f>
        <v>For me .... 50% is good.</v>
      </c>
    </row>
    <row r="8074" ht="14.25" customHeight="1">
      <c r="A8074" s="1">
        <v>100.0</v>
      </c>
      <c r="B8074" s="1" t="s">
        <v>5</v>
      </c>
      <c r="C8074" s="1">
        <v>10.0</v>
      </c>
      <c r="D8074" s="2" t="s">
        <v>3719</v>
      </c>
      <c r="E8074" s="1" t="str">
        <f>IFERROR(__xludf.DUMMYFUNCTION("GOOGLETRANSLATE(D8074,""PT"",""EN"")"),"Easy, good bank is where we are all cooperative.")</f>
        <v>Easy, good bank is where we are all cooperative.</v>
      </c>
    </row>
    <row r="8075" ht="14.25" customHeight="1">
      <c r="A8075" s="1">
        <v>100.0</v>
      </c>
      <c r="B8075" s="1" t="s">
        <v>3657</v>
      </c>
      <c r="C8075" s="1">
        <v>10.0</v>
      </c>
      <c r="D8075" s="1" t="s">
        <v>2094</v>
      </c>
      <c r="E8075" s="1" t="str">
        <f>IFERROR(__xludf.DUMMYFUNCTION("GOOGLETRANSLATE(D8075,""PT"",""EN"")"),"Satisfied")</f>
        <v>Satisfied</v>
      </c>
    </row>
    <row r="8076" ht="14.25" customHeight="1">
      <c r="A8076" s="1">
        <v>66.0</v>
      </c>
      <c r="B8076" s="1" t="s">
        <v>2106</v>
      </c>
      <c r="C8076" s="1">
        <v>8.0</v>
      </c>
      <c r="D8076" s="1" t="s">
        <v>3720</v>
      </c>
      <c r="E8076" s="1" t="str">
        <f>IFERROR(__xludf.DUMMYFUNCTION("GOOGLETRANSLATE(D8076,""PT"",""EN"")"),"Sicoob is a good financial institution")</f>
        <v>Sicoob is a good financial institution</v>
      </c>
    </row>
    <row r="8077" ht="14.25" customHeight="1">
      <c r="A8077" s="1">
        <v>100.0</v>
      </c>
      <c r="B8077" s="1" t="s">
        <v>687</v>
      </c>
      <c r="C8077" s="1">
        <v>9.0</v>
      </c>
      <c r="D8077" s="1" t="s">
        <v>85</v>
      </c>
      <c r="E8077" s="1" t="str">
        <f>IFERROR(__xludf.DUMMYFUNCTION("GOOGLETRANSLATE(D8077,""PT"",""EN"")"),"Service")</f>
        <v>Service</v>
      </c>
    </row>
    <row r="8078" ht="14.25" customHeight="1">
      <c r="A8078" s="1">
        <v>33.0</v>
      </c>
      <c r="B8078" s="1" t="s">
        <v>3657</v>
      </c>
      <c r="C8078" s="1">
        <v>6.0</v>
      </c>
      <c r="D8078" s="1" t="s">
        <v>6</v>
      </c>
      <c r="E8078" s="1"/>
    </row>
    <row r="8079" ht="14.25" customHeight="1">
      <c r="A8079" s="1">
        <v>100.0</v>
      </c>
      <c r="B8079" s="1" t="s">
        <v>3657</v>
      </c>
      <c r="C8079" s="1">
        <v>10.0</v>
      </c>
      <c r="D8079" s="1" t="s">
        <v>6</v>
      </c>
      <c r="E8079" s="1"/>
    </row>
    <row r="8080" ht="14.25" customHeight="1">
      <c r="A8080" s="1">
        <v>100.0</v>
      </c>
      <c r="B8080" s="1" t="s">
        <v>3657</v>
      </c>
      <c r="C8080" s="1">
        <v>9.0</v>
      </c>
      <c r="D8080" s="1" t="s">
        <v>6</v>
      </c>
      <c r="E8080" s="1"/>
    </row>
    <row r="8081" ht="14.25" customHeight="1">
      <c r="A8081" s="1">
        <v>33.0</v>
      </c>
      <c r="B8081" s="1" t="s">
        <v>3657</v>
      </c>
      <c r="C8081" s="1">
        <v>4.0</v>
      </c>
      <c r="D8081" s="2" t="s">
        <v>3721</v>
      </c>
      <c r="E8081" s="1" t="str">
        <f>IFERROR(__xludf.DUMMYFUNCTION("GOOGLETRANSLATE(D8081,""PT"",""EN"")"),"The app won't let me work ?? !!!!")</f>
        <v>The app won't let me work ?? !!!!</v>
      </c>
    </row>
    <row r="8082" ht="14.25" customHeight="1">
      <c r="A8082" s="1">
        <v>100.0</v>
      </c>
      <c r="B8082" s="1" t="s">
        <v>3672</v>
      </c>
      <c r="C8082" s="1">
        <v>10.0</v>
      </c>
      <c r="D8082" s="1" t="s">
        <v>3722</v>
      </c>
      <c r="E8082" s="1" t="str">
        <f>IFERROR(__xludf.DUMMYFUNCTION("GOOGLETRANSLATE(D8082,""PT"",""EN"")"),"Satisfied with the transfer")</f>
        <v>Satisfied with the transfer</v>
      </c>
    </row>
    <row r="8083" ht="14.25" customHeight="1">
      <c r="A8083" s="1">
        <v>33.0</v>
      </c>
      <c r="B8083" s="1" t="s">
        <v>3657</v>
      </c>
      <c r="C8083" s="1">
        <v>1.0</v>
      </c>
      <c r="D8083" s="1" t="s">
        <v>6</v>
      </c>
      <c r="E8083" s="1"/>
    </row>
    <row r="8084" ht="14.25" customHeight="1">
      <c r="A8084" s="1">
        <v>100.0</v>
      </c>
      <c r="B8084" s="1" t="s">
        <v>2412</v>
      </c>
      <c r="C8084" s="1">
        <v>9.0</v>
      </c>
      <c r="D8084" s="1" t="s">
        <v>6</v>
      </c>
      <c r="E8084" s="1"/>
    </row>
    <row r="8085" ht="14.25" customHeight="1">
      <c r="A8085" s="1">
        <v>33.0</v>
      </c>
      <c r="B8085" s="1" t="s">
        <v>3657</v>
      </c>
      <c r="C8085" s="1">
        <v>6.0</v>
      </c>
      <c r="D8085" s="1" t="s">
        <v>6</v>
      </c>
      <c r="E8085" s="1"/>
    </row>
    <row r="8086" ht="14.25" customHeight="1">
      <c r="A8086" s="1">
        <v>100.0</v>
      </c>
      <c r="B8086" s="1" t="s">
        <v>3657</v>
      </c>
      <c r="C8086" s="1">
        <v>10.0</v>
      </c>
      <c r="D8086" s="1" t="s">
        <v>6</v>
      </c>
      <c r="E8086" s="1"/>
    </row>
    <row r="8087" ht="14.25" customHeight="1">
      <c r="A8087" s="1">
        <v>33.0</v>
      </c>
      <c r="B8087" s="1" t="s">
        <v>1691</v>
      </c>
      <c r="C8087" s="1">
        <v>5.0</v>
      </c>
      <c r="D8087" s="1" t="s">
        <v>3065</v>
      </c>
      <c r="E8087" s="1" t="str">
        <f>IFERROR(__xludf.DUMMYFUNCTION("GOOGLETRANSLATE(D8087,""PT"",""EN"")"),"5")</f>
        <v>5</v>
      </c>
    </row>
    <row r="8088" ht="14.25" customHeight="1">
      <c r="A8088" s="1">
        <v>100.0</v>
      </c>
      <c r="B8088" s="1" t="s">
        <v>245</v>
      </c>
      <c r="C8088" s="1">
        <v>10.0</v>
      </c>
      <c r="D8088" s="1" t="s">
        <v>3723</v>
      </c>
      <c r="E8088" s="1" t="str">
        <f>IFERROR(__xludf.DUMMYFUNCTION("GOOGLETRANSLATE(D8088,""PT"",""EN"")"),"Sicoob seeks excellence in all aspects. We are always well attended. For me it is the best.")</f>
        <v>Sicoob seeks excellence in all aspects. We are always well attended. For me it is the best.</v>
      </c>
    </row>
    <row r="8089" ht="14.25" customHeight="1">
      <c r="A8089" s="1">
        <v>100.0</v>
      </c>
      <c r="B8089" s="1" t="s">
        <v>245</v>
      </c>
      <c r="C8089" s="1">
        <v>10.0</v>
      </c>
      <c r="D8089" s="2" t="s">
        <v>3724</v>
      </c>
      <c r="E8089" s="1" t="str">
        <f>IFERROR(__xludf.DUMMYFUNCTION("GOOGLETRANSLATE(D8089,""PT"",""EN"")"),"Excellent service ... always seeks improvements in products is everything. The best.")</f>
        <v>Excellent service ... always seeks improvements in products is everything. The best.</v>
      </c>
    </row>
    <row r="8090" ht="14.25" customHeight="1">
      <c r="A8090" s="1">
        <v>33.0</v>
      </c>
      <c r="B8090" s="1" t="s">
        <v>3657</v>
      </c>
      <c r="C8090" s="1">
        <v>5.0</v>
      </c>
      <c r="D8090" s="1" t="s">
        <v>3725</v>
      </c>
      <c r="E8090" s="1" t="str">
        <f>IFERROR(__xludf.DUMMYFUNCTION("GOOGLETRANSLATE(D8090,""PT"",""EN"")"),"Some misses in the cooperative")</f>
        <v>Some misses in the cooperative</v>
      </c>
    </row>
    <row r="8091" ht="14.25" customHeight="1">
      <c r="A8091" s="1">
        <v>100.0</v>
      </c>
      <c r="B8091" s="1" t="s">
        <v>1204</v>
      </c>
      <c r="C8091" s="1">
        <v>10.0</v>
      </c>
      <c r="D8091" s="1" t="s">
        <v>3726</v>
      </c>
      <c r="E8091" s="1" t="str">
        <f>IFERROR(__xludf.DUMMYFUNCTION("GOOGLETRANSLATE(D8091,""PT"",""EN"")"),"Partnership Confidence Agility Excellent Service Safety")</f>
        <v>Partnership Confidence Agility Excellent Service Safety</v>
      </c>
    </row>
    <row r="8092" ht="14.25" customHeight="1">
      <c r="A8092" s="1">
        <v>100.0</v>
      </c>
      <c r="B8092" s="1" t="s">
        <v>3672</v>
      </c>
      <c r="C8092" s="1">
        <v>10.0</v>
      </c>
      <c r="D8092" s="2" t="s">
        <v>3727</v>
      </c>
      <c r="E8092" s="1" t="str">
        <f>IFERROR(__xludf.DUMMYFUNCTION("GOOGLETRANSLATE(D8092,""PT"",""EN"")"),"The service is all employees are very prompt and education")</f>
        <v>The service is all employees are very prompt and education</v>
      </c>
    </row>
    <row r="8093" ht="14.25" customHeight="1">
      <c r="A8093" s="1">
        <v>66.0</v>
      </c>
      <c r="B8093" s="1" t="s">
        <v>3657</v>
      </c>
      <c r="C8093" s="1">
        <v>7.0</v>
      </c>
      <c r="D8093" s="1" t="s">
        <v>6</v>
      </c>
      <c r="E8093" s="1"/>
    </row>
    <row r="8094" ht="14.25" customHeight="1">
      <c r="A8094" s="1">
        <v>33.0</v>
      </c>
      <c r="B8094" s="1" t="s">
        <v>687</v>
      </c>
      <c r="C8094" s="1">
        <v>5.0</v>
      </c>
      <c r="D8094" s="2" t="s">
        <v>3728</v>
      </c>
      <c r="E8094" s="1" t="str">
        <f>IFERROR(__xludf.DUMMYFUNCTION("GOOGLETRANSLATE(D8094,""PT"",""EN"")"),"Without release of credits")</f>
        <v>Without release of credits</v>
      </c>
    </row>
    <row r="8095" ht="14.25" customHeight="1">
      <c r="A8095" s="1">
        <v>66.0</v>
      </c>
      <c r="B8095" s="1" t="s">
        <v>2106</v>
      </c>
      <c r="C8095" s="1">
        <v>8.0</v>
      </c>
      <c r="D8095" s="2" t="s">
        <v>3729</v>
      </c>
      <c r="E8095" s="1" t="str">
        <f>IFERROR(__xludf.DUMMYFUNCTION("GOOGLETRANSLATE(D8095,""PT"",""EN"")"),"Adaptation and learning with the institution.")</f>
        <v>Adaptation and learning with the institution.</v>
      </c>
    </row>
    <row r="8096" ht="14.25" customHeight="1">
      <c r="A8096" s="1">
        <v>100.0</v>
      </c>
      <c r="B8096" s="1" t="s">
        <v>245</v>
      </c>
      <c r="C8096" s="1">
        <v>10.0</v>
      </c>
      <c r="D8096" s="1" t="s">
        <v>85</v>
      </c>
      <c r="E8096" s="1" t="str">
        <f>IFERROR(__xludf.DUMMYFUNCTION("GOOGLETRANSLATE(D8096,""PT"",""EN"")"),"Service")</f>
        <v>Service</v>
      </c>
    </row>
    <row r="8097" ht="14.25" customHeight="1">
      <c r="A8097" s="1">
        <v>100.0</v>
      </c>
      <c r="B8097" s="1" t="s">
        <v>3657</v>
      </c>
      <c r="C8097" s="1">
        <v>10.0</v>
      </c>
      <c r="D8097" s="1" t="s">
        <v>6</v>
      </c>
      <c r="E8097" s="1"/>
    </row>
    <row r="8098" ht="14.25" customHeight="1">
      <c r="A8098" s="1">
        <v>100.0</v>
      </c>
      <c r="B8098" s="1" t="s">
        <v>3716</v>
      </c>
      <c r="C8098" s="1">
        <v>10.0</v>
      </c>
      <c r="D8098" s="1" t="s">
        <v>6</v>
      </c>
      <c r="E8098" s="1"/>
    </row>
    <row r="8099" ht="14.25" customHeight="1">
      <c r="A8099" s="1">
        <v>100.0</v>
      </c>
      <c r="B8099" s="1" t="s">
        <v>3657</v>
      </c>
      <c r="C8099" s="1">
        <v>9.0</v>
      </c>
      <c r="D8099" s="1" t="s">
        <v>6</v>
      </c>
      <c r="E8099" s="1"/>
    </row>
    <row r="8100" ht="14.25" customHeight="1">
      <c r="A8100" s="1">
        <v>100.0</v>
      </c>
      <c r="B8100" s="1" t="s">
        <v>3657</v>
      </c>
      <c r="C8100" s="1">
        <v>10.0</v>
      </c>
      <c r="D8100" s="2" t="s">
        <v>3730</v>
      </c>
      <c r="E8100" s="1" t="str">
        <f>IFERROR(__xludf.DUMMYFUNCTION("GOOGLETRANSLATE(D8100,""PT"",""EN"")"),"Not having to pay the current account fee.")</f>
        <v>Not having to pay the current account fee.</v>
      </c>
    </row>
    <row r="8101" ht="14.25" customHeight="1">
      <c r="A8101" s="1">
        <v>100.0</v>
      </c>
      <c r="B8101" s="1" t="s">
        <v>3657</v>
      </c>
      <c r="C8101" s="1">
        <v>10.0</v>
      </c>
      <c r="D8101" s="2" t="s">
        <v>3731</v>
      </c>
      <c r="E8101" s="1" t="str">
        <f>IFERROR(__xludf.DUMMYFUNCTION("GOOGLETRANSLATE(D8101,""PT"",""EN"")"),"I am easy to work with is talking to attendant is the application is easy to understand ..")</f>
        <v>I am easy to work with is talking to attendant is the application is easy to understand ..</v>
      </c>
    </row>
    <row r="8102" ht="14.25" customHeight="1">
      <c r="A8102" s="1">
        <v>100.0</v>
      </c>
      <c r="B8102" s="1" t="s">
        <v>1204</v>
      </c>
      <c r="C8102" s="1">
        <v>9.0</v>
      </c>
      <c r="D8102" s="1" t="s">
        <v>3732</v>
      </c>
      <c r="E8102" s="1" t="str">
        <f>IFERROR(__xludf.DUMMYFUNCTION("GOOGLETRANSLATE(D8102,""PT"",""EN"")"),"Always very well attended!")</f>
        <v>Always very well attended!</v>
      </c>
    </row>
    <row r="8103" ht="14.25" customHeight="1">
      <c r="A8103" s="1">
        <v>100.0</v>
      </c>
      <c r="B8103" s="1" t="s">
        <v>3657</v>
      </c>
      <c r="C8103" s="1">
        <v>9.0</v>
      </c>
      <c r="D8103" s="1" t="s">
        <v>6</v>
      </c>
      <c r="E8103" s="1"/>
    </row>
    <row r="8104" ht="14.25" customHeight="1">
      <c r="A8104" s="1">
        <v>66.0</v>
      </c>
      <c r="B8104" s="1" t="s">
        <v>1691</v>
      </c>
      <c r="C8104" s="1">
        <v>8.0</v>
      </c>
      <c r="D8104" s="1" t="s">
        <v>6</v>
      </c>
      <c r="E8104" s="1"/>
    </row>
    <row r="8105" ht="14.25" customHeight="1">
      <c r="A8105" s="1">
        <v>33.0</v>
      </c>
      <c r="B8105" s="1" t="s">
        <v>1340</v>
      </c>
      <c r="C8105" s="1">
        <v>0.0</v>
      </c>
      <c r="D8105" s="2" t="s">
        <v>3733</v>
      </c>
      <c r="E8105" s="1" t="str">
        <f>IFERROR(__xludf.DUMMYFUNCTION("GOOGLETRANSLATE(D8105,""PT"",""EN"")"),"Yesterday I went to talk to the manager Mayra is she didn't give attention. I was wanting to close the insurance of a condominium")</f>
        <v>Yesterday I went to talk to the manager Mayra is she didn't give attention. I was wanting to close the insurance of a condominium</v>
      </c>
    </row>
    <row r="8106" ht="14.25" customHeight="1">
      <c r="A8106" s="1">
        <v>66.0</v>
      </c>
      <c r="B8106" s="1" t="s">
        <v>5</v>
      </c>
      <c r="C8106" s="1">
        <v>7.0</v>
      </c>
      <c r="D8106" s="2" t="s">
        <v>3734</v>
      </c>
      <c r="E8106" s="1" t="str">
        <f>IFERROR(__xludf.DUMMYFUNCTION("GOOGLETRANSLATE(D8106,""PT"",""EN"")"),"I had problems programming the payment, as I did not work out the rescue programming to pay for the same day.")</f>
        <v>I had problems programming the payment, as I did not work out the rescue programming to pay for the same day.</v>
      </c>
    </row>
    <row r="8107" ht="14.25" customHeight="1">
      <c r="A8107" s="1">
        <v>100.0</v>
      </c>
      <c r="B8107" s="1" t="s">
        <v>245</v>
      </c>
      <c r="C8107" s="1">
        <v>10.0</v>
      </c>
      <c r="D8107" s="2" t="s">
        <v>3735</v>
      </c>
      <c r="E8107" s="1" t="str">
        <f>IFERROR(__xludf.DUMMYFUNCTION("GOOGLETRANSLATE(D8107,""PT"",""EN"")"),"The employees serve well.")</f>
        <v>The employees serve well.</v>
      </c>
    </row>
    <row r="8108" ht="14.25" customHeight="1">
      <c r="A8108" s="1">
        <v>100.0</v>
      </c>
      <c r="B8108" s="1" t="s">
        <v>687</v>
      </c>
      <c r="C8108" s="1">
        <v>10.0</v>
      </c>
      <c r="D8108" s="1" t="s">
        <v>6</v>
      </c>
      <c r="E8108" s="1"/>
    </row>
    <row r="8109" ht="14.25" customHeight="1">
      <c r="A8109" s="1">
        <v>100.0</v>
      </c>
      <c r="B8109" s="1" t="s">
        <v>3657</v>
      </c>
      <c r="C8109" s="1">
        <v>10.0</v>
      </c>
      <c r="D8109" s="1" t="s">
        <v>6</v>
      </c>
      <c r="E8109" s="1"/>
    </row>
    <row r="8110" ht="14.25" customHeight="1">
      <c r="A8110" s="1">
        <v>66.0</v>
      </c>
      <c r="B8110" s="1" t="s">
        <v>3657</v>
      </c>
      <c r="C8110" s="1">
        <v>8.0</v>
      </c>
      <c r="D8110" s="1" t="s">
        <v>6</v>
      </c>
      <c r="E8110" s="1"/>
    </row>
    <row r="8111" ht="14.25" customHeight="1">
      <c r="A8111" s="1">
        <v>66.0</v>
      </c>
      <c r="B8111" s="1" t="s">
        <v>3657</v>
      </c>
      <c r="C8111" s="1">
        <v>8.0</v>
      </c>
      <c r="D8111" s="1" t="s">
        <v>179</v>
      </c>
      <c r="E8111" s="1" t="str">
        <f>IFERROR(__xludf.DUMMYFUNCTION("GOOGLETRANSLATE(D8111,""PT"",""EN"")"),"Ease")</f>
        <v>Ease</v>
      </c>
    </row>
    <row r="8112" ht="14.25" customHeight="1">
      <c r="A8112" s="1">
        <v>33.0</v>
      </c>
      <c r="B8112" s="1" t="s">
        <v>245</v>
      </c>
      <c r="C8112" s="1">
        <v>1.0</v>
      </c>
      <c r="D8112" s="1" t="s">
        <v>6</v>
      </c>
      <c r="E8112" s="1"/>
    </row>
    <row r="8113" ht="14.25" customHeight="1">
      <c r="A8113" s="1">
        <v>100.0</v>
      </c>
      <c r="B8113" s="1" t="s">
        <v>3657</v>
      </c>
      <c r="C8113" s="1">
        <v>10.0</v>
      </c>
      <c r="D8113" s="1" t="s">
        <v>6</v>
      </c>
      <c r="E8113" s="1"/>
    </row>
    <row r="8114" ht="14.25" customHeight="1">
      <c r="A8114" s="1">
        <v>100.0</v>
      </c>
      <c r="B8114" s="1" t="s">
        <v>245</v>
      </c>
      <c r="C8114" s="1">
        <v>10.0</v>
      </c>
      <c r="D8114" s="1" t="s">
        <v>3736</v>
      </c>
      <c r="E8114" s="1" t="str">
        <f>IFERROR(__xludf.DUMMYFUNCTION("GOOGLETRANSLATE(D8114,""PT"",""EN"")"),"Cordiality in service")</f>
        <v>Cordiality in service</v>
      </c>
    </row>
    <row r="8115" ht="14.25" customHeight="1">
      <c r="A8115" s="1">
        <v>33.0</v>
      </c>
      <c r="B8115" s="1" t="s">
        <v>1826</v>
      </c>
      <c r="C8115" s="1">
        <v>0.0</v>
      </c>
      <c r="D8115" s="2" t="s">
        <v>3737</v>
      </c>
      <c r="E8115" s="1" t="str">
        <f>IFERROR(__xludf.DUMMYFUNCTION("GOOGLETRANSLATE(D8115,""PT"",""EN"")"),"UNKNOWLEDGE")</f>
        <v>UNKNOWLEDGE</v>
      </c>
    </row>
    <row r="8116" ht="14.25" customHeight="1">
      <c r="A8116" s="1">
        <v>33.0</v>
      </c>
      <c r="B8116" s="1" t="s">
        <v>3657</v>
      </c>
      <c r="C8116" s="1">
        <v>5.0</v>
      </c>
      <c r="D8116" s="1" t="s">
        <v>6</v>
      </c>
      <c r="E8116" s="1"/>
    </row>
    <row r="8117" ht="14.25" customHeight="1">
      <c r="A8117" s="1">
        <v>100.0</v>
      </c>
      <c r="B8117" s="1" t="s">
        <v>1691</v>
      </c>
      <c r="C8117" s="1">
        <v>10.0</v>
      </c>
      <c r="D8117" s="1" t="s">
        <v>481</v>
      </c>
      <c r="E8117" s="1" t="str">
        <f>IFERROR(__xludf.DUMMYFUNCTION("GOOGLETRANSLATE(D8117,""PT"",""EN"")"),"Partnership")</f>
        <v>Partnership</v>
      </c>
    </row>
    <row r="8118" ht="14.25" customHeight="1">
      <c r="A8118" s="1">
        <v>100.0</v>
      </c>
      <c r="B8118" s="1" t="s">
        <v>3657</v>
      </c>
      <c r="C8118" s="1">
        <v>9.0</v>
      </c>
      <c r="D8118" s="2" t="s">
        <v>3738</v>
      </c>
      <c r="E8118" s="1" t="str">
        <f>IFERROR(__xludf.DUMMYFUNCTION("GOOGLETRANSLATE(D8118,""PT"",""EN"")"),"Is attending my condominium miss only credit card")</f>
        <v>Is attending my condominium miss only credit card</v>
      </c>
    </row>
    <row r="8119" ht="14.25" customHeight="1">
      <c r="A8119" s="1">
        <v>100.0</v>
      </c>
      <c r="B8119" s="1" t="s">
        <v>245</v>
      </c>
      <c r="C8119" s="1">
        <v>10.0</v>
      </c>
      <c r="D8119" s="1" t="s">
        <v>6</v>
      </c>
      <c r="E8119" s="1"/>
    </row>
    <row r="8120" ht="14.25" customHeight="1">
      <c r="A8120" s="1">
        <v>100.0</v>
      </c>
      <c r="B8120" s="1" t="s">
        <v>3657</v>
      </c>
      <c r="C8120" s="1">
        <v>10.0</v>
      </c>
      <c r="D8120" s="1" t="s">
        <v>6</v>
      </c>
      <c r="E8120" s="1"/>
    </row>
    <row r="8121" ht="14.25" customHeight="1">
      <c r="A8121" s="1">
        <v>100.0</v>
      </c>
      <c r="B8121" s="1" t="s">
        <v>3657</v>
      </c>
      <c r="C8121" s="1">
        <v>10.0</v>
      </c>
      <c r="D8121" s="1" t="s">
        <v>6</v>
      </c>
      <c r="E8121" s="1"/>
    </row>
    <row r="8122" ht="14.25" customHeight="1">
      <c r="A8122" s="1">
        <v>100.0</v>
      </c>
      <c r="B8122" s="1" t="s">
        <v>157</v>
      </c>
      <c r="C8122" s="1">
        <v>10.0</v>
      </c>
      <c r="D8122" s="1" t="s">
        <v>112</v>
      </c>
      <c r="E8122" s="1" t="str">
        <f>IFERROR(__xludf.DUMMYFUNCTION("GOOGLETRANSLATE(D8122,""PT"",""EN"")"),"Practicality")</f>
        <v>Practicality</v>
      </c>
    </row>
    <row r="8123" ht="14.25" customHeight="1">
      <c r="A8123" s="1">
        <v>66.0</v>
      </c>
      <c r="B8123" s="1" t="s">
        <v>2106</v>
      </c>
      <c r="C8123" s="1">
        <v>7.0</v>
      </c>
      <c r="D8123" s="1" t="s">
        <v>6</v>
      </c>
      <c r="E8123" s="1"/>
    </row>
    <row r="8124" ht="14.25" customHeight="1">
      <c r="A8124" s="1">
        <v>100.0</v>
      </c>
      <c r="B8124" s="1" t="s">
        <v>971</v>
      </c>
      <c r="C8124" s="1">
        <v>10.0</v>
      </c>
      <c r="D8124" s="1" t="s">
        <v>62</v>
      </c>
      <c r="E8124" s="1" t="str">
        <f>IFERROR(__xludf.DUMMYFUNCTION("GOOGLETRANSLATE(D8124,""PT"",""EN"")"),"Good service")</f>
        <v>Good service</v>
      </c>
    </row>
    <row r="8125" ht="14.25" customHeight="1">
      <c r="A8125" s="1">
        <v>100.0</v>
      </c>
      <c r="B8125" s="1" t="s">
        <v>1340</v>
      </c>
      <c r="C8125" s="1">
        <v>9.0</v>
      </c>
      <c r="D8125" s="1" t="s">
        <v>6</v>
      </c>
      <c r="E8125" s="1"/>
    </row>
    <row r="8126" ht="14.25" customHeight="1">
      <c r="A8126" s="1">
        <v>100.0</v>
      </c>
      <c r="B8126" s="1" t="s">
        <v>1340</v>
      </c>
      <c r="C8126" s="1">
        <v>9.0</v>
      </c>
      <c r="D8126" s="1" t="s">
        <v>6</v>
      </c>
      <c r="E8126" s="1"/>
    </row>
    <row r="8127" ht="14.25" customHeight="1">
      <c r="A8127" s="1">
        <v>100.0</v>
      </c>
      <c r="B8127" s="1" t="s">
        <v>3716</v>
      </c>
      <c r="C8127" s="1">
        <v>10.0</v>
      </c>
      <c r="D8127" s="1" t="s">
        <v>6</v>
      </c>
      <c r="E8127" s="1"/>
    </row>
    <row r="8128" ht="14.25" customHeight="1">
      <c r="A8128" s="1">
        <v>100.0</v>
      </c>
      <c r="B8128" s="1" t="s">
        <v>3716</v>
      </c>
      <c r="C8128" s="1">
        <v>9.0</v>
      </c>
      <c r="D8128" s="1" t="s">
        <v>6</v>
      </c>
      <c r="E8128" s="1"/>
    </row>
    <row r="8129" ht="14.25" customHeight="1">
      <c r="A8129" s="1">
        <v>33.0</v>
      </c>
      <c r="B8129" s="1" t="s">
        <v>1340</v>
      </c>
      <c r="C8129" s="1">
        <v>6.0</v>
      </c>
      <c r="D8129" s="1" t="s">
        <v>3739</v>
      </c>
      <c r="E8129" s="1" t="str">
        <f>IFERROR(__xludf.DUMMYFUNCTION("GOOGLETRANSLATE(D8129,""PT"",""EN"")"),"I am very well attended, but I have already had damage due to the negative result of the cooperative.")</f>
        <v>I am very well attended, but I have already had damage due to the negative result of the cooperative.</v>
      </c>
    </row>
    <row r="8130" ht="14.25" customHeight="1">
      <c r="A8130" s="1">
        <v>100.0</v>
      </c>
      <c r="B8130" s="1" t="s">
        <v>1245</v>
      </c>
      <c r="C8130" s="1">
        <v>10.0</v>
      </c>
      <c r="D8130" s="1" t="s">
        <v>6</v>
      </c>
      <c r="E8130" s="1"/>
    </row>
    <row r="8131" ht="14.25" customHeight="1">
      <c r="A8131" s="1">
        <v>100.0</v>
      </c>
      <c r="B8131" s="1" t="s">
        <v>245</v>
      </c>
      <c r="C8131" s="1">
        <v>10.0</v>
      </c>
      <c r="D8131" s="1" t="s">
        <v>9</v>
      </c>
      <c r="E8131" s="1" t="str">
        <f>IFERROR(__xludf.DUMMYFUNCTION("GOOGLETRANSLATE(D8131,""PT"",""EN"")"),"10")</f>
        <v>10</v>
      </c>
    </row>
    <row r="8132" ht="14.25" customHeight="1">
      <c r="A8132" s="1">
        <v>100.0</v>
      </c>
      <c r="B8132" s="1" t="s">
        <v>3657</v>
      </c>
      <c r="C8132" s="1">
        <v>10.0</v>
      </c>
      <c r="D8132" s="1" t="s">
        <v>3740</v>
      </c>
      <c r="E8132" s="1" t="str">
        <f>IFERROR(__xludf.DUMMYFUNCTION("GOOGLETRANSLATE(D8132,""PT"",""EN"")"),"Test")</f>
        <v>Test</v>
      </c>
    </row>
    <row r="8133" ht="14.25" customHeight="1">
      <c r="A8133" s="1">
        <v>100.0</v>
      </c>
      <c r="B8133" s="1" t="s">
        <v>819</v>
      </c>
      <c r="C8133" s="1">
        <v>9.0</v>
      </c>
      <c r="D8133" s="1" t="s">
        <v>6</v>
      </c>
      <c r="E8133" s="1"/>
    </row>
    <row r="8134" ht="14.25" customHeight="1">
      <c r="A8134" s="1">
        <v>100.0</v>
      </c>
      <c r="B8134" s="1" t="s">
        <v>3423</v>
      </c>
      <c r="C8134" s="1">
        <v>10.0</v>
      </c>
      <c r="D8134" s="2" t="s">
        <v>3741</v>
      </c>
      <c r="E8134" s="1" t="str">
        <f>IFERROR(__xludf.DUMMYFUNCTION("GOOGLETRANSLATE(D8134,""PT"",""EN"")"),"A great cooperative, with excellent professionals")</f>
        <v>A great cooperative, with excellent professionals</v>
      </c>
    </row>
    <row r="8135" ht="14.25" customHeight="1">
      <c r="A8135" s="1">
        <v>100.0</v>
      </c>
      <c r="B8135" s="1" t="s">
        <v>819</v>
      </c>
      <c r="C8135" s="1">
        <v>10.0</v>
      </c>
      <c r="D8135" s="1" t="s">
        <v>6</v>
      </c>
      <c r="E8135" s="1"/>
    </row>
    <row r="8136" ht="14.25" customHeight="1">
      <c r="A8136" s="1">
        <v>100.0</v>
      </c>
      <c r="B8136" s="1" t="s">
        <v>1607</v>
      </c>
      <c r="C8136" s="1">
        <v>10.0</v>
      </c>
      <c r="D8136" s="2" t="s">
        <v>3742</v>
      </c>
      <c r="E8136" s="1" t="str">
        <f>IFERROR(__xludf.DUMMYFUNCTION("GOOGLETRANSLATE(D8136,""PT"",""EN"")"),"The cooperative system in its essence is a passionate system is fair.")</f>
        <v>The cooperative system in its essence is a passionate system is fair.</v>
      </c>
    </row>
    <row r="8137" ht="14.25" customHeight="1">
      <c r="A8137" s="1">
        <v>100.0</v>
      </c>
      <c r="B8137" s="1" t="s">
        <v>5</v>
      </c>
      <c r="C8137" s="1">
        <v>10.0</v>
      </c>
      <c r="D8137" s="1" t="s">
        <v>3743</v>
      </c>
      <c r="E8137" s="1" t="str">
        <f>IFERROR(__xludf.DUMMYFUNCTION("GOOGLETRANSLATE(D8137,""PT"",""EN"")"),"Human care. Human Agency.")</f>
        <v>Human care. Human Agency.</v>
      </c>
    </row>
    <row r="8138" ht="14.25" customHeight="1">
      <c r="A8138" s="1">
        <v>100.0</v>
      </c>
      <c r="B8138" s="1" t="s">
        <v>3657</v>
      </c>
      <c r="C8138" s="1">
        <v>10.0</v>
      </c>
      <c r="D8138" s="1" t="s">
        <v>6</v>
      </c>
      <c r="E8138" s="1"/>
    </row>
    <row r="8139" ht="14.25" customHeight="1">
      <c r="A8139" s="1">
        <v>33.0</v>
      </c>
      <c r="B8139" s="1" t="s">
        <v>1204</v>
      </c>
      <c r="C8139" s="1">
        <v>1.0</v>
      </c>
      <c r="D8139" s="2" t="s">
        <v>3744</v>
      </c>
      <c r="E8139" s="1" t="str">
        <f>IFERROR(__xludf.DUMMYFUNCTION("GOOGLETRANSLATE(D8139,""PT"",""EN"")"),"I simply had no proposal")</f>
        <v>I simply had no proposal</v>
      </c>
    </row>
    <row r="8140" ht="14.25" customHeight="1">
      <c r="A8140" s="1">
        <v>100.0</v>
      </c>
      <c r="B8140" s="1" t="s">
        <v>1204</v>
      </c>
      <c r="C8140" s="1">
        <v>10.0</v>
      </c>
      <c r="D8140" s="1" t="s">
        <v>3745</v>
      </c>
      <c r="E8140" s="1" t="str">
        <f>IFERROR(__xludf.DUMMYFUNCTION("GOOGLETRANSLATE(D8140,""PT"",""EN"")"),"Currently, it is a modern bank")</f>
        <v>Currently, it is a modern bank</v>
      </c>
    </row>
    <row r="8141" ht="14.25" customHeight="1">
      <c r="A8141" s="1">
        <v>100.0</v>
      </c>
      <c r="B8141" s="1" t="s">
        <v>1204</v>
      </c>
      <c r="C8141" s="1">
        <v>10.0</v>
      </c>
      <c r="D8141" s="1" t="s">
        <v>6</v>
      </c>
      <c r="E8141" s="1"/>
    </row>
    <row r="8142" ht="14.25" customHeight="1">
      <c r="A8142" s="1">
        <v>100.0</v>
      </c>
      <c r="B8142" s="1" t="s">
        <v>3657</v>
      </c>
      <c r="C8142" s="1">
        <v>10.0</v>
      </c>
      <c r="D8142" s="1" t="s">
        <v>3746</v>
      </c>
      <c r="E8142" s="1" t="str">
        <f>IFERROR(__xludf.DUMMYFUNCTION("GOOGLETRANSLATE(D8142,""PT"",""EN"")"),"It is very welcoming, we have direct contact where it facilitates a lot")</f>
        <v>It is very welcoming, we have direct contact where it facilitates a lot</v>
      </c>
    </row>
    <row r="8143" ht="14.25" customHeight="1">
      <c r="A8143" s="1">
        <v>100.0</v>
      </c>
      <c r="B8143" s="1" t="s">
        <v>3657</v>
      </c>
      <c r="C8143" s="1">
        <v>10.0</v>
      </c>
      <c r="D8143" s="1" t="s">
        <v>6</v>
      </c>
      <c r="E8143" s="1"/>
    </row>
    <row r="8144" ht="14.25" customHeight="1">
      <c r="A8144" s="1">
        <v>100.0</v>
      </c>
      <c r="B8144" s="1" t="s">
        <v>5</v>
      </c>
      <c r="C8144" s="1">
        <v>10.0</v>
      </c>
      <c r="D8144" s="1" t="s">
        <v>456</v>
      </c>
      <c r="E8144" s="1" t="str">
        <f>IFERROR(__xludf.DUMMYFUNCTION("GOOGLETRANSLATE(D8144,""PT"",""EN"")"),"service")</f>
        <v>service</v>
      </c>
    </row>
    <row r="8145" ht="14.25" customHeight="1">
      <c r="A8145" s="1">
        <v>100.0</v>
      </c>
      <c r="B8145" s="1" t="s">
        <v>5</v>
      </c>
      <c r="C8145" s="1">
        <v>10.0</v>
      </c>
      <c r="D8145" s="1" t="s">
        <v>6</v>
      </c>
      <c r="E8145" s="1"/>
    </row>
    <row r="8146" ht="14.25" customHeight="1">
      <c r="A8146" s="1">
        <v>100.0</v>
      </c>
      <c r="B8146" s="1" t="s">
        <v>5</v>
      </c>
      <c r="C8146" s="1">
        <v>10.0</v>
      </c>
      <c r="D8146" s="1" t="s">
        <v>3747</v>
      </c>
      <c r="E8146" s="1" t="str">
        <f>IFERROR(__xludf.DUMMYFUNCTION("GOOGLETRANSLATE(D8146,""PT"",""EN"")"),"Great institution.")</f>
        <v>Great institution.</v>
      </c>
    </row>
    <row r="8147" ht="14.25" customHeight="1">
      <c r="A8147" s="1">
        <v>100.0</v>
      </c>
      <c r="B8147" s="1" t="s">
        <v>5</v>
      </c>
      <c r="C8147" s="1">
        <v>10.0</v>
      </c>
      <c r="D8147" s="1" t="s">
        <v>3748</v>
      </c>
      <c r="E8147" s="1" t="str">
        <f>IFERROR(__xludf.DUMMYFUNCTION("GOOGLETRANSLATE(D8147,""PT"",""EN"")"),"The service of cooperatives")</f>
        <v>The service of cooperatives</v>
      </c>
    </row>
    <row r="8148" ht="14.25" customHeight="1">
      <c r="A8148" s="1">
        <v>100.0</v>
      </c>
      <c r="B8148" s="1" t="s">
        <v>3657</v>
      </c>
      <c r="C8148" s="1">
        <v>10.0</v>
      </c>
      <c r="D8148" s="2" t="s">
        <v>3749</v>
      </c>
      <c r="E8148" s="1" t="str">
        <f>IFERROR(__xludf.DUMMYFUNCTION("GOOGLETRANSLATE(D8148,""PT"",""EN"")"),"Great attendants")</f>
        <v>Great attendants</v>
      </c>
    </row>
    <row r="8149" ht="14.25" customHeight="1">
      <c r="A8149" s="1">
        <v>66.0</v>
      </c>
      <c r="B8149" s="1" t="s">
        <v>3657</v>
      </c>
      <c r="C8149" s="1">
        <v>8.0</v>
      </c>
      <c r="D8149" s="2" t="s">
        <v>3750</v>
      </c>
      <c r="E8149" s="1" t="str">
        <f>IFERROR(__xludf.DUMMYFUNCTION("GOOGLETRANSLATE(D8149,""PT"",""EN"")"),"great.")</f>
        <v>great.</v>
      </c>
    </row>
    <row r="8150" ht="14.25" customHeight="1">
      <c r="A8150" s="1">
        <v>100.0</v>
      </c>
      <c r="B8150" s="1" t="s">
        <v>5</v>
      </c>
      <c r="C8150" s="1">
        <v>10.0</v>
      </c>
      <c r="D8150" s="2" t="s">
        <v>3751</v>
      </c>
      <c r="E8150" s="1" t="str">
        <f>IFERROR(__xludf.DUMMYFUNCTION("GOOGLETRANSLATE(D8150,""PT"",""EN"")"),"It is the best existing financial institution")</f>
        <v>It is the best existing financial institution</v>
      </c>
    </row>
    <row r="8151" ht="14.25" customHeight="1">
      <c r="A8151" s="1">
        <v>100.0</v>
      </c>
      <c r="B8151" s="1" t="s">
        <v>5</v>
      </c>
      <c r="C8151" s="1">
        <v>10.0</v>
      </c>
      <c r="D8151" s="1" t="s">
        <v>37</v>
      </c>
      <c r="E8151" s="1" t="str">
        <f>IFERROR(__xludf.DUMMYFUNCTION("GOOGLETRANSLATE(D8151,""PT"",""EN"")"),"Great service")</f>
        <v>Great service</v>
      </c>
    </row>
    <row r="8152" ht="14.25" customHeight="1">
      <c r="A8152" s="1">
        <v>100.0</v>
      </c>
      <c r="B8152" s="1" t="s">
        <v>5</v>
      </c>
      <c r="C8152" s="1">
        <v>10.0</v>
      </c>
      <c r="D8152" s="1" t="s">
        <v>1101</v>
      </c>
      <c r="E8152" s="1" t="str">
        <f>IFERROR(__xludf.DUMMYFUNCTION("GOOGLETRANSLATE(D8152,""PT"",""EN"")"),"I liked")</f>
        <v>I liked</v>
      </c>
    </row>
    <row r="8153" ht="14.25" customHeight="1">
      <c r="A8153" s="1">
        <v>100.0</v>
      </c>
      <c r="B8153" s="1" t="s">
        <v>5</v>
      </c>
      <c r="C8153" s="1">
        <v>10.0</v>
      </c>
      <c r="D8153" s="1" t="s">
        <v>571</v>
      </c>
      <c r="E8153" s="1" t="str">
        <f>IFERROR(__xludf.DUMMYFUNCTION("GOOGLETRANSLATE(D8153,""PT"",""EN"")"),"The service")</f>
        <v>The service</v>
      </c>
    </row>
    <row r="8154" ht="14.25" customHeight="1">
      <c r="A8154" s="1">
        <v>33.0</v>
      </c>
      <c r="B8154" s="1" t="s">
        <v>3657</v>
      </c>
      <c r="C8154" s="1">
        <v>5.0</v>
      </c>
      <c r="D8154" s="1" t="s">
        <v>6</v>
      </c>
      <c r="E8154" s="1"/>
    </row>
    <row r="8155" ht="14.25" customHeight="1">
      <c r="A8155" s="1">
        <v>100.0</v>
      </c>
      <c r="B8155" s="1" t="s">
        <v>5</v>
      </c>
      <c r="C8155" s="1">
        <v>10.0</v>
      </c>
      <c r="D8155" s="1" t="s">
        <v>62</v>
      </c>
      <c r="E8155" s="1" t="str">
        <f>IFERROR(__xludf.DUMMYFUNCTION("GOOGLETRANSLATE(D8155,""PT"",""EN"")"),"Good service")</f>
        <v>Good service</v>
      </c>
    </row>
    <row r="8156" ht="14.25" customHeight="1">
      <c r="A8156" s="1">
        <v>66.0</v>
      </c>
      <c r="B8156" s="1" t="s">
        <v>1826</v>
      </c>
      <c r="C8156" s="1">
        <v>8.0</v>
      </c>
      <c r="D8156" s="1" t="s">
        <v>6</v>
      </c>
      <c r="E8156" s="1"/>
    </row>
    <row r="8157" ht="14.25" customHeight="1">
      <c r="A8157" s="1">
        <v>100.0</v>
      </c>
      <c r="B8157" s="1" t="s">
        <v>3657</v>
      </c>
      <c r="C8157" s="1">
        <v>10.0</v>
      </c>
      <c r="D8157" s="1" t="s">
        <v>6</v>
      </c>
      <c r="E8157" s="1"/>
    </row>
    <row r="8158" ht="14.25" customHeight="1">
      <c r="A8158" s="1">
        <v>100.0</v>
      </c>
      <c r="B8158" s="1" t="s">
        <v>1245</v>
      </c>
      <c r="C8158" s="1">
        <v>10.0</v>
      </c>
      <c r="D8158" s="1" t="s">
        <v>6</v>
      </c>
      <c r="E8158" s="1"/>
    </row>
    <row r="8159" ht="14.25" customHeight="1">
      <c r="A8159" s="1">
        <v>33.0</v>
      </c>
      <c r="B8159" s="1" t="s">
        <v>2669</v>
      </c>
      <c r="C8159" s="1">
        <v>5.0</v>
      </c>
      <c r="D8159" s="2" t="s">
        <v>3752</v>
      </c>
      <c r="E8159" s="1" t="str">
        <f>IFERROR(__xludf.DUMMYFUNCTION("GOOGLETRANSLATE(D8159,""PT"",""EN"")"),"I recommend if he wanted something within his reach, as a consortium, is to use the bank to save money. Now if you want credit card activation, it will be a bureaucracy. With me is an endless wait. In the other I recommend it to some other areas not.")</f>
        <v>I recommend if he wanted something within his reach, as a consortium, is to use the bank to save money. Now if you want credit card activation, it will be a bureaucracy. With me is an endless wait. In the other I recommend it to some other areas not.</v>
      </c>
    </row>
    <row r="8160" ht="14.25" customHeight="1">
      <c r="A8160" s="1">
        <v>100.0</v>
      </c>
      <c r="B8160" s="1" t="s">
        <v>5</v>
      </c>
      <c r="C8160" s="1">
        <v>10.0</v>
      </c>
      <c r="D8160" s="2" t="s">
        <v>3753</v>
      </c>
      <c r="E8160" s="1" t="str">
        <f>IFERROR(__xludf.DUMMYFUNCTION("GOOGLETRANSLATE(D8160,""PT"",""EN"")"),"Security is lower interest")</f>
        <v>Security is lower interest</v>
      </c>
    </row>
    <row r="8161" ht="14.25" customHeight="1">
      <c r="A8161" s="1">
        <v>100.0</v>
      </c>
      <c r="B8161" s="1" t="s">
        <v>687</v>
      </c>
      <c r="C8161" s="1">
        <v>10.0</v>
      </c>
      <c r="D8161" s="2" t="s">
        <v>3754</v>
      </c>
      <c r="E8161" s="1" t="str">
        <f>IFERROR(__xludf.DUMMYFUNCTION("GOOGLETRANSLATE(D8161,""PT"",""EN"")"),"I'm pleased with Banco Sicoob Only 5 Years I have no as a rule Congratulations Sicoob for the partnership for companionship sicoob the bank that makes a difference just believe")</f>
        <v>I'm pleased with Banco Sicoob Only 5 Years I have no as a rule Congratulations Sicoob for the partnership for companionship sicoob the bank that makes a difference just believe</v>
      </c>
    </row>
    <row r="8162" ht="14.25" customHeight="1">
      <c r="A8162" s="1">
        <v>100.0</v>
      </c>
      <c r="B8162" s="1" t="s">
        <v>3657</v>
      </c>
      <c r="C8162" s="1">
        <v>10.0</v>
      </c>
      <c r="D8162" s="1" t="s">
        <v>6</v>
      </c>
      <c r="E8162" s="1"/>
    </row>
    <row r="8163" ht="14.25" customHeight="1">
      <c r="A8163" s="1">
        <v>33.0</v>
      </c>
      <c r="B8163" s="1" t="s">
        <v>1049</v>
      </c>
      <c r="C8163" s="1">
        <v>2.0</v>
      </c>
      <c r="D8163" s="1" t="s">
        <v>3755</v>
      </c>
      <c r="E8163" s="1" t="str">
        <f>IFERROR(__xludf.DUMMYFUNCTION("GOOGLETRANSLATE(D8163,""PT"",""EN"")"),"Regular service")</f>
        <v>Regular service</v>
      </c>
    </row>
    <row r="8164" ht="14.25" customHeight="1">
      <c r="A8164" s="1">
        <v>100.0</v>
      </c>
      <c r="B8164" s="1" t="s">
        <v>245</v>
      </c>
      <c r="C8164" s="1">
        <v>10.0</v>
      </c>
      <c r="D8164" s="2" t="s">
        <v>3756</v>
      </c>
      <c r="E8164" s="1" t="str">
        <f>IFERROR(__xludf.DUMMYFUNCTION("GOOGLETRANSLATE(D8164,""PT"",""EN"")"),"Very great")</f>
        <v>Very great</v>
      </c>
    </row>
    <row r="8165" ht="14.25" customHeight="1">
      <c r="A8165" s="1">
        <v>100.0</v>
      </c>
      <c r="B8165" s="1" t="s">
        <v>687</v>
      </c>
      <c r="C8165" s="1">
        <v>10.0</v>
      </c>
      <c r="D8165" s="1" t="s">
        <v>6</v>
      </c>
      <c r="E8165" s="1"/>
    </row>
    <row r="8166" ht="14.25" customHeight="1">
      <c r="A8166" s="1">
        <v>100.0</v>
      </c>
      <c r="B8166" s="1" t="s">
        <v>1049</v>
      </c>
      <c r="C8166" s="1">
        <v>10.0</v>
      </c>
      <c r="D8166" s="1" t="s">
        <v>37</v>
      </c>
      <c r="E8166" s="1" t="str">
        <f>IFERROR(__xludf.DUMMYFUNCTION("GOOGLETRANSLATE(D8166,""PT"",""EN"")"),"Great service")</f>
        <v>Great service</v>
      </c>
    </row>
    <row r="8167" ht="14.25" customHeight="1">
      <c r="A8167" s="1">
        <v>100.0</v>
      </c>
      <c r="B8167" s="1" t="s">
        <v>3657</v>
      </c>
      <c r="C8167" s="1">
        <v>10.0</v>
      </c>
      <c r="D8167" s="1" t="s">
        <v>6</v>
      </c>
      <c r="E8167" s="1"/>
    </row>
    <row r="8168" ht="14.25" customHeight="1">
      <c r="A8168" s="1">
        <v>100.0</v>
      </c>
      <c r="B8168" s="1" t="s">
        <v>3657</v>
      </c>
      <c r="C8168" s="1">
        <v>9.0</v>
      </c>
      <c r="D8168" s="2" t="s">
        <v>3757</v>
      </c>
      <c r="E8168" s="1" t="str">
        <f>IFERROR(__xludf.DUMMYFUNCTION("GOOGLETRANSLATE(D8168,""PT"",""EN"")"),"Excellent staff is very attentive")</f>
        <v>Excellent staff is very attentive</v>
      </c>
    </row>
    <row r="8169" ht="14.25" customHeight="1">
      <c r="A8169" s="1">
        <v>100.0</v>
      </c>
      <c r="B8169" s="1" t="s">
        <v>1245</v>
      </c>
      <c r="C8169" s="1">
        <v>10.0</v>
      </c>
      <c r="D8169" s="1" t="s">
        <v>6</v>
      </c>
      <c r="E8169" s="1"/>
    </row>
    <row r="8170" ht="14.25" customHeight="1">
      <c r="A8170" s="1">
        <v>100.0</v>
      </c>
      <c r="B8170" s="1" t="s">
        <v>1826</v>
      </c>
      <c r="C8170" s="1">
        <v>10.0</v>
      </c>
      <c r="D8170" s="1" t="s">
        <v>3758</v>
      </c>
      <c r="E8170" s="1" t="str">
        <f>IFERROR(__xludf.DUMMYFUNCTION("GOOGLETRANSLATE(D8170,""PT"",""EN"")"),"Excellence work.")</f>
        <v>Excellence work.</v>
      </c>
    </row>
    <row r="8171" ht="14.25" customHeight="1">
      <c r="A8171" s="1">
        <v>66.0</v>
      </c>
      <c r="B8171" s="1" t="s">
        <v>1691</v>
      </c>
      <c r="C8171" s="1">
        <v>8.0</v>
      </c>
      <c r="D8171" s="1" t="s">
        <v>6</v>
      </c>
      <c r="E8171" s="1"/>
    </row>
    <row r="8172" ht="14.25" customHeight="1">
      <c r="A8172" s="1">
        <v>100.0</v>
      </c>
      <c r="B8172" s="1" t="s">
        <v>1049</v>
      </c>
      <c r="C8172" s="1">
        <v>10.0</v>
      </c>
      <c r="D8172" s="1" t="s">
        <v>3759</v>
      </c>
      <c r="E8172" s="1" t="str">
        <f>IFERROR(__xludf.DUMMYFUNCTION("GOOGLETRANSLATE(D8172,""PT"",""EN"")"),"Good relationship with the bank")</f>
        <v>Good relationship with the bank</v>
      </c>
    </row>
    <row r="8173" ht="14.25" customHeight="1">
      <c r="A8173" s="1">
        <v>100.0</v>
      </c>
      <c r="B8173" s="1" t="s">
        <v>3423</v>
      </c>
      <c r="C8173" s="1">
        <v>10.0</v>
      </c>
      <c r="D8173" s="2" t="s">
        <v>3760</v>
      </c>
      <c r="E8173" s="1" t="str">
        <f>IFERROR(__xludf.DUMMYFUNCTION("GOOGLETRANSLATE(D8173,""PT"",""EN"")"),"A serious bank reliable")</f>
        <v>A serious bank reliable</v>
      </c>
    </row>
    <row r="8174" ht="14.25" customHeight="1">
      <c r="A8174" s="1">
        <v>100.0</v>
      </c>
      <c r="B8174" s="1" t="s">
        <v>3657</v>
      </c>
      <c r="C8174" s="1">
        <v>10.0</v>
      </c>
      <c r="D8174" s="2" t="s">
        <v>3761</v>
      </c>
      <c r="E8174" s="1" t="str">
        <f>IFERROR(__xludf.DUMMYFUNCTION("GOOGLETRANSLATE(D8174,""PT"",""EN"")"),"A bank with all available services is with reduced rates.")</f>
        <v>A bank with all available services is with reduced rates.</v>
      </c>
    </row>
    <row r="8175" ht="14.25" customHeight="1">
      <c r="A8175" s="1">
        <v>33.0</v>
      </c>
      <c r="B8175" s="1" t="s">
        <v>3657</v>
      </c>
      <c r="C8175" s="1">
        <v>1.0</v>
      </c>
      <c r="D8175" s="1" t="s">
        <v>6</v>
      </c>
      <c r="E8175" s="1"/>
    </row>
    <row r="8176" ht="14.25" customHeight="1">
      <c r="A8176" s="1">
        <v>100.0</v>
      </c>
      <c r="B8176" s="1" t="s">
        <v>2412</v>
      </c>
      <c r="C8176" s="1">
        <v>10.0</v>
      </c>
      <c r="D8176" s="2" t="s">
        <v>3762</v>
      </c>
      <c r="E8176" s="1" t="str">
        <f>IFERROR(__xludf.DUMMYFUNCTION("GOOGLETRANSLATE(D8176,""PT"",""EN"")"),"Good service from the Planaltina DF agency is in Natal RN the cashier takes a long time")</f>
        <v>Good service from the Planaltina DF agency is in Natal RN the cashier takes a long time</v>
      </c>
    </row>
    <row r="8177" ht="14.25" customHeight="1">
      <c r="A8177" s="1">
        <v>100.0</v>
      </c>
      <c r="B8177" s="1" t="s">
        <v>687</v>
      </c>
      <c r="C8177" s="1">
        <v>10.0</v>
      </c>
      <c r="D8177" s="2" t="s">
        <v>3763</v>
      </c>
      <c r="E8177" s="1" t="str">
        <f>IFERROR(__xludf.DUMMYFUNCTION("GOOGLETRANSLATE(D8177,""PT"",""EN"")"),"For the honesty of your work of grade 10")</f>
        <v>For the honesty of your work of grade 10</v>
      </c>
    </row>
    <row r="8178" ht="14.25" customHeight="1">
      <c r="A8178" s="1">
        <v>66.0</v>
      </c>
      <c r="B8178" s="1" t="s">
        <v>819</v>
      </c>
      <c r="C8178" s="1">
        <v>8.0</v>
      </c>
      <c r="D8178" s="1" t="s">
        <v>6</v>
      </c>
      <c r="E8178" s="1"/>
    </row>
    <row r="8179" ht="14.25" customHeight="1">
      <c r="A8179" s="1">
        <v>100.0</v>
      </c>
      <c r="B8179" s="1" t="s">
        <v>3657</v>
      </c>
      <c r="C8179" s="1">
        <v>10.0</v>
      </c>
      <c r="D8179" s="1" t="s">
        <v>6</v>
      </c>
      <c r="E8179" s="1"/>
    </row>
    <row r="8180" ht="14.25" customHeight="1">
      <c r="A8180" s="1">
        <v>33.0</v>
      </c>
      <c r="B8180" s="1" t="s">
        <v>2412</v>
      </c>
      <c r="C8180" s="1">
        <v>4.0</v>
      </c>
      <c r="D8180" s="2" t="s">
        <v>3764</v>
      </c>
      <c r="E8180" s="1" t="str">
        <f>IFERROR(__xludf.DUMMYFUNCTION("GOOGLETRANSLATE(D8180,""PT"",""EN"")"),"I wanted to see the possibility of having credit")</f>
        <v>I wanted to see the possibility of having credit</v>
      </c>
    </row>
    <row r="8181" ht="14.25" customHeight="1">
      <c r="A8181" s="1">
        <v>100.0</v>
      </c>
      <c r="B8181" s="1" t="s">
        <v>1245</v>
      </c>
      <c r="C8181" s="1">
        <v>10.0</v>
      </c>
      <c r="D8181" s="1" t="s">
        <v>6</v>
      </c>
      <c r="E8181" s="1"/>
    </row>
    <row r="8182" ht="14.25" customHeight="1">
      <c r="A8182" s="1">
        <v>33.0</v>
      </c>
      <c r="B8182" s="1" t="s">
        <v>3657</v>
      </c>
      <c r="C8182" s="1">
        <v>0.0</v>
      </c>
      <c r="D8182" s="2" t="s">
        <v>3765</v>
      </c>
      <c r="E8182" s="1" t="str">
        <f>IFERROR(__xludf.DUMMYFUNCTION("GOOGLETRANSLATE(D8182,""PT"",""EN"")"),"Terrible")</f>
        <v>Terrible</v>
      </c>
    </row>
    <row r="8183" ht="14.25" customHeight="1">
      <c r="A8183" s="1">
        <v>100.0</v>
      </c>
      <c r="B8183" s="1" t="s">
        <v>2412</v>
      </c>
      <c r="C8183" s="1">
        <v>10.0</v>
      </c>
      <c r="D8183" s="1" t="s">
        <v>6</v>
      </c>
      <c r="E8183" s="1"/>
    </row>
    <row r="8184" ht="14.25" customHeight="1">
      <c r="A8184" s="1">
        <v>100.0</v>
      </c>
      <c r="B8184" s="1" t="s">
        <v>1691</v>
      </c>
      <c r="C8184" s="1">
        <v>10.0</v>
      </c>
      <c r="D8184" s="1" t="s">
        <v>3766</v>
      </c>
      <c r="E8184" s="1" t="str">
        <f>IFERROR(__xludf.DUMMYFUNCTION("GOOGLETRANSLATE(D8184,""PT"",""EN"")"),"bank that serves our financial, unique")</f>
        <v>bank that serves our financial, unique</v>
      </c>
    </row>
    <row r="8185" ht="14.25" customHeight="1">
      <c r="A8185" s="1">
        <v>33.0</v>
      </c>
      <c r="B8185" s="1" t="s">
        <v>3657</v>
      </c>
      <c r="C8185" s="1">
        <v>0.0</v>
      </c>
      <c r="D8185" s="2" t="s">
        <v>3767</v>
      </c>
      <c r="E8185" s="1" t="str">
        <f>IFERROR(__xludf.DUMMYFUNCTION("GOOGLETRANSLATE(D8185,""PT"",""EN"")"),"The worst cooperative that can exist! Misleading advertising! Poor Board -")</f>
        <v>The worst cooperative that can exist! Misleading advertising! Poor Board -</v>
      </c>
    </row>
    <row r="8186" ht="14.25" customHeight="1">
      <c r="A8186" s="1">
        <v>100.0</v>
      </c>
      <c r="B8186" s="1" t="s">
        <v>2412</v>
      </c>
      <c r="C8186" s="1">
        <v>10.0</v>
      </c>
      <c r="D8186" s="2" t="s">
        <v>3768</v>
      </c>
      <c r="E8186" s="1" t="str">
        <f>IFERROR(__xludf.DUMMYFUNCTION("GOOGLETRANSLATE(D8186,""PT"",""EN"")"),"It is a cooperative system where you are not just a customer. It's a partner.")</f>
        <v>It is a cooperative system where you are not just a customer. It's a partner.</v>
      </c>
    </row>
    <row r="8187" ht="14.25" customHeight="1">
      <c r="A8187" s="1">
        <v>66.0</v>
      </c>
      <c r="B8187" s="1" t="s">
        <v>245</v>
      </c>
      <c r="C8187" s="1">
        <v>8.0</v>
      </c>
      <c r="D8187" s="1" t="s">
        <v>6</v>
      </c>
      <c r="E8187" s="1"/>
    </row>
    <row r="8188" ht="14.25" customHeight="1">
      <c r="A8188" s="1">
        <v>100.0</v>
      </c>
      <c r="B8188" s="1" t="s">
        <v>157</v>
      </c>
      <c r="C8188" s="1">
        <v>10.0</v>
      </c>
      <c r="D8188" s="2" t="s">
        <v>3769</v>
      </c>
      <c r="E8188" s="1" t="str">
        <f>IFERROR(__xludf.DUMMYFUNCTION("GOOGLETRANSLATE(D8188,""PT"",""EN"")"),"Service and speed")</f>
        <v>Service and speed</v>
      </c>
    </row>
    <row r="8189" ht="14.25" customHeight="1">
      <c r="A8189" s="1">
        <v>100.0</v>
      </c>
      <c r="B8189" s="1" t="s">
        <v>819</v>
      </c>
      <c r="C8189" s="1">
        <v>10.0</v>
      </c>
      <c r="D8189" s="1" t="s">
        <v>3770</v>
      </c>
      <c r="E8189" s="1" t="str">
        <f>IFERROR(__xludf.DUMMYFUNCTION("GOOGLETRANSLATE(D8189,""PT"",""EN"")"),"It's like a family")</f>
        <v>It's like a family</v>
      </c>
    </row>
    <row r="8190" ht="14.25" customHeight="1">
      <c r="A8190" s="1">
        <v>100.0</v>
      </c>
      <c r="B8190" s="1" t="s">
        <v>3423</v>
      </c>
      <c r="C8190" s="1">
        <v>10.0</v>
      </c>
      <c r="D8190" s="1" t="s">
        <v>3771</v>
      </c>
      <c r="E8190" s="1" t="str">
        <f>IFERROR(__xludf.DUMMYFUNCTION("GOOGLETRANSLATE(D8190,""PT"",""EN"")"),"Excellent service.")</f>
        <v>Excellent service.</v>
      </c>
    </row>
    <row r="8191" ht="14.25" customHeight="1">
      <c r="A8191" s="1">
        <v>33.0</v>
      </c>
      <c r="B8191" s="1" t="s">
        <v>971</v>
      </c>
      <c r="C8191" s="1">
        <v>6.0</v>
      </c>
      <c r="D8191" s="2" t="s">
        <v>3772</v>
      </c>
      <c r="E8191" s="1" t="str">
        <f>IFERROR(__xludf.DUMMYFUNCTION("GOOGLETRANSLATE(D8191,""PT"",""EN"")"),"Reasonable")</f>
        <v>Reasonable</v>
      </c>
    </row>
    <row r="8192" ht="14.25" customHeight="1">
      <c r="A8192" s="1">
        <v>33.0</v>
      </c>
      <c r="B8192" s="1" t="s">
        <v>245</v>
      </c>
      <c r="C8192" s="1">
        <v>1.0</v>
      </c>
      <c r="D8192" s="2" t="s">
        <v>3773</v>
      </c>
      <c r="E8192" s="1" t="str">
        <f>IFERROR(__xludf.DUMMYFUNCTION("GOOGLETRANSLATE(D8192,""PT"",""EN"")"),"Very terrible the application")</f>
        <v>Very terrible the application</v>
      </c>
    </row>
    <row r="8193" ht="14.25" customHeight="1">
      <c r="A8193" s="1">
        <v>66.0</v>
      </c>
      <c r="B8193" s="1" t="s">
        <v>3657</v>
      </c>
      <c r="C8193" s="1">
        <v>8.0</v>
      </c>
      <c r="D8193" s="1" t="s">
        <v>6</v>
      </c>
      <c r="E8193" s="1"/>
    </row>
    <row r="8194" ht="14.25" customHeight="1">
      <c r="A8194" s="1">
        <v>100.0</v>
      </c>
      <c r="B8194" s="1" t="s">
        <v>971</v>
      </c>
      <c r="C8194" s="1">
        <v>10.0</v>
      </c>
      <c r="D8194" s="1" t="s">
        <v>6</v>
      </c>
      <c r="E8194" s="1"/>
    </row>
    <row r="8195" ht="14.25" customHeight="1">
      <c r="A8195" s="1">
        <v>100.0</v>
      </c>
      <c r="B8195" s="1" t="s">
        <v>3657</v>
      </c>
      <c r="C8195" s="1">
        <v>10.0</v>
      </c>
      <c r="D8195" s="1" t="s">
        <v>6</v>
      </c>
      <c r="E8195" s="1"/>
    </row>
    <row r="8196" ht="14.25" customHeight="1">
      <c r="A8196" s="1">
        <v>100.0</v>
      </c>
      <c r="B8196" s="1" t="s">
        <v>2412</v>
      </c>
      <c r="C8196" s="1">
        <v>10.0</v>
      </c>
      <c r="D8196" s="2" t="s">
        <v>3774</v>
      </c>
      <c r="E8196" s="1" t="str">
        <f>IFERROR(__xludf.DUMMYFUNCTION("GOOGLETRANSLATE(D8196,""PT"",""EN"")"),"Being well received at an agency is everything.")</f>
        <v>Being well received at an agency is everything.</v>
      </c>
    </row>
    <row r="8197" ht="14.25" customHeight="1">
      <c r="A8197" s="1">
        <v>33.0</v>
      </c>
      <c r="B8197" s="1" t="s">
        <v>5</v>
      </c>
      <c r="C8197" s="1">
        <v>5.0</v>
      </c>
      <c r="D8197" s="2" t="s">
        <v>3775</v>
      </c>
      <c r="E8197" s="1" t="str">
        <f>IFERROR(__xludf.DUMMYFUNCTION("GOOGLETRANSLATE(D8197,""PT"",""EN"")"),"Bank is good there is some branch that employees are good that spoils the company is simply how strict you are to give credit to customers knowing that every month we make a good score deposit anyway anyway")</f>
        <v>Bank is good there is some branch that employees are good that spoils the company is simply how strict you are to give credit to customers knowing that every month we make a good score deposit anyway anyway</v>
      </c>
    </row>
    <row r="8198" ht="14.25" customHeight="1">
      <c r="A8198" s="1">
        <v>100.0</v>
      </c>
      <c r="B8198" s="1" t="s">
        <v>245</v>
      </c>
      <c r="C8198" s="1">
        <v>10.0</v>
      </c>
      <c r="D8198" s="2" t="s">
        <v>3776</v>
      </c>
      <c r="E8198" s="1" t="str">
        <f>IFERROR(__xludf.DUMMYFUNCTION("GOOGLETRANSLATE(D8198,""PT"",""EN"")"),"Great moving bank is whenever I need the service too is great")</f>
        <v>Great moving bank is whenever I need the service too is great</v>
      </c>
    </row>
    <row r="8199" ht="14.25" customHeight="1">
      <c r="A8199" s="1">
        <v>100.0</v>
      </c>
      <c r="B8199" s="1" t="s">
        <v>157</v>
      </c>
      <c r="C8199" s="1">
        <v>10.0</v>
      </c>
      <c r="D8199" s="1" t="s">
        <v>3777</v>
      </c>
      <c r="E8199" s="1" t="str">
        <f>IFERROR(__xludf.DUMMYFUNCTION("GOOGLETRANSLATE(D8199,""PT"",""EN"")"),"Quality of service!")</f>
        <v>Quality of service!</v>
      </c>
    </row>
    <row r="8200" ht="14.25" customHeight="1">
      <c r="A8200" s="1">
        <v>66.0</v>
      </c>
      <c r="B8200" s="1" t="s">
        <v>3657</v>
      </c>
      <c r="C8200" s="1">
        <v>7.0</v>
      </c>
      <c r="D8200" s="1" t="s">
        <v>2620</v>
      </c>
      <c r="E8200" s="1" t="str">
        <f>IFERROR(__xludf.DUMMYFUNCTION("GOOGLETRANSLATE(D8200,""PT"",""EN"")"),"7")</f>
        <v>7</v>
      </c>
    </row>
    <row r="8201" ht="14.25" customHeight="1">
      <c r="A8201" s="1">
        <v>66.0</v>
      </c>
      <c r="B8201" s="1" t="s">
        <v>3657</v>
      </c>
      <c r="C8201" s="1">
        <v>7.0</v>
      </c>
      <c r="D8201" s="1" t="s">
        <v>6</v>
      </c>
      <c r="E8201" s="1"/>
    </row>
    <row r="8202" ht="14.25" customHeight="1">
      <c r="A8202" s="1">
        <v>100.0</v>
      </c>
      <c r="B8202" s="1" t="s">
        <v>3657</v>
      </c>
      <c r="C8202" s="1">
        <v>9.0</v>
      </c>
      <c r="D8202" s="2" t="s">
        <v>3778</v>
      </c>
      <c r="E8202" s="1" t="str">
        <f>IFERROR(__xludf.DUMMYFUNCTION("GOOGLETRANSLATE(D8202,""PT"",""EN"")"),"Promptness and agility in service")</f>
        <v>Promptness and agility in service</v>
      </c>
    </row>
    <row r="8203" ht="14.25" customHeight="1">
      <c r="A8203" s="1">
        <v>100.0</v>
      </c>
      <c r="B8203" s="1" t="s">
        <v>3657</v>
      </c>
      <c r="C8203" s="1">
        <v>10.0</v>
      </c>
      <c r="D8203" s="1" t="s">
        <v>2536</v>
      </c>
      <c r="E8203" s="1" t="str">
        <f>IFERROR(__xludf.DUMMYFUNCTION("GOOGLETRANSLATE(D8203,""PT"",""EN"")"),"Very good service")</f>
        <v>Very good service</v>
      </c>
    </row>
    <row r="8204" ht="14.25" customHeight="1">
      <c r="A8204" s="1">
        <v>100.0</v>
      </c>
      <c r="B8204" s="1" t="s">
        <v>1049</v>
      </c>
      <c r="C8204" s="1">
        <v>10.0</v>
      </c>
      <c r="D8204" s="1" t="s">
        <v>3779</v>
      </c>
      <c r="E8204" s="1" t="str">
        <f>IFERROR(__xludf.DUMMYFUNCTION("GOOGLETRANSLATE(D8204,""PT"",""EN"")"),"For the good service")</f>
        <v>For the good service</v>
      </c>
    </row>
    <row r="8205" ht="14.25" customHeight="1">
      <c r="A8205" s="1">
        <v>33.0</v>
      </c>
      <c r="B8205" s="1" t="s">
        <v>3423</v>
      </c>
      <c r="C8205" s="1">
        <v>1.0</v>
      </c>
      <c r="D8205" s="1" t="s">
        <v>6</v>
      </c>
      <c r="E8205" s="1"/>
    </row>
    <row r="8206" ht="14.25" customHeight="1">
      <c r="A8206" s="1">
        <v>100.0</v>
      </c>
      <c r="B8206" s="1" t="s">
        <v>5</v>
      </c>
      <c r="C8206" s="1">
        <v>10.0</v>
      </c>
      <c r="D8206" s="1" t="s">
        <v>3780</v>
      </c>
      <c r="E8206" s="1" t="str">
        <f>IFERROR(__xludf.DUMMYFUNCTION("GOOGLETRANSLATE(D8206,""PT"",""EN"")"),"Great service, efficient")</f>
        <v>Great service, efficient</v>
      </c>
    </row>
    <row r="8207" ht="14.25" customHeight="1">
      <c r="A8207" s="1">
        <v>100.0</v>
      </c>
      <c r="B8207" s="1" t="s">
        <v>245</v>
      </c>
      <c r="C8207" s="1">
        <v>10.0</v>
      </c>
      <c r="D8207" s="1" t="s">
        <v>3781</v>
      </c>
      <c r="E8207" s="1" t="str">
        <f>IFERROR(__xludf.DUMMYFUNCTION("GOOGLETRANSLATE(D8207,""PT"",""EN"")"),"Transparency, lower rates, differentiated service!")</f>
        <v>Transparency, lower rates, differentiated service!</v>
      </c>
    </row>
    <row r="8208" ht="14.25" customHeight="1">
      <c r="A8208" s="1">
        <v>100.0</v>
      </c>
      <c r="B8208" s="1" t="s">
        <v>3657</v>
      </c>
      <c r="C8208" s="1">
        <v>10.0</v>
      </c>
      <c r="D8208" s="1" t="s">
        <v>3782</v>
      </c>
      <c r="E8208" s="1" t="str">
        <f>IFERROR(__xludf.DUMMYFUNCTION("GOOGLETRANSLATE(D8208,""PT"",""EN"")"),"For being an excellent cooperative in my personal life")</f>
        <v>For being an excellent cooperative in my personal life</v>
      </c>
    </row>
    <row r="8209" ht="14.25" customHeight="1">
      <c r="A8209" s="1">
        <v>100.0</v>
      </c>
      <c r="B8209" s="1" t="s">
        <v>2412</v>
      </c>
      <c r="C8209" s="1">
        <v>10.0</v>
      </c>
      <c r="D8209" s="1" t="s">
        <v>62</v>
      </c>
      <c r="E8209" s="1" t="str">
        <f>IFERROR(__xludf.DUMMYFUNCTION("GOOGLETRANSLATE(D8209,""PT"",""EN"")"),"Good service")</f>
        <v>Good service</v>
      </c>
    </row>
    <row r="8210" ht="14.25" customHeight="1">
      <c r="A8210" s="1">
        <v>66.0</v>
      </c>
      <c r="B8210" s="1" t="s">
        <v>2669</v>
      </c>
      <c r="C8210" s="1">
        <v>8.0</v>
      </c>
      <c r="D8210" s="2" t="s">
        <v>3783</v>
      </c>
      <c r="E8210" s="1" t="str">
        <f>IFERROR(__xludf.DUMMYFUNCTION("GOOGLETRANSLATE(D8210,""PT"",""EN"")"),"I have had some negative experiences is although I have made a complaint, things are not resolved.")</f>
        <v>I have had some negative experiences is although I have made a complaint, things are not resolved.</v>
      </c>
    </row>
    <row r="8211" ht="14.25" customHeight="1">
      <c r="A8211" s="1">
        <v>100.0</v>
      </c>
      <c r="B8211" s="1" t="s">
        <v>3657</v>
      </c>
      <c r="C8211" s="1">
        <v>9.0</v>
      </c>
      <c r="D8211" s="2" t="s">
        <v>3784</v>
      </c>
      <c r="E8211" s="1" t="str">
        <f>IFERROR(__xludf.DUMMYFUNCTION("GOOGLETRANSLATE(D8211,""PT"",""EN"")"),"It is easier than others the bag is differentiated even in service")</f>
        <v>It is easier than others the bag is differentiated even in service</v>
      </c>
    </row>
    <row r="8212" ht="14.25" customHeight="1">
      <c r="A8212" s="1">
        <v>66.0</v>
      </c>
      <c r="B8212" s="1" t="s">
        <v>3657</v>
      </c>
      <c r="C8212" s="1">
        <v>8.0</v>
      </c>
      <c r="D8212" s="1" t="s">
        <v>6</v>
      </c>
      <c r="E8212" s="1"/>
    </row>
    <row r="8213" ht="14.25" customHeight="1">
      <c r="A8213" s="1">
        <v>100.0</v>
      </c>
      <c r="B8213" s="1" t="s">
        <v>3657</v>
      </c>
      <c r="C8213" s="1">
        <v>10.0</v>
      </c>
      <c r="D8213" s="1" t="s">
        <v>6</v>
      </c>
      <c r="E8213" s="1"/>
    </row>
    <row r="8214" ht="14.25" customHeight="1">
      <c r="A8214" s="1">
        <v>33.0</v>
      </c>
      <c r="B8214" s="1" t="s">
        <v>1826</v>
      </c>
      <c r="C8214" s="1">
        <v>1.0</v>
      </c>
      <c r="D8214" s="2" t="s">
        <v>3785</v>
      </c>
      <c r="E8214" s="1" t="str">
        <f>IFERROR(__xludf.DUMMYFUNCTION("GOOGLETRANSLATE(D8214,""PT"",""EN"")"),"I tried you had been going to website since April. payroll loan. It was not done in a timely manner for the organ. Twice")</f>
        <v>I tried you had been going to website since April. payroll loan. It was not done in a timely manner for the organ. Twice</v>
      </c>
    </row>
    <row r="8215" ht="14.25" customHeight="1">
      <c r="A8215" s="1">
        <v>100.0</v>
      </c>
      <c r="B8215" s="1" t="s">
        <v>687</v>
      </c>
      <c r="C8215" s="1">
        <v>10.0</v>
      </c>
      <c r="D8215" s="1" t="s">
        <v>22</v>
      </c>
      <c r="E8215" s="1" t="str">
        <f>IFERROR(__xludf.DUMMYFUNCTION("GOOGLETRANSLATE(D8215,""PT"",""EN"")"),"Excellent service")</f>
        <v>Excellent service</v>
      </c>
    </row>
    <row r="8216" ht="14.25" customHeight="1">
      <c r="A8216" s="1">
        <v>100.0</v>
      </c>
      <c r="B8216" s="1" t="s">
        <v>687</v>
      </c>
      <c r="C8216" s="1">
        <v>10.0</v>
      </c>
      <c r="D8216" s="1" t="s">
        <v>3786</v>
      </c>
      <c r="E8216" s="1" t="str">
        <f>IFERROR(__xludf.DUMMYFUNCTION("GOOGLETRANSLATE(D8216,""PT"",""EN"")"),"Top service.")</f>
        <v>Top service.</v>
      </c>
    </row>
    <row r="8217" ht="14.25" customHeight="1">
      <c r="A8217" s="1">
        <v>100.0</v>
      </c>
      <c r="B8217" s="1" t="s">
        <v>687</v>
      </c>
      <c r="C8217" s="1">
        <v>10.0</v>
      </c>
      <c r="D8217" s="1" t="s">
        <v>3787</v>
      </c>
      <c r="E8217" s="1" t="str">
        <f>IFERROR(__xludf.DUMMYFUNCTION("GOOGLETRANSLATE(D8217,""PT"",""EN"")"),"Best Bank Best Cooperative in the World Differentiated Service, Differentiated Application.")</f>
        <v>Best Bank Best Cooperative in the World Differentiated Service, Differentiated Application.</v>
      </c>
    </row>
    <row r="8218" ht="14.25" customHeight="1">
      <c r="A8218" s="1">
        <v>100.0</v>
      </c>
      <c r="B8218" s="1" t="s">
        <v>819</v>
      </c>
      <c r="C8218" s="1">
        <v>10.0</v>
      </c>
      <c r="D8218" s="1" t="s">
        <v>803</v>
      </c>
      <c r="E8218" s="1" t="str">
        <f>IFERROR(__xludf.DUMMYFUNCTION("GOOGLETRANSLATE(D8218,""PT"",""EN"")"),"Good")</f>
        <v>Good</v>
      </c>
    </row>
    <row r="8219" ht="14.25" customHeight="1">
      <c r="A8219" s="1">
        <v>33.0</v>
      </c>
      <c r="B8219" s="1" t="s">
        <v>2669</v>
      </c>
      <c r="C8219" s="1">
        <v>5.0</v>
      </c>
      <c r="D8219" s="2" t="s">
        <v>3788</v>
      </c>
      <c r="E8219" s="1" t="str">
        <f>IFERROR(__xludf.DUMMYFUNCTION("GOOGLETRANSLATE(D8219,""PT"",""EN"")"),"Lack of a better credit offer even with money as a capital account the bank is at risk zero when offering credit to the bank is great gets financial health notes now when the customer needs his money is arrested is still have to resort To other banks taki"&amp;"ng what would leave profit for his cooperative in another institution that in my view in the future may be that the financial health of the institution can be weak because of migration.")</f>
        <v>Lack of a better credit offer even with money as a capital account the bank is at risk zero when offering credit to the bank is great gets financial health notes now when the customer needs his money is arrested is still have to resort To other banks taking what would leave profit for his cooperative in another institution that in my view in the future may be that the financial health of the institution can be weak because of migration.</v>
      </c>
    </row>
    <row r="8220" ht="14.25" customHeight="1">
      <c r="A8220" s="1">
        <v>100.0</v>
      </c>
      <c r="B8220" s="1" t="s">
        <v>3657</v>
      </c>
      <c r="C8220" s="1">
        <v>10.0</v>
      </c>
      <c r="D8220" s="1" t="s">
        <v>17</v>
      </c>
      <c r="E8220" s="1" t="str">
        <f>IFERROR(__xludf.DUMMYFUNCTION("GOOGLETRANSLATE(D8220,""PT"",""EN"")"),"Satisfaction")</f>
        <v>Satisfaction</v>
      </c>
    </row>
    <row r="8221" ht="14.25" customHeight="1">
      <c r="A8221" s="1">
        <v>100.0</v>
      </c>
      <c r="B8221" s="1" t="s">
        <v>5</v>
      </c>
      <c r="C8221" s="1">
        <v>10.0</v>
      </c>
      <c r="D8221" s="1" t="s">
        <v>6</v>
      </c>
      <c r="E8221" s="1"/>
    </row>
    <row r="8222" ht="14.25" customHeight="1">
      <c r="A8222" s="1">
        <v>100.0</v>
      </c>
      <c r="B8222" s="1" t="s">
        <v>3672</v>
      </c>
      <c r="C8222" s="1">
        <v>10.0</v>
      </c>
      <c r="D8222" s="1" t="s">
        <v>164</v>
      </c>
      <c r="E8222" s="1" t="str">
        <f>IFERROR(__xludf.DUMMYFUNCTION("GOOGLETRANSLATE(D8222,""PT"",""EN"")"),"Great bank")</f>
        <v>Great bank</v>
      </c>
    </row>
    <row r="8223" ht="14.25" customHeight="1">
      <c r="A8223" s="1">
        <v>100.0</v>
      </c>
      <c r="B8223" s="1" t="s">
        <v>245</v>
      </c>
      <c r="C8223" s="1">
        <v>10.0</v>
      </c>
      <c r="D8223" s="1" t="s">
        <v>6</v>
      </c>
      <c r="E8223" s="1"/>
    </row>
    <row r="8224" ht="14.25" customHeight="1">
      <c r="A8224" s="1">
        <v>66.0</v>
      </c>
      <c r="B8224" s="1" t="s">
        <v>3657</v>
      </c>
      <c r="C8224" s="1">
        <v>8.0</v>
      </c>
      <c r="D8224" s="1" t="s">
        <v>6</v>
      </c>
      <c r="E8224" s="1"/>
    </row>
    <row r="8225" ht="14.25" customHeight="1">
      <c r="A8225" s="1">
        <v>100.0</v>
      </c>
      <c r="B8225" s="1" t="s">
        <v>3657</v>
      </c>
      <c r="C8225" s="1">
        <v>10.0</v>
      </c>
      <c r="D8225" s="1" t="s">
        <v>3789</v>
      </c>
      <c r="E8225" s="1" t="str">
        <f>IFERROR(__xludf.DUMMYFUNCTION("GOOGLETRANSLATE(D8225,""PT"",""EN"")"),"Very good. Grade 10.")</f>
        <v>Very good. Grade 10.</v>
      </c>
    </row>
    <row r="8226" ht="14.25" customHeight="1">
      <c r="A8226" s="1">
        <v>100.0</v>
      </c>
      <c r="B8226" s="1" t="s">
        <v>3657</v>
      </c>
      <c r="C8226" s="1">
        <v>9.0</v>
      </c>
      <c r="D8226" s="2" t="s">
        <v>3790</v>
      </c>
      <c r="E8226" s="1" t="str">
        <f>IFERROR(__xludf.DUMMYFUNCTION("GOOGLETRANSLATE(D8226,""PT"",""EN"")"),"I like the practical application")</f>
        <v>I like the practical application</v>
      </c>
    </row>
    <row r="8227" ht="14.25" customHeight="1">
      <c r="A8227" s="1">
        <v>100.0</v>
      </c>
      <c r="B8227" s="1" t="s">
        <v>2412</v>
      </c>
      <c r="C8227" s="1">
        <v>10.0</v>
      </c>
      <c r="D8227" s="1" t="s">
        <v>6</v>
      </c>
      <c r="E8227" s="1"/>
    </row>
    <row r="8228" ht="14.25" customHeight="1">
      <c r="A8228" s="1">
        <v>100.0</v>
      </c>
      <c r="B8228" s="1" t="s">
        <v>3657</v>
      </c>
      <c r="C8228" s="1">
        <v>10.0</v>
      </c>
      <c r="D8228" s="1" t="s">
        <v>6</v>
      </c>
      <c r="E8228" s="1"/>
    </row>
    <row r="8229" ht="14.25" customHeight="1">
      <c r="A8229" s="1">
        <v>100.0</v>
      </c>
      <c r="B8229" s="1" t="s">
        <v>3672</v>
      </c>
      <c r="C8229" s="1">
        <v>10.0</v>
      </c>
      <c r="D8229" s="1" t="s">
        <v>3791</v>
      </c>
      <c r="E8229" s="1" t="str">
        <f>IFERROR(__xludf.DUMMYFUNCTION("GOOGLETRANSLATE(D8229,""PT"",""EN"")"),"Easy access with employees")</f>
        <v>Easy access with employees</v>
      </c>
    </row>
    <row r="8230" ht="14.25" customHeight="1">
      <c r="A8230" s="1">
        <v>100.0</v>
      </c>
      <c r="B8230" s="1" t="s">
        <v>971</v>
      </c>
      <c r="C8230" s="1">
        <v>10.0</v>
      </c>
      <c r="D8230" s="1" t="s">
        <v>6</v>
      </c>
      <c r="E8230" s="1"/>
    </row>
    <row r="8231" ht="14.25" customHeight="1">
      <c r="A8231" s="1">
        <v>66.0</v>
      </c>
      <c r="B8231" s="1" t="s">
        <v>3423</v>
      </c>
      <c r="C8231" s="1">
        <v>8.0</v>
      </c>
      <c r="D8231" s="2" t="s">
        <v>3792</v>
      </c>
      <c r="E8231" s="1" t="str">
        <f>IFERROR(__xludf.DUMMYFUNCTION("GOOGLETRANSLATE(D8231,""PT"",""EN"")"),"Empty Bank, Most Bad Credit")</f>
        <v>Empty Bank, Most Bad Credit</v>
      </c>
    </row>
    <row r="8232" ht="14.25" customHeight="1">
      <c r="A8232" s="1">
        <v>66.0</v>
      </c>
      <c r="B8232" s="1" t="s">
        <v>3672</v>
      </c>
      <c r="C8232" s="1">
        <v>7.0</v>
      </c>
      <c r="D8232" s="2" t="s">
        <v>3793</v>
      </c>
      <c r="E8232" s="1" t="str">
        <f>IFERROR(__xludf.DUMMYFUNCTION("GOOGLETRANSLATE(D8232,""PT"",""EN"")"),"COOPERATE MANY YEARS IS. The return of my account limit was denied.")</f>
        <v>COOPERATE MANY YEARS IS. The return of my account limit was denied.</v>
      </c>
    </row>
    <row r="8233" ht="14.25" customHeight="1">
      <c r="A8233" s="1">
        <v>33.0</v>
      </c>
      <c r="B8233" s="1" t="s">
        <v>245</v>
      </c>
      <c r="C8233" s="1">
        <v>0.0</v>
      </c>
      <c r="D8233" s="2" t="s">
        <v>3794</v>
      </c>
      <c r="E8233" s="1" t="str">
        <f>IFERROR(__xludf.DUMMYFUNCTION("GOOGLETRANSLATE(D8233,""PT"",""EN"")"),"No credit")</f>
        <v>No credit</v>
      </c>
    </row>
    <row r="8234" ht="14.25" customHeight="1">
      <c r="A8234" s="1">
        <v>100.0</v>
      </c>
      <c r="B8234" s="1" t="s">
        <v>3657</v>
      </c>
      <c r="C8234" s="1">
        <v>10.0</v>
      </c>
      <c r="D8234" s="1" t="s">
        <v>6</v>
      </c>
      <c r="E8234" s="1"/>
    </row>
    <row r="8235" ht="14.25" customHeight="1">
      <c r="A8235" s="1">
        <v>100.0</v>
      </c>
      <c r="B8235" s="1" t="s">
        <v>157</v>
      </c>
      <c r="C8235" s="1">
        <v>10.0</v>
      </c>
      <c r="D8235" s="1" t="s">
        <v>6</v>
      </c>
      <c r="E8235" s="1"/>
    </row>
    <row r="8236" ht="14.25" customHeight="1">
      <c r="A8236" s="1">
        <v>100.0</v>
      </c>
      <c r="B8236" s="1" t="s">
        <v>2412</v>
      </c>
      <c r="C8236" s="1">
        <v>10.0</v>
      </c>
      <c r="D8236" s="1" t="s">
        <v>6</v>
      </c>
      <c r="E8236" s="1"/>
    </row>
    <row r="8237" ht="14.25" customHeight="1">
      <c r="A8237" s="1">
        <v>100.0</v>
      </c>
      <c r="B8237" s="1" t="s">
        <v>687</v>
      </c>
      <c r="C8237" s="1">
        <v>10.0</v>
      </c>
      <c r="D8237" s="1" t="s">
        <v>6</v>
      </c>
      <c r="E8237" s="1"/>
    </row>
    <row r="8238" ht="14.25" customHeight="1">
      <c r="A8238" s="1">
        <v>100.0</v>
      </c>
      <c r="B8238" s="1" t="s">
        <v>3423</v>
      </c>
      <c r="C8238" s="1">
        <v>10.0</v>
      </c>
      <c r="D8238" s="1" t="s">
        <v>6</v>
      </c>
      <c r="E8238" s="1"/>
    </row>
    <row r="8239" ht="14.25" customHeight="1">
      <c r="A8239" s="1">
        <v>100.0</v>
      </c>
      <c r="B8239" s="1" t="s">
        <v>2412</v>
      </c>
      <c r="C8239" s="1">
        <v>10.0</v>
      </c>
      <c r="D8239" s="1" t="s">
        <v>9</v>
      </c>
      <c r="E8239" s="1" t="str">
        <f>IFERROR(__xludf.DUMMYFUNCTION("GOOGLETRANSLATE(D8239,""PT"",""EN"")"),"10")</f>
        <v>10</v>
      </c>
    </row>
    <row r="8240" ht="14.25" customHeight="1">
      <c r="A8240" s="1">
        <v>33.0</v>
      </c>
      <c r="B8240" s="1" t="s">
        <v>1607</v>
      </c>
      <c r="C8240" s="1">
        <v>0.0</v>
      </c>
      <c r="D8240" s="1" t="s">
        <v>6</v>
      </c>
      <c r="E8240" s="1"/>
    </row>
    <row r="8241" ht="14.25" customHeight="1">
      <c r="A8241" s="1">
        <v>100.0</v>
      </c>
      <c r="B8241" s="1" t="s">
        <v>3423</v>
      </c>
      <c r="C8241" s="1">
        <v>10.0</v>
      </c>
      <c r="D8241" s="2" t="s">
        <v>3795</v>
      </c>
      <c r="E8241" s="1" t="str">
        <f>IFERROR(__xludf.DUMMYFUNCTION("GOOGLETRANSLATE(D8241,""PT"",""EN"")"),"Great bank, great credit card !!")</f>
        <v>Great bank, great credit card !!</v>
      </c>
    </row>
    <row r="8242" ht="14.25" customHeight="1">
      <c r="A8242" s="1">
        <v>100.0</v>
      </c>
      <c r="B8242" s="1" t="s">
        <v>245</v>
      </c>
      <c r="C8242" s="1">
        <v>10.0</v>
      </c>
      <c r="D8242" s="1" t="s">
        <v>3796</v>
      </c>
      <c r="E8242" s="1" t="str">
        <f>IFERROR(__xludf.DUMMYFUNCTION("GOOGLETRANSLATE(D8242,""PT"",""EN"")"),"Because it is a good bath, with excellent applications.")</f>
        <v>Because it is a good bath, with excellent applications.</v>
      </c>
    </row>
    <row r="8243" ht="14.25" customHeight="1">
      <c r="A8243" s="1">
        <v>100.0</v>
      </c>
      <c r="B8243" s="1" t="s">
        <v>2412</v>
      </c>
      <c r="C8243" s="1">
        <v>10.0</v>
      </c>
      <c r="D8243" s="1" t="s">
        <v>6</v>
      </c>
      <c r="E8243" s="1"/>
    </row>
    <row r="8244" ht="14.25" customHeight="1">
      <c r="A8244" s="1">
        <v>100.0</v>
      </c>
      <c r="B8244" s="1" t="s">
        <v>3657</v>
      </c>
      <c r="C8244" s="1">
        <v>10.0</v>
      </c>
      <c r="D8244" s="1" t="s">
        <v>3797</v>
      </c>
      <c r="E8244" s="1" t="str">
        <f>IFERROR(__xludf.DUMMYFUNCTION("GOOGLETRANSLATE(D8244,""PT"",""EN"")"),"Ease of contact")</f>
        <v>Ease of contact</v>
      </c>
    </row>
    <row r="8245" ht="14.25" customHeight="1">
      <c r="A8245" s="1">
        <v>100.0</v>
      </c>
      <c r="B8245" s="1" t="s">
        <v>1826</v>
      </c>
      <c r="C8245" s="1">
        <v>10.0</v>
      </c>
      <c r="D8245" s="1" t="s">
        <v>1010</v>
      </c>
      <c r="E8245" s="1" t="str">
        <f>IFERROR(__xludf.DUMMYFUNCTION("GOOGLETRANSLATE(D8245,""PT"",""EN"")"),"Excellent bank")</f>
        <v>Excellent bank</v>
      </c>
    </row>
    <row r="8246" ht="14.25" customHeight="1">
      <c r="A8246" s="1">
        <v>66.0</v>
      </c>
      <c r="B8246" s="1" t="s">
        <v>3657</v>
      </c>
      <c r="C8246" s="1">
        <v>7.0</v>
      </c>
      <c r="D8246" s="1" t="s">
        <v>6</v>
      </c>
      <c r="E8246" s="1"/>
    </row>
    <row r="8247" ht="14.25" customHeight="1">
      <c r="A8247" s="1">
        <v>100.0</v>
      </c>
      <c r="B8247" s="1" t="s">
        <v>3657</v>
      </c>
      <c r="C8247" s="1">
        <v>10.0</v>
      </c>
      <c r="D8247" s="1" t="s">
        <v>3798</v>
      </c>
      <c r="E8247" s="1" t="str">
        <f>IFERROR(__xludf.DUMMYFUNCTION("GOOGLETRANSLATE(D8247,""PT"",""EN"")"),"NOTE TEN (10).")</f>
        <v>NOTE TEN (10).</v>
      </c>
    </row>
    <row r="8248" ht="14.25" customHeight="1">
      <c r="A8248" s="1">
        <v>33.0</v>
      </c>
      <c r="B8248" s="1" t="s">
        <v>157</v>
      </c>
      <c r="C8248" s="1">
        <v>3.0</v>
      </c>
      <c r="D8248" s="1" t="s">
        <v>6</v>
      </c>
      <c r="E8248" s="1"/>
    </row>
    <row r="8249" ht="14.25" customHeight="1">
      <c r="A8249" s="1">
        <v>100.0</v>
      </c>
      <c r="B8249" s="1" t="s">
        <v>3657</v>
      </c>
      <c r="C8249" s="1">
        <v>10.0</v>
      </c>
      <c r="D8249" s="1" t="s">
        <v>6</v>
      </c>
      <c r="E8249" s="1"/>
    </row>
    <row r="8250" ht="14.25" customHeight="1">
      <c r="A8250" s="1">
        <v>100.0</v>
      </c>
      <c r="B8250" s="1" t="s">
        <v>157</v>
      </c>
      <c r="C8250" s="1">
        <v>10.0</v>
      </c>
      <c r="D8250" s="1" t="s">
        <v>6</v>
      </c>
      <c r="E8250" s="1"/>
    </row>
    <row r="8251" ht="14.25" customHeight="1">
      <c r="A8251" s="1">
        <v>100.0</v>
      </c>
      <c r="B8251" s="1" t="s">
        <v>157</v>
      </c>
      <c r="C8251" s="1">
        <v>10.0</v>
      </c>
      <c r="D8251" s="1" t="s">
        <v>1514</v>
      </c>
      <c r="E8251" s="1" t="str">
        <f>IFERROR(__xludf.DUMMYFUNCTION("GOOGLETRANSLATE(D8251,""PT"",""EN"")"),"Satisfied")</f>
        <v>Satisfied</v>
      </c>
    </row>
    <row r="8252" ht="14.25" customHeight="1">
      <c r="A8252" s="1">
        <v>100.0</v>
      </c>
      <c r="B8252" s="1" t="s">
        <v>1691</v>
      </c>
      <c r="C8252" s="1">
        <v>10.0</v>
      </c>
      <c r="D8252" s="1" t="s">
        <v>3799</v>
      </c>
      <c r="E8252" s="1" t="str">
        <f>IFERROR(__xludf.DUMMYFUNCTION("GOOGLETRANSLATE(D8252,""PT"",""EN"")"),"I've been counting for some time! I really like!")</f>
        <v>I've been counting for some time! I really like!</v>
      </c>
    </row>
    <row r="8253" ht="14.25" customHeight="1">
      <c r="A8253" s="1">
        <v>33.0</v>
      </c>
      <c r="B8253" s="1" t="s">
        <v>3657</v>
      </c>
      <c r="C8253" s="1">
        <v>6.0</v>
      </c>
      <c r="D8253" s="1" t="s">
        <v>6</v>
      </c>
      <c r="E8253" s="1"/>
    </row>
    <row r="8254" ht="14.25" customHeight="1">
      <c r="A8254" s="1">
        <v>100.0</v>
      </c>
      <c r="B8254" s="1" t="s">
        <v>1607</v>
      </c>
      <c r="C8254" s="1">
        <v>9.0</v>
      </c>
      <c r="D8254" s="2" t="s">
        <v>3800</v>
      </c>
      <c r="E8254" s="1" t="str">
        <f>IFERROR(__xludf.DUMMYFUNCTION("GOOGLETRANSLATE(D8254,""PT"",""EN"")"),"Great service with products and services that meets my needs!")</f>
        <v>Great service with products and services that meets my needs!</v>
      </c>
    </row>
    <row r="8255" ht="14.25" customHeight="1">
      <c r="A8255" s="1">
        <v>33.0</v>
      </c>
      <c r="B8255" s="1" t="s">
        <v>1691</v>
      </c>
      <c r="C8255" s="1">
        <v>3.0</v>
      </c>
      <c r="D8255" s="1" t="s">
        <v>3801</v>
      </c>
      <c r="E8255" s="1" t="str">
        <f>IFERROR(__xludf.DUMMYFUNCTION("GOOGLETRANSLATE(D8255,""PT"",""EN"")"),"No benefits for those who move the bill!")</f>
        <v>No benefits for those who move the bill!</v>
      </c>
    </row>
    <row r="8256" ht="14.25" customHeight="1">
      <c r="A8256" s="1">
        <v>66.0</v>
      </c>
      <c r="B8256" s="1" t="s">
        <v>1691</v>
      </c>
      <c r="C8256" s="1">
        <v>8.0</v>
      </c>
      <c r="D8256" s="1" t="s">
        <v>6</v>
      </c>
      <c r="E8256" s="1"/>
    </row>
    <row r="8257" ht="14.25" customHeight="1">
      <c r="A8257" s="1">
        <v>100.0</v>
      </c>
      <c r="B8257" s="1" t="s">
        <v>5</v>
      </c>
      <c r="C8257" s="1">
        <v>10.0</v>
      </c>
      <c r="D8257" s="1" t="s">
        <v>85</v>
      </c>
      <c r="E8257" s="1" t="str">
        <f>IFERROR(__xludf.DUMMYFUNCTION("GOOGLETRANSLATE(D8257,""PT"",""EN"")"),"Service")</f>
        <v>Service</v>
      </c>
    </row>
    <row r="8258" ht="14.25" customHeight="1">
      <c r="A8258" s="1">
        <v>66.0</v>
      </c>
      <c r="B8258" s="1" t="s">
        <v>3657</v>
      </c>
      <c r="C8258" s="1">
        <v>8.0</v>
      </c>
      <c r="D8258" s="1" t="s">
        <v>388</v>
      </c>
      <c r="E8258" s="1" t="str">
        <f>IFERROR(__xludf.DUMMYFUNCTION("GOOGLETRANSLATE(D8258,""PT"",""EN"")"),"8")</f>
        <v>8</v>
      </c>
    </row>
    <row r="8259" ht="14.25" customHeight="1">
      <c r="A8259" s="1">
        <v>100.0</v>
      </c>
      <c r="B8259" s="1" t="s">
        <v>3657</v>
      </c>
      <c r="C8259" s="1">
        <v>9.0</v>
      </c>
      <c r="D8259" s="1" t="s">
        <v>6</v>
      </c>
      <c r="E8259" s="1"/>
    </row>
    <row r="8260" ht="14.25" customHeight="1">
      <c r="A8260" s="1">
        <v>100.0</v>
      </c>
      <c r="B8260" s="1" t="s">
        <v>5</v>
      </c>
      <c r="C8260" s="1">
        <v>10.0</v>
      </c>
      <c r="D8260" s="1" t="s">
        <v>3802</v>
      </c>
      <c r="E8260" s="1" t="str">
        <f>IFERROR(__xludf.DUMMYFUNCTION("GOOGLETRANSLATE(D8260,""PT"",""EN"")"),"Agility in service")</f>
        <v>Agility in service</v>
      </c>
    </row>
    <row r="8261" ht="14.25" customHeight="1">
      <c r="A8261" s="1">
        <v>100.0</v>
      </c>
      <c r="B8261" s="1" t="s">
        <v>5</v>
      </c>
      <c r="C8261" s="1">
        <v>10.0</v>
      </c>
      <c r="D8261" s="1" t="s">
        <v>3803</v>
      </c>
      <c r="E8261" s="1" t="str">
        <f>IFERROR(__xludf.DUMMYFUNCTION("GOOGLETRANSLATE(D8261,""PT"",""EN"")"),"Service from the Aparecida do Rio Doce agency is very good.")</f>
        <v>Service from the Aparecida do Rio Doce agency is very good.</v>
      </c>
    </row>
    <row r="8262" ht="14.25" customHeight="1">
      <c r="A8262" s="1">
        <v>100.0</v>
      </c>
      <c r="B8262" s="1" t="s">
        <v>971</v>
      </c>
      <c r="C8262" s="1">
        <v>10.0</v>
      </c>
      <c r="D8262" s="1" t="s">
        <v>6</v>
      </c>
      <c r="E8262" s="1"/>
    </row>
    <row r="8263" ht="14.25" customHeight="1">
      <c r="A8263" s="1">
        <v>33.0</v>
      </c>
      <c r="B8263" s="1" t="s">
        <v>245</v>
      </c>
      <c r="C8263" s="1">
        <v>2.0</v>
      </c>
      <c r="D8263" s="1" t="s">
        <v>3804</v>
      </c>
      <c r="E8263" s="1" t="str">
        <f>IFERROR(__xludf.DUMMYFUNCTION("GOOGLETRANSLATE(D8263,""PT"",""EN"")"),"No Boundaries")</f>
        <v>No Boundaries</v>
      </c>
    </row>
    <row r="8264" ht="14.25" customHeight="1">
      <c r="A8264" s="1">
        <v>100.0</v>
      </c>
      <c r="B8264" s="1" t="s">
        <v>2412</v>
      </c>
      <c r="C8264" s="1">
        <v>9.0</v>
      </c>
      <c r="D8264" s="1" t="s">
        <v>6</v>
      </c>
      <c r="E8264" s="1"/>
    </row>
    <row r="8265" ht="14.25" customHeight="1">
      <c r="A8265" s="1">
        <v>100.0</v>
      </c>
      <c r="B8265" s="1" t="s">
        <v>3657</v>
      </c>
      <c r="C8265" s="1">
        <v>10.0</v>
      </c>
      <c r="D8265" s="1" t="s">
        <v>6</v>
      </c>
      <c r="E8265" s="1"/>
    </row>
    <row r="8266" ht="14.25" customHeight="1">
      <c r="A8266" s="1">
        <v>100.0</v>
      </c>
      <c r="B8266" s="1" t="s">
        <v>801</v>
      </c>
      <c r="C8266" s="1">
        <v>10.0</v>
      </c>
      <c r="D8266" s="1" t="s">
        <v>3805</v>
      </c>
      <c r="E8266" s="1" t="str">
        <f>IFERROR(__xludf.DUMMYFUNCTION("GOOGLETRANSLATE(D8266,""PT"",""EN"")"),"Best Financial Institution")</f>
        <v>Best Financial Institution</v>
      </c>
    </row>
    <row r="8267" ht="14.25" customHeight="1">
      <c r="A8267" s="1">
        <v>100.0</v>
      </c>
      <c r="B8267" s="1" t="s">
        <v>3657</v>
      </c>
      <c r="C8267" s="1">
        <v>10.0</v>
      </c>
      <c r="D8267" s="1" t="s">
        <v>6</v>
      </c>
      <c r="E8267" s="1"/>
    </row>
    <row r="8268" ht="14.25" customHeight="1">
      <c r="A8268" s="1">
        <v>33.0</v>
      </c>
      <c r="B8268" s="1" t="s">
        <v>157</v>
      </c>
      <c r="C8268" s="1">
        <v>5.0</v>
      </c>
      <c r="D8268" s="2" t="s">
        <v>3806</v>
      </c>
      <c r="E8268" s="1" t="str">
        <f>IFERROR(__xludf.DUMMYFUNCTION("GOOGLETRANSLATE(D8268,""PT"",""EN"")"),"Little credit, a lot of bureaucracy, offers no advantage in using only this bank.")</f>
        <v>Little credit, a lot of bureaucracy, offers no advantage in using only this bank.</v>
      </c>
    </row>
    <row r="8269" ht="14.25" customHeight="1">
      <c r="A8269" s="1">
        <v>100.0</v>
      </c>
      <c r="B8269" s="1" t="s">
        <v>1245</v>
      </c>
      <c r="C8269" s="1">
        <v>10.0</v>
      </c>
      <c r="D8269" s="2" t="s">
        <v>3807</v>
      </c>
      <c r="E8269" s="1" t="str">
        <f>IFERROR(__xludf.DUMMYFUNCTION("GOOGLETRANSLATE(D8269,""PT"",""EN"")"),"Great service is great bank")</f>
        <v>Great service is great bank</v>
      </c>
    </row>
    <row r="8270" ht="14.25" customHeight="1">
      <c r="A8270" s="1">
        <v>100.0</v>
      </c>
      <c r="B8270" s="1" t="s">
        <v>3657</v>
      </c>
      <c r="C8270" s="1">
        <v>10.0</v>
      </c>
      <c r="D8270" s="1" t="s">
        <v>3808</v>
      </c>
      <c r="E8270" s="1" t="str">
        <f>IFERROR(__xludf.DUMMYFUNCTION("GOOGLETRANSLATE(D8270,""PT"",""EN"")"),"1st")</f>
        <v>1st</v>
      </c>
    </row>
    <row r="8271" ht="14.25" customHeight="1">
      <c r="A8271" s="1">
        <v>33.0</v>
      </c>
      <c r="B8271" s="1" t="s">
        <v>3657</v>
      </c>
      <c r="C8271" s="1">
        <v>5.0</v>
      </c>
      <c r="D8271" s="1" t="s">
        <v>6</v>
      </c>
      <c r="E8271" s="1"/>
    </row>
    <row r="8272" ht="14.25" customHeight="1">
      <c r="A8272" s="1">
        <v>100.0</v>
      </c>
      <c r="B8272" s="1" t="s">
        <v>5</v>
      </c>
      <c r="C8272" s="1">
        <v>10.0</v>
      </c>
      <c r="D8272" s="1" t="s">
        <v>6</v>
      </c>
      <c r="E8272" s="1"/>
    </row>
    <row r="8273" ht="14.25" customHeight="1">
      <c r="A8273" s="1">
        <v>100.0</v>
      </c>
      <c r="B8273" s="1" t="s">
        <v>1691</v>
      </c>
      <c r="C8273" s="1">
        <v>10.0</v>
      </c>
      <c r="D8273" s="1" t="s">
        <v>192</v>
      </c>
      <c r="E8273" s="1" t="str">
        <f>IFERROR(__xludf.DUMMYFUNCTION("GOOGLETRANSLATE(D8273,""PT"",""EN"")"),"Great")</f>
        <v>Great</v>
      </c>
    </row>
    <row r="8274" ht="14.25" customHeight="1">
      <c r="A8274" s="1">
        <v>100.0</v>
      </c>
      <c r="B8274" s="1" t="s">
        <v>3657</v>
      </c>
      <c r="C8274" s="1">
        <v>10.0</v>
      </c>
      <c r="D8274" s="2" t="s">
        <v>3809</v>
      </c>
      <c r="E8274" s="1" t="str">
        <f>IFERROR(__xludf.DUMMYFUNCTION("GOOGLETRANSLATE(D8274,""PT"",""EN"")"),"Speed ​​and quality.")</f>
        <v>Speed ​​and quality.</v>
      </c>
    </row>
    <row r="8275" ht="14.25" customHeight="1">
      <c r="A8275" s="1">
        <v>100.0</v>
      </c>
      <c r="B8275" s="1" t="s">
        <v>3657</v>
      </c>
      <c r="C8275" s="1">
        <v>10.0</v>
      </c>
      <c r="D8275" s="1" t="s">
        <v>2595</v>
      </c>
      <c r="E8275" s="1" t="str">
        <f>IFERROR(__xludf.DUMMYFUNCTION("GOOGLETRANSLATE(D8275,""PT"",""EN"")"),"OK")</f>
        <v>OK</v>
      </c>
    </row>
    <row r="8276" ht="14.25" customHeight="1">
      <c r="A8276" s="1">
        <v>100.0</v>
      </c>
      <c r="B8276" s="1" t="s">
        <v>3657</v>
      </c>
      <c r="C8276" s="1">
        <v>10.0</v>
      </c>
      <c r="D8276" s="1" t="s">
        <v>6</v>
      </c>
      <c r="E8276" s="1"/>
    </row>
    <row r="8277" ht="14.25" customHeight="1">
      <c r="A8277" s="1">
        <v>33.0</v>
      </c>
      <c r="B8277" s="1" t="s">
        <v>2669</v>
      </c>
      <c r="C8277" s="1">
        <v>3.0</v>
      </c>
      <c r="D8277" s="2" t="s">
        <v>3810</v>
      </c>
      <c r="E8277" s="1" t="str">
        <f>IFERROR(__xludf.DUMMYFUNCTION("GOOGLETRANSLATE(D8277,""PT"",""EN"")"),"Delay in processes")</f>
        <v>Delay in processes</v>
      </c>
    </row>
    <row r="8278" ht="14.25" customHeight="1">
      <c r="A8278" s="1">
        <v>33.0</v>
      </c>
      <c r="B8278" s="1" t="s">
        <v>1826</v>
      </c>
      <c r="C8278" s="1">
        <v>4.0</v>
      </c>
      <c r="D8278" s="1" t="s">
        <v>3811</v>
      </c>
      <c r="E8278" s="1" t="str">
        <f>IFERROR(__xludf.DUMMYFUNCTION("GOOGLETRANSLATE(D8278,""PT"",""EN"")"),"Difficulty in solving")</f>
        <v>Difficulty in solving</v>
      </c>
    </row>
    <row r="8279" ht="14.25" customHeight="1">
      <c r="A8279" s="1">
        <v>33.0</v>
      </c>
      <c r="B8279" s="1" t="s">
        <v>245</v>
      </c>
      <c r="C8279" s="1">
        <v>2.0</v>
      </c>
      <c r="D8279" s="2" t="s">
        <v>3812</v>
      </c>
      <c r="E8279" s="1" t="str">
        <f>IFERROR(__xludf.DUMMYFUNCTION("GOOGLETRANSLATE(D8279,""PT"",""EN"")"),"I'm not having care that I would like")</f>
        <v>I'm not having care that I would like</v>
      </c>
    </row>
    <row r="8280" ht="14.25" customHeight="1">
      <c r="A8280" s="1">
        <v>33.0</v>
      </c>
      <c r="B8280" s="1" t="s">
        <v>1245</v>
      </c>
      <c r="C8280" s="1">
        <v>0.0</v>
      </c>
      <c r="D8280" s="1" t="s">
        <v>6</v>
      </c>
      <c r="E8280" s="1"/>
    </row>
    <row r="8281" ht="14.25" customHeight="1">
      <c r="A8281" s="1">
        <v>33.0</v>
      </c>
      <c r="B8281" s="1" t="s">
        <v>1607</v>
      </c>
      <c r="C8281" s="1">
        <v>3.0</v>
      </c>
      <c r="D8281" s="2" t="s">
        <v>3813</v>
      </c>
      <c r="E8281" s="1" t="str">
        <f>IFERROR(__xludf.DUMMYFUNCTION("GOOGLETRANSLATE(D8281,""PT"",""EN"")"),"Process of using very bureaucratic self-service channels, comparing with other credit institutions, although we know that we need security!")</f>
        <v>Process of using very bureaucratic self-service channels, comparing with other credit institutions, although we know that we need security!</v>
      </c>
    </row>
    <row r="8282" ht="14.25" customHeight="1">
      <c r="A8282" s="1">
        <v>100.0</v>
      </c>
      <c r="B8282" s="1" t="s">
        <v>1340</v>
      </c>
      <c r="C8282" s="1">
        <v>10.0</v>
      </c>
      <c r="D8282" s="2" t="s">
        <v>3814</v>
      </c>
      <c r="E8282" s="1" t="str">
        <f>IFERROR(__xludf.DUMMYFUNCTION("GOOGLETRANSLATE(D8282,""PT"",""EN"")"),"Service and facility in credit")</f>
        <v>Service and facility in credit</v>
      </c>
    </row>
    <row r="8283" ht="14.25" customHeight="1">
      <c r="A8283" s="1">
        <v>100.0</v>
      </c>
      <c r="B8283" s="1" t="s">
        <v>3657</v>
      </c>
      <c r="C8283" s="1">
        <v>10.0</v>
      </c>
      <c r="D8283" s="1" t="s">
        <v>803</v>
      </c>
      <c r="E8283" s="1" t="str">
        <f>IFERROR(__xludf.DUMMYFUNCTION("GOOGLETRANSLATE(D8283,""PT"",""EN"")"),"Good")</f>
        <v>Good</v>
      </c>
    </row>
    <row r="8284" ht="14.25" customHeight="1">
      <c r="A8284" s="1">
        <v>100.0</v>
      </c>
      <c r="B8284" s="1" t="s">
        <v>2412</v>
      </c>
      <c r="C8284" s="1">
        <v>10.0</v>
      </c>
      <c r="D8284" s="1" t="s">
        <v>6</v>
      </c>
      <c r="E8284" s="1"/>
    </row>
    <row r="8285" ht="14.25" customHeight="1">
      <c r="A8285" s="1">
        <v>33.0</v>
      </c>
      <c r="B8285" s="1" t="s">
        <v>3657</v>
      </c>
      <c r="C8285" s="1">
        <v>0.0</v>
      </c>
      <c r="D8285" s="2" t="s">
        <v>3815</v>
      </c>
      <c r="E8285" s="1" t="str">
        <f>IFERROR(__xludf.DUMMYFUNCTION("GOOGLETRANSLATE(D8285,""PT"",""EN"")"),"It has no benefit")</f>
        <v>It has no benefit</v>
      </c>
    </row>
    <row r="8286" ht="14.25" customHeight="1">
      <c r="A8286" s="1">
        <v>100.0</v>
      </c>
      <c r="B8286" s="1" t="s">
        <v>1666</v>
      </c>
      <c r="C8286" s="1">
        <v>10.0</v>
      </c>
      <c r="D8286" s="1" t="s">
        <v>6</v>
      </c>
      <c r="E8286" s="1"/>
    </row>
    <row r="8287" ht="14.25" customHeight="1">
      <c r="A8287" s="1">
        <v>100.0</v>
      </c>
      <c r="B8287" s="1" t="s">
        <v>687</v>
      </c>
      <c r="C8287" s="1">
        <v>10.0</v>
      </c>
      <c r="D8287" s="1" t="s">
        <v>6</v>
      </c>
      <c r="E8287" s="1"/>
    </row>
    <row r="8288" ht="14.25" customHeight="1">
      <c r="A8288" s="1">
        <v>100.0</v>
      </c>
      <c r="B8288" s="1" t="s">
        <v>3657</v>
      </c>
      <c r="C8288" s="1">
        <v>10.0</v>
      </c>
      <c r="D8288" s="1" t="s">
        <v>6</v>
      </c>
      <c r="E8288" s="1"/>
    </row>
    <row r="8289" ht="14.25" customHeight="1">
      <c r="A8289" s="1">
        <v>100.0</v>
      </c>
      <c r="B8289" s="1" t="s">
        <v>2412</v>
      </c>
      <c r="C8289" s="1">
        <v>9.0</v>
      </c>
      <c r="D8289" s="1" t="s">
        <v>3816</v>
      </c>
      <c r="E8289" s="1" t="str">
        <f>IFERROR(__xludf.DUMMYFUNCTION("GOOGLETRANSLATE(D8289,""PT"",""EN"")"),"Involvement as our business")</f>
        <v>Involvement as our business</v>
      </c>
    </row>
    <row r="8290" ht="14.25" customHeight="1">
      <c r="A8290" s="1">
        <v>33.0</v>
      </c>
      <c r="B8290" s="1" t="s">
        <v>3657</v>
      </c>
      <c r="C8290" s="1">
        <v>6.0</v>
      </c>
      <c r="D8290" s="2" t="s">
        <v>3817</v>
      </c>
      <c r="E8290" s="1" t="str">
        <f>IFERROR(__xludf.DUMMYFUNCTION("GOOGLETRANSLATE(D8290,""PT"",""EN"")"),"I need loan for my company is you don't help what I should do")</f>
        <v>I need loan for my company is you don't help what I should do</v>
      </c>
    </row>
    <row r="8291" ht="14.25" customHeight="1">
      <c r="A8291" s="1">
        <v>100.0</v>
      </c>
      <c r="B8291" s="1" t="s">
        <v>3423</v>
      </c>
      <c r="C8291" s="1">
        <v>10.0</v>
      </c>
      <c r="D8291" s="2" t="s">
        <v>3818</v>
      </c>
      <c r="E8291" s="1" t="str">
        <f>IFERROR(__xludf.DUMMYFUNCTION("GOOGLETRANSLATE(D8291,""PT"",""EN"")"),"Quality cooperative, good service, always answers us is we have return of our doubts")</f>
        <v>Quality cooperative, good service, always answers us is we have return of our doubts</v>
      </c>
    </row>
    <row r="8292" ht="14.25" customHeight="1">
      <c r="A8292" s="1">
        <v>33.0</v>
      </c>
      <c r="B8292" s="1" t="s">
        <v>245</v>
      </c>
      <c r="C8292" s="1">
        <v>1.0</v>
      </c>
      <c r="D8292" s="1" t="s">
        <v>6</v>
      </c>
      <c r="E8292" s="1"/>
    </row>
    <row r="8293" ht="14.25" customHeight="1">
      <c r="A8293" s="1">
        <v>100.0</v>
      </c>
      <c r="B8293" s="1" t="s">
        <v>971</v>
      </c>
      <c r="C8293" s="1">
        <v>10.0</v>
      </c>
      <c r="D8293" s="1" t="s">
        <v>3819</v>
      </c>
      <c r="E8293" s="1" t="str">
        <f>IFERROR(__xludf.DUMMYFUNCTION("GOOGLETRANSLATE(D8293,""PT"",""EN"")"),"Very helpful manager")</f>
        <v>Very helpful manager</v>
      </c>
    </row>
    <row r="8294" ht="14.25" customHeight="1">
      <c r="A8294" s="1">
        <v>100.0</v>
      </c>
      <c r="B8294" s="1" t="s">
        <v>3657</v>
      </c>
      <c r="C8294" s="1">
        <v>10.0</v>
      </c>
      <c r="D8294" s="1" t="s">
        <v>3820</v>
      </c>
      <c r="E8294" s="1" t="str">
        <f>IFERROR(__xludf.DUMMYFUNCTION("GOOGLETRANSLATE(D8294,""PT"",""EN"")"),"Efficiency in Service")</f>
        <v>Efficiency in Service</v>
      </c>
    </row>
    <row r="8295" ht="14.25" customHeight="1">
      <c r="A8295" s="1">
        <v>100.0</v>
      </c>
      <c r="B8295" s="1" t="s">
        <v>1666</v>
      </c>
      <c r="C8295" s="1">
        <v>10.0</v>
      </c>
      <c r="D8295" s="1" t="s">
        <v>62</v>
      </c>
      <c r="E8295" s="1" t="str">
        <f>IFERROR(__xludf.DUMMYFUNCTION("GOOGLETRANSLATE(D8295,""PT"",""EN"")"),"Good service")</f>
        <v>Good service</v>
      </c>
    </row>
    <row r="8296" ht="14.25" customHeight="1">
      <c r="A8296" s="1">
        <v>100.0</v>
      </c>
      <c r="B8296" s="1" t="s">
        <v>3657</v>
      </c>
      <c r="C8296" s="1">
        <v>9.0</v>
      </c>
      <c r="D8296" s="1" t="s">
        <v>6</v>
      </c>
      <c r="E8296" s="1"/>
    </row>
    <row r="8297" ht="14.25" customHeight="1">
      <c r="A8297" s="1">
        <v>100.0</v>
      </c>
      <c r="B8297" s="1" t="s">
        <v>3657</v>
      </c>
      <c r="C8297" s="1">
        <v>10.0</v>
      </c>
      <c r="D8297" s="1" t="s">
        <v>6</v>
      </c>
      <c r="E8297" s="1"/>
    </row>
    <row r="8298" ht="14.25" customHeight="1">
      <c r="A8298" s="1">
        <v>100.0</v>
      </c>
      <c r="B8298" s="1" t="s">
        <v>3657</v>
      </c>
      <c r="C8298" s="1">
        <v>10.0</v>
      </c>
      <c r="D8298" s="1" t="s">
        <v>6</v>
      </c>
      <c r="E8298" s="1"/>
    </row>
    <row r="8299" ht="14.25" customHeight="1">
      <c r="A8299" s="1">
        <v>66.0</v>
      </c>
      <c r="B8299" s="1" t="s">
        <v>3657</v>
      </c>
      <c r="C8299" s="1">
        <v>8.0</v>
      </c>
      <c r="D8299" s="1" t="s">
        <v>2620</v>
      </c>
      <c r="E8299" s="1" t="str">
        <f>IFERROR(__xludf.DUMMYFUNCTION("GOOGLETRANSLATE(D8299,""PT"",""EN"")"),"7")</f>
        <v>7</v>
      </c>
    </row>
    <row r="8300" ht="14.25" customHeight="1">
      <c r="A8300" s="1">
        <v>33.0</v>
      </c>
      <c r="B8300" s="1" t="s">
        <v>971</v>
      </c>
      <c r="C8300" s="1">
        <v>2.0</v>
      </c>
      <c r="D8300" s="2" t="s">
        <v>3821</v>
      </c>
      <c r="E8300" s="1" t="str">
        <f>IFERROR(__xludf.DUMMYFUNCTION("GOOGLETRANSLATE(D8300,""PT"",""EN"")"),"The bank offers nothing to me or billet discount loan or if you talk there is difficult")</f>
        <v>The bank offers nothing to me or billet discount loan or if you talk there is difficult</v>
      </c>
    </row>
    <row r="8301" ht="14.25" customHeight="1">
      <c r="A8301" s="1">
        <v>100.0</v>
      </c>
      <c r="B8301" s="1" t="s">
        <v>3657</v>
      </c>
      <c r="C8301" s="1">
        <v>9.0</v>
      </c>
      <c r="D8301" s="1" t="s">
        <v>6</v>
      </c>
      <c r="E8301" s="1"/>
    </row>
    <row r="8302" ht="14.25" customHeight="1">
      <c r="A8302" s="1">
        <v>100.0</v>
      </c>
      <c r="B8302" s="1" t="s">
        <v>2412</v>
      </c>
      <c r="C8302" s="1">
        <v>10.0</v>
      </c>
      <c r="D8302" s="2" t="s">
        <v>3822</v>
      </c>
      <c r="E8302" s="1" t="str">
        <f>IFERROR(__xludf.DUMMYFUNCTION("GOOGLETRANSLATE(D8302,""PT"",""EN"")"),"Good service and promptness")</f>
        <v>Good service and promptness</v>
      </c>
    </row>
    <row r="8303" ht="14.25" customHeight="1">
      <c r="A8303" s="1">
        <v>100.0</v>
      </c>
      <c r="B8303" s="1" t="s">
        <v>3657</v>
      </c>
      <c r="C8303" s="1">
        <v>10.0</v>
      </c>
      <c r="D8303" s="1" t="s">
        <v>6</v>
      </c>
      <c r="E8303" s="1"/>
    </row>
    <row r="8304" ht="14.25" customHeight="1">
      <c r="A8304" s="1">
        <v>66.0</v>
      </c>
      <c r="B8304" s="1" t="s">
        <v>3657</v>
      </c>
      <c r="C8304" s="1">
        <v>8.0</v>
      </c>
      <c r="D8304" s="1" t="s">
        <v>62</v>
      </c>
      <c r="E8304" s="1" t="str">
        <f>IFERROR(__xludf.DUMMYFUNCTION("GOOGLETRANSLATE(D8304,""PT"",""EN"")"),"Good service")</f>
        <v>Good service</v>
      </c>
    </row>
    <row r="8305" ht="14.25" customHeight="1">
      <c r="A8305" s="1">
        <v>100.0</v>
      </c>
      <c r="B8305" s="1" t="s">
        <v>3657</v>
      </c>
      <c r="C8305" s="1">
        <v>10.0</v>
      </c>
      <c r="D8305" s="1" t="s">
        <v>6</v>
      </c>
      <c r="E8305" s="1"/>
    </row>
    <row r="8306" ht="14.25" customHeight="1">
      <c r="A8306" s="1">
        <v>100.0</v>
      </c>
      <c r="B8306" s="1" t="s">
        <v>1049</v>
      </c>
      <c r="C8306" s="1">
        <v>10.0</v>
      </c>
      <c r="D8306" s="1" t="s">
        <v>3643</v>
      </c>
      <c r="E8306" s="1" t="str">
        <f>IFERROR(__xludf.DUMMYFUNCTION("GOOGLETRANSLATE(D8306,""PT"",""EN"")"),"I am very well attended")</f>
        <v>I am very well attended</v>
      </c>
    </row>
    <row r="8307" ht="14.25" customHeight="1">
      <c r="A8307" s="1">
        <v>100.0</v>
      </c>
      <c r="B8307" s="1" t="s">
        <v>157</v>
      </c>
      <c r="C8307" s="1">
        <v>10.0</v>
      </c>
      <c r="D8307" s="1" t="s">
        <v>3823</v>
      </c>
      <c r="E8307" s="1" t="str">
        <f>IFERROR(__xludf.DUMMYFUNCTION("GOOGLETRANSLATE(D8307,""PT"",""EN"")"),"I am always well met in my needs")</f>
        <v>I am always well met in my needs</v>
      </c>
    </row>
    <row r="8308" ht="14.25" customHeight="1">
      <c r="A8308" s="1">
        <v>100.0</v>
      </c>
      <c r="B8308" s="1" t="s">
        <v>3657</v>
      </c>
      <c r="C8308" s="1">
        <v>10.0</v>
      </c>
      <c r="D8308" s="1" t="s">
        <v>192</v>
      </c>
      <c r="E8308" s="1" t="str">
        <f>IFERROR(__xludf.DUMMYFUNCTION("GOOGLETRANSLATE(D8308,""PT"",""EN"")"),"Great")</f>
        <v>Great</v>
      </c>
    </row>
    <row r="8309" ht="14.25" customHeight="1">
      <c r="A8309" s="1">
        <v>66.0</v>
      </c>
      <c r="B8309" s="1" t="s">
        <v>3423</v>
      </c>
      <c r="C8309" s="1">
        <v>8.0</v>
      </c>
      <c r="D8309" s="1" t="s">
        <v>2515</v>
      </c>
      <c r="E8309" s="1" t="str">
        <f>IFERROR(__xludf.DUMMYFUNCTION("GOOGLETRANSLATE(D8309,""PT"",""EN"")"),"Practicality.")</f>
        <v>Practicality.</v>
      </c>
    </row>
    <row r="8310" ht="14.25" customHeight="1">
      <c r="A8310" s="1">
        <v>66.0</v>
      </c>
      <c r="B8310" s="1" t="s">
        <v>3657</v>
      </c>
      <c r="C8310" s="1">
        <v>8.0</v>
      </c>
      <c r="D8310" s="2" t="s">
        <v>3824</v>
      </c>
      <c r="E8310" s="1" t="str">
        <f>IFERROR(__xludf.DUMMYFUNCTION("GOOGLETRANSLATE(D8310,""PT"",""EN"")"),"Little credit for companies")</f>
        <v>Little credit for companies</v>
      </c>
    </row>
    <row r="8311" ht="14.25" customHeight="1">
      <c r="A8311" s="1">
        <v>100.0</v>
      </c>
      <c r="B8311" s="1" t="s">
        <v>245</v>
      </c>
      <c r="C8311" s="1">
        <v>10.0</v>
      </c>
      <c r="D8311" s="1" t="s">
        <v>20</v>
      </c>
      <c r="E8311" s="1" t="str">
        <f>IFERROR(__xludf.DUMMYFUNCTION("GOOGLETRANSLATE(D8311,""PT"",""EN"")"),"Very good")</f>
        <v>Very good</v>
      </c>
    </row>
    <row r="8312" ht="14.25" customHeight="1">
      <c r="A8312" s="1">
        <v>100.0</v>
      </c>
      <c r="B8312" s="1" t="s">
        <v>3672</v>
      </c>
      <c r="C8312" s="1">
        <v>10.0</v>
      </c>
      <c r="D8312" s="1" t="s">
        <v>3825</v>
      </c>
      <c r="E8312" s="1" t="str">
        <f>IFERROR(__xludf.DUMMYFUNCTION("GOOGLETRANSLATE(D8312,""PT"",""EN"")"),"It is always ready to help in financial situations!")</f>
        <v>It is always ready to help in financial situations!</v>
      </c>
    </row>
    <row r="8313" ht="14.25" customHeight="1">
      <c r="A8313" s="1">
        <v>66.0</v>
      </c>
      <c r="B8313" s="1" t="s">
        <v>3657</v>
      </c>
      <c r="C8313" s="1">
        <v>7.0</v>
      </c>
      <c r="D8313" s="1" t="s">
        <v>3826</v>
      </c>
      <c r="E8313" s="1" t="str">
        <f>IFERROR(__xludf.DUMMYFUNCTION("GOOGLETRANSLATE(D8313,""PT"",""EN"")"),"Bad operating system")</f>
        <v>Bad operating system</v>
      </c>
    </row>
    <row r="8314" ht="14.25" customHeight="1">
      <c r="A8314" s="1">
        <v>33.0</v>
      </c>
      <c r="B8314" s="1" t="s">
        <v>157</v>
      </c>
      <c r="C8314" s="1">
        <v>3.0</v>
      </c>
      <c r="D8314" s="2" t="s">
        <v>3827</v>
      </c>
      <c r="E8314" s="1" t="str">
        <f>IFERROR(__xludf.DUMMYFUNCTION("GOOGLETRANSLATE(D8314,""PT"",""EN"")"),"The shit of the bank to take information from the balance applied to the statement.")</f>
        <v>The shit of the bank to take information from the balance applied to the statement.</v>
      </c>
    </row>
    <row r="8315" ht="14.25" customHeight="1">
      <c r="A8315" s="1">
        <v>100.0</v>
      </c>
      <c r="B8315" s="1" t="s">
        <v>3333</v>
      </c>
      <c r="C8315" s="1">
        <v>10.0</v>
      </c>
      <c r="D8315" s="2" t="s">
        <v>3828</v>
      </c>
      <c r="E8315" s="1" t="str">
        <f>IFERROR(__xludf.DUMMYFUNCTION("GOOGLETRANSLATE(D8315,""PT"",""EN"")"),"Corte and agile service.")</f>
        <v>Corte and agile service.</v>
      </c>
    </row>
    <row r="8316" ht="14.25" customHeight="1">
      <c r="A8316" s="1">
        <v>100.0</v>
      </c>
      <c r="B8316" s="1" t="s">
        <v>3657</v>
      </c>
      <c r="C8316" s="1">
        <v>10.0</v>
      </c>
      <c r="D8316" s="1" t="s">
        <v>6</v>
      </c>
      <c r="E8316" s="1"/>
    </row>
    <row r="8317" ht="14.25" customHeight="1">
      <c r="A8317" s="1">
        <v>100.0</v>
      </c>
      <c r="B8317" s="1" t="s">
        <v>971</v>
      </c>
      <c r="C8317" s="1">
        <v>10.0</v>
      </c>
      <c r="D8317" s="1" t="s">
        <v>1257</v>
      </c>
      <c r="E8317" s="1" t="str">
        <f>IFERROR(__xludf.DUMMYFUNCTION("GOOGLETRANSLATE(D8317,""PT"",""EN"")"),"Very practical")</f>
        <v>Very practical</v>
      </c>
    </row>
    <row r="8318" ht="14.25" customHeight="1">
      <c r="A8318" s="1">
        <v>100.0</v>
      </c>
      <c r="B8318" s="1" t="s">
        <v>3657</v>
      </c>
      <c r="C8318" s="1">
        <v>10.0</v>
      </c>
      <c r="D8318" s="1" t="s">
        <v>6</v>
      </c>
      <c r="E8318" s="1"/>
    </row>
    <row r="8319" ht="14.25" customHeight="1">
      <c r="A8319" s="1">
        <v>100.0</v>
      </c>
      <c r="B8319" s="1" t="s">
        <v>1826</v>
      </c>
      <c r="C8319" s="1">
        <v>10.0</v>
      </c>
      <c r="D8319" s="2" t="s">
        <v>3829</v>
      </c>
      <c r="E8319" s="1" t="str">
        <f>IFERROR(__xludf.DUMMYFUNCTION("GOOGLETRANSLATE(D8319,""PT"",""EN"")"),"By service the staff are very cordial is the easy to handle application.")</f>
        <v>By service the staff are very cordial is the easy to handle application.</v>
      </c>
    </row>
    <row r="8320" ht="14.25" customHeight="1">
      <c r="A8320" s="1">
        <v>100.0</v>
      </c>
      <c r="B8320" s="1" t="s">
        <v>1049</v>
      </c>
      <c r="C8320" s="1">
        <v>9.0</v>
      </c>
      <c r="D8320" s="1" t="s">
        <v>571</v>
      </c>
      <c r="E8320" s="1" t="str">
        <f>IFERROR(__xludf.DUMMYFUNCTION("GOOGLETRANSLATE(D8320,""PT"",""EN"")"),"The service")</f>
        <v>The service</v>
      </c>
    </row>
    <row r="8321" ht="14.25" customHeight="1">
      <c r="A8321" s="1">
        <v>100.0</v>
      </c>
      <c r="B8321" s="1" t="s">
        <v>245</v>
      </c>
      <c r="C8321" s="1">
        <v>10.0</v>
      </c>
      <c r="D8321" s="1" t="s">
        <v>3830</v>
      </c>
      <c r="E8321" s="1" t="str">
        <f>IFERROR(__xludf.DUMMYFUNCTION("GOOGLETRANSLATE(D8321,""PT"",""EN"")"),"so far everything ok")</f>
        <v>so far everything ok</v>
      </c>
    </row>
    <row r="8322" ht="14.25" customHeight="1">
      <c r="A8322" s="1">
        <v>100.0</v>
      </c>
      <c r="B8322" s="1" t="s">
        <v>2669</v>
      </c>
      <c r="C8322" s="1">
        <v>10.0</v>
      </c>
      <c r="D8322" s="1" t="s">
        <v>385</v>
      </c>
      <c r="E8322" s="1" t="str">
        <f>IFERROR(__xludf.DUMMYFUNCTION("GOOGLETRANSLATE(D8322,""PT"",""EN"")"),"The good service")</f>
        <v>The good service</v>
      </c>
    </row>
    <row r="8323" ht="14.25" customHeight="1">
      <c r="A8323" s="1">
        <v>100.0</v>
      </c>
      <c r="B8323" s="1" t="s">
        <v>3333</v>
      </c>
      <c r="C8323" s="1">
        <v>10.0</v>
      </c>
      <c r="D8323" s="1" t="s">
        <v>3831</v>
      </c>
      <c r="E8323" s="1" t="str">
        <f>IFERROR(__xludf.DUMMYFUNCTION("GOOGLETRANSLATE(D8323,""PT"",""EN"")"),"Quality in the provision of services")</f>
        <v>Quality in the provision of services</v>
      </c>
    </row>
    <row r="8324" ht="14.25" customHeight="1">
      <c r="A8324" s="1">
        <v>100.0</v>
      </c>
      <c r="B8324" s="1" t="s">
        <v>3657</v>
      </c>
      <c r="C8324" s="1">
        <v>9.0</v>
      </c>
      <c r="D8324" s="1" t="s">
        <v>6</v>
      </c>
      <c r="E8324" s="1"/>
    </row>
    <row r="8325" ht="14.25" customHeight="1">
      <c r="A8325" s="1">
        <v>100.0</v>
      </c>
      <c r="B8325" s="1" t="s">
        <v>1691</v>
      </c>
      <c r="C8325" s="1">
        <v>10.0</v>
      </c>
      <c r="D8325" s="2" t="s">
        <v>3832</v>
      </c>
      <c r="E8325" s="1" t="str">
        <f>IFERROR(__xludf.DUMMYFUNCTION("GOOGLETRANSLATE(D8325,""PT"",""EN"")"),"Excellent service, great rates and excellent insurance plans")</f>
        <v>Excellent service, great rates and excellent insurance plans</v>
      </c>
    </row>
    <row r="8326" ht="14.25" customHeight="1">
      <c r="A8326" s="1">
        <v>100.0</v>
      </c>
      <c r="B8326" s="1" t="s">
        <v>1340</v>
      </c>
      <c r="C8326" s="1">
        <v>10.0</v>
      </c>
      <c r="D8326" s="1" t="s">
        <v>1545</v>
      </c>
      <c r="E8326" s="1" t="str">
        <f>IFERROR(__xludf.DUMMYFUNCTION("GOOGLETRANSLATE(D8326,""PT"",""EN"")"),"Relationship")</f>
        <v>Relationship</v>
      </c>
    </row>
    <row r="8327" ht="14.25" customHeight="1">
      <c r="A8327" s="1">
        <v>100.0</v>
      </c>
      <c r="B8327" s="1" t="s">
        <v>1691</v>
      </c>
      <c r="C8327" s="1">
        <v>10.0</v>
      </c>
      <c r="D8327" s="1" t="s">
        <v>192</v>
      </c>
      <c r="E8327" s="1" t="str">
        <f>IFERROR(__xludf.DUMMYFUNCTION("GOOGLETRANSLATE(D8327,""PT"",""EN"")"),"Great")</f>
        <v>Great</v>
      </c>
    </row>
    <row r="8328" ht="14.25" customHeight="1">
      <c r="A8328" s="1">
        <v>100.0</v>
      </c>
      <c r="B8328" s="1" t="s">
        <v>801</v>
      </c>
      <c r="C8328" s="1">
        <v>10.0</v>
      </c>
      <c r="D8328" s="1" t="s">
        <v>3833</v>
      </c>
      <c r="E8328" s="1" t="str">
        <f>IFERROR(__xludf.DUMMYFUNCTION("GOOGLETRANSLATE(D8328,""PT"",""EN"")"),"Treat people very well")</f>
        <v>Treat people very well</v>
      </c>
    </row>
    <row r="8329" ht="14.25" customHeight="1">
      <c r="A8329" s="1">
        <v>100.0</v>
      </c>
      <c r="B8329" s="1" t="s">
        <v>3657</v>
      </c>
      <c r="C8329" s="1">
        <v>9.0</v>
      </c>
      <c r="D8329" s="1" t="s">
        <v>6</v>
      </c>
      <c r="E8329" s="1"/>
    </row>
    <row r="8330" ht="14.25" customHeight="1">
      <c r="A8330" s="1">
        <v>100.0</v>
      </c>
      <c r="B8330" s="1" t="s">
        <v>3657</v>
      </c>
      <c r="C8330" s="1">
        <v>10.0</v>
      </c>
      <c r="D8330" s="1" t="s">
        <v>1301</v>
      </c>
      <c r="E8330" s="1" t="str">
        <f>IFERROR(__xludf.DUMMYFUNCTION("GOOGLETRANSLATE(D8330,""PT"",""EN"")"),"A")</f>
        <v>A</v>
      </c>
    </row>
    <row r="8331" ht="14.25" customHeight="1">
      <c r="A8331" s="1">
        <v>33.0</v>
      </c>
      <c r="B8331" s="1" t="s">
        <v>3423</v>
      </c>
      <c r="C8331" s="1">
        <v>4.0</v>
      </c>
      <c r="D8331" s="2" t="s">
        <v>3834</v>
      </c>
      <c r="E8331" s="1" t="str">
        <f>IFERROR(__xludf.DUMMYFUNCTION("GOOGLETRANSLATE(D8331,""PT"",""EN"")"),"Partiality is board favors associates close relationships.")</f>
        <v>Partiality is board favors associates close relationships.</v>
      </c>
    </row>
    <row r="8332" ht="14.25" customHeight="1">
      <c r="A8332" s="1">
        <v>100.0</v>
      </c>
      <c r="B8332" s="1" t="s">
        <v>3657</v>
      </c>
      <c r="C8332" s="1">
        <v>9.0</v>
      </c>
      <c r="D8332" s="1" t="s">
        <v>6</v>
      </c>
      <c r="E8332" s="1"/>
    </row>
    <row r="8333" ht="14.25" customHeight="1">
      <c r="A8333" s="1">
        <v>100.0</v>
      </c>
      <c r="B8333" s="1" t="s">
        <v>1340</v>
      </c>
      <c r="C8333" s="1">
        <v>9.0</v>
      </c>
      <c r="D8333" s="1" t="s">
        <v>6</v>
      </c>
      <c r="E8333" s="1"/>
    </row>
    <row r="8334" ht="14.25" customHeight="1">
      <c r="A8334" s="1">
        <v>33.0</v>
      </c>
      <c r="B8334" s="1" t="s">
        <v>1049</v>
      </c>
      <c r="C8334" s="1">
        <v>5.0</v>
      </c>
      <c r="D8334" s="1" t="s">
        <v>2890</v>
      </c>
      <c r="E8334" s="1" t="str">
        <f>IFERROR(__xludf.DUMMYFUNCTION("GOOGLETRANSLATE(D8334,""PT"",""EN"")"),"Falls short")</f>
        <v>Falls short</v>
      </c>
    </row>
    <row r="8335" ht="14.25" customHeight="1">
      <c r="A8335" s="1">
        <v>66.0</v>
      </c>
      <c r="B8335" s="1" t="s">
        <v>2412</v>
      </c>
      <c r="C8335" s="1">
        <v>8.0</v>
      </c>
      <c r="D8335" s="1" t="s">
        <v>3835</v>
      </c>
      <c r="E8335" s="1" t="str">
        <f>IFERROR(__xludf.DUMMYFUNCTION("GOOGLETRANSLATE(D8335,""PT"",""EN"")"),"I like the service of my agency, pity it will change address.")</f>
        <v>I like the service of my agency, pity it will change address.</v>
      </c>
    </row>
    <row r="8336" ht="14.25" customHeight="1">
      <c r="A8336" s="1">
        <v>33.0</v>
      </c>
      <c r="B8336" s="1" t="s">
        <v>3657</v>
      </c>
      <c r="C8336" s="1">
        <v>5.0</v>
      </c>
      <c r="D8336" s="1" t="s">
        <v>6</v>
      </c>
      <c r="E8336" s="1"/>
    </row>
    <row r="8337" ht="14.25" customHeight="1">
      <c r="A8337" s="1">
        <v>33.0</v>
      </c>
      <c r="B8337" s="1" t="s">
        <v>3657</v>
      </c>
      <c r="C8337" s="1">
        <v>5.0</v>
      </c>
      <c r="D8337" s="1" t="s">
        <v>6</v>
      </c>
      <c r="E8337" s="1"/>
    </row>
    <row r="8338" ht="14.25" customHeight="1">
      <c r="A8338" s="1">
        <v>100.0</v>
      </c>
      <c r="B8338" s="1" t="s">
        <v>3657</v>
      </c>
      <c r="C8338" s="1">
        <v>10.0</v>
      </c>
      <c r="D8338" s="1" t="s">
        <v>6</v>
      </c>
      <c r="E8338" s="1"/>
    </row>
    <row r="8339" ht="14.25" customHeight="1">
      <c r="A8339" s="1">
        <v>66.0</v>
      </c>
      <c r="B8339" s="1" t="s">
        <v>245</v>
      </c>
      <c r="C8339" s="1">
        <v>8.0</v>
      </c>
      <c r="D8339" s="1" t="s">
        <v>6</v>
      </c>
      <c r="E8339" s="1"/>
    </row>
    <row r="8340" ht="14.25" customHeight="1">
      <c r="A8340" s="1">
        <v>66.0</v>
      </c>
      <c r="B8340" s="1" t="s">
        <v>3657</v>
      </c>
      <c r="C8340" s="1">
        <v>8.0</v>
      </c>
      <c r="D8340" s="1" t="s">
        <v>6</v>
      </c>
      <c r="E8340" s="1"/>
    </row>
    <row r="8341" ht="14.25" customHeight="1">
      <c r="A8341" s="1">
        <v>100.0</v>
      </c>
      <c r="B8341" s="1" t="s">
        <v>3657</v>
      </c>
      <c r="C8341" s="1">
        <v>10.0</v>
      </c>
      <c r="D8341" s="2" t="s">
        <v>3836</v>
      </c>
      <c r="E8341" s="1" t="str">
        <f>IFERROR(__xludf.DUMMYFUNCTION("GOOGLETRANSLATE(D8341,""PT"",""EN"")"),"Solves the problem soon goes there is no queue is well attended")</f>
        <v>Solves the problem soon goes there is no queue is well attended</v>
      </c>
    </row>
    <row r="8342" ht="14.25" customHeight="1">
      <c r="A8342" s="1">
        <v>33.0</v>
      </c>
      <c r="B8342" s="1" t="s">
        <v>2412</v>
      </c>
      <c r="C8342" s="1">
        <v>6.0</v>
      </c>
      <c r="D8342" s="1" t="s">
        <v>3837</v>
      </c>
      <c r="E8342" s="1" t="str">
        <f>IFERROR(__xludf.DUMMYFUNCTION("GOOGLETRANSLATE(D8342,""PT"",""EN"")"),"Missing better customer follow -up to offer personalized services.")</f>
        <v>Missing better customer follow -up to offer personalized services.</v>
      </c>
    </row>
    <row r="8343" ht="14.25" customHeight="1">
      <c r="A8343" s="1">
        <v>100.0</v>
      </c>
      <c r="B8343" s="1" t="s">
        <v>245</v>
      </c>
      <c r="C8343" s="1">
        <v>10.0</v>
      </c>
      <c r="D8343" s="2" t="s">
        <v>3838</v>
      </c>
      <c r="E8343" s="1" t="str">
        <f>IFERROR(__xludf.DUMMYFUNCTION("GOOGLETRANSLATE(D8343,""PT"",""EN"")"),"I always can easily")</f>
        <v>I always can easily</v>
      </c>
    </row>
    <row r="8344" ht="14.25" customHeight="1">
      <c r="A8344" s="1">
        <v>100.0</v>
      </c>
      <c r="B8344" s="1" t="s">
        <v>971</v>
      </c>
      <c r="C8344" s="1">
        <v>10.0</v>
      </c>
      <c r="D8344" s="1" t="s">
        <v>62</v>
      </c>
      <c r="E8344" s="1" t="str">
        <f>IFERROR(__xludf.DUMMYFUNCTION("GOOGLETRANSLATE(D8344,""PT"",""EN"")"),"Good service")</f>
        <v>Good service</v>
      </c>
    </row>
    <row r="8345" ht="14.25" customHeight="1">
      <c r="A8345" s="1">
        <v>33.0</v>
      </c>
      <c r="B8345" s="1" t="s">
        <v>1340</v>
      </c>
      <c r="C8345" s="1">
        <v>0.0</v>
      </c>
      <c r="D8345" s="1" t="s">
        <v>3839</v>
      </c>
      <c r="E8345" s="1" t="str">
        <f>IFERROR(__xludf.DUMMYFUNCTION("GOOGLETRANSLATE(D8345,""PT"",""EN"")"),"Charging a lot unnecessary")</f>
        <v>Charging a lot unnecessary</v>
      </c>
    </row>
    <row r="8346" ht="14.25" customHeight="1">
      <c r="A8346" s="1">
        <v>100.0</v>
      </c>
      <c r="B8346" s="1" t="s">
        <v>3657</v>
      </c>
      <c r="C8346" s="1">
        <v>10.0</v>
      </c>
      <c r="D8346" s="1" t="s">
        <v>3840</v>
      </c>
      <c r="E8346" s="1" t="str">
        <f>IFERROR(__xludf.DUMMYFUNCTION("GOOGLETRANSLATE(D8346,""PT"",""EN"")"),"Excelent reception.")</f>
        <v>Excelent reception.</v>
      </c>
    </row>
    <row r="8347" ht="14.25" customHeight="1">
      <c r="A8347" s="1">
        <v>100.0</v>
      </c>
      <c r="B8347" s="1" t="s">
        <v>245</v>
      </c>
      <c r="C8347" s="1">
        <v>10.0</v>
      </c>
      <c r="D8347" s="2" t="s">
        <v>3841</v>
      </c>
      <c r="E8347" s="1" t="str">
        <f>IFERROR(__xludf.DUMMYFUNCTION("GOOGLETRANSLATE(D8347,""PT"",""EN"")"),"Because it is the best bank, I recommend to several my customers")</f>
        <v>Because it is the best bank, I recommend to several my customers</v>
      </c>
    </row>
    <row r="8348" ht="14.25" customHeight="1">
      <c r="A8348" s="1">
        <v>66.0</v>
      </c>
      <c r="B8348" s="1" t="s">
        <v>2106</v>
      </c>
      <c r="C8348" s="1">
        <v>8.0</v>
      </c>
      <c r="D8348" s="1" t="s">
        <v>6</v>
      </c>
      <c r="E8348" s="1"/>
    </row>
    <row r="8349" ht="14.25" customHeight="1">
      <c r="A8349" s="1">
        <v>66.0</v>
      </c>
      <c r="B8349" s="1" t="s">
        <v>1340</v>
      </c>
      <c r="C8349" s="1">
        <v>8.0</v>
      </c>
      <c r="D8349" s="1" t="s">
        <v>6</v>
      </c>
      <c r="E8349" s="1"/>
    </row>
    <row r="8350" ht="14.25" customHeight="1">
      <c r="A8350" s="1">
        <v>100.0</v>
      </c>
      <c r="B8350" s="1" t="s">
        <v>5</v>
      </c>
      <c r="C8350" s="1">
        <v>10.0</v>
      </c>
      <c r="D8350" s="1" t="s">
        <v>6</v>
      </c>
      <c r="E8350" s="1"/>
    </row>
    <row r="8351" ht="14.25" customHeight="1">
      <c r="A8351" s="1">
        <v>100.0</v>
      </c>
      <c r="B8351" s="1" t="s">
        <v>3423</v>
      </c>
      <c r="C8351" s="1">
        <v>10.0</v>
      </c>
      <c r="D8351" s="2" t="s">
        <v>3842</v>
      </c>
      <c r="E8351" s="1" t="str">
        <f>IFERROR(__xludf.DUMMYFUNCTION("GOOGLETRANSLATE(D8351,""PT"",""EN"")"),"Good rates is several transactions without fee, excellent service is exclusive to entrepreneurs")</f>
        <v>Good rates is several transactions without fee, excellent service is exclusive to entrepreneurs</v>
      </c>
    </row>
    <row r="8352" ht="14.25" customHeight="1">
      <c r="A8352" s="1">
        <v>66.0</v>
      </c>
      <c r="B8352" s="1" t="s">
        <v>1691</v>
      </c>
      <c r="C8352" s="1">
        <v>8.0</v>
      </c>
      <c r="D8352" s="1" t="s">
        <v>6</v>
      </c>
      <c r="E8352" s="1"/>
    </row>
    <row r="8353" ht="14.25" customHeight="1">
      <c r="A8353" s="1">
        <v>100.0</v>
      </c>
      <c r="B8353" s="1" t="s">
        <v>3657</v>
      </c>
      <c r="C8353" s="1">
        <v>10.0</v>
      </c>
      <c r="D8353" s="1" t="s">
        <v>6</v>
      </c>
      <c r="E8353" s="1"/>
    </row>
    <row r="8354" ht="14.25" customHeight="1">
      <c r="A8354" s="1">
        <v>33.0</v>
      </c>
      <c r="B8354" s="1" t="s">
        <v>1826</v>
      </c>
      <c r="C8354" s="1">
        <v>6.0</v>
      </c>
      <c r="D8354" s="2" t="s">
        <v>3843</v>
      </c>
      <c r="E8354" s="1" t="str">
        <f>IFERROR(__xludf.DUMMYFUNCTION("GOOGLETRANSLATE(D8354,""PT"",""EN"")"),"So far I have not gotten a credit approval. That's why")</f>
        <v>So far I have not gotten a credit approval. That's why</v>
      </c>
    </row>
    <row r="8355" ht="14.25" customHeight="1">
      <c r="A8355" s="1">
        <v>100.0</v>
      </c>
      <c r="B8355" s="1" t="s">
        <v>1049</v>
      </c>
      <c r="C8355" s="1">
        <v>10.0</v>
      </c>
      <c r="D8355" s="1" t="s">
        <v>6</v>
      </c>
      <c r="E8355" s="1"/>
    </row>
    <row r="8356" ht="14.25" customHeight="1">
      <c r="A8356" s="1">
        <v>100.0</v>
      </c>
      <c r="B8356" s="1" t="s">
        <v>3657</v>
      </c>
      <c r="C8356" s="1">
        <v>10.0</v>
      </c>
      <c r="D8356" s="2" t="s">
        <v>3844</v>
      </c>
      <c r="E8356" s="1" t="str">
        <f>IFERROR(__xludf.DUMMYFUNCTION("GOOGLETRANSLATE(D8356,""PT"",""EN"")"),"Always answered me when I needed, it is attention is reception with your associates")</f>
        <v>Always answered me when I needed, it is attention is reception with your associates</v>
      </c>
    </row>
    <row r="8357" ht="14.25" customHeight="1">
      <c r="A8357" s="1">
        <v>33.0</v>
      </c>
      <c r="B8357" s="1" t="s">
        <v>3657</v>
      </c>
      <c r="C8357" s="1">
        <v>5.0</v>
      </c>
      <c r="D8357" s="2" t="s">
        <v>3845</v>
      </c>
      <c r="E8357" s="1" t="str">
        <f>IFERROR(__xludf.DUMMYFUNCTION("GOOGLETRANSLATE(D8357,""PT"",""EN"")"),"To get a loan you have some alienated well")</f>
        <v>To get a loan you have some alienated well</v>
      </c>
    </row>
    <row r="8358" ht="14.25" customHeight="1">
      <c r="A8358" s="1">
        <v>100.0</v>
      </c>
      <c r="B8358" s="1" t="s">
        <v>245</v>
      </c>
      <c r="C8358" s="1">
        <v>10.0</v>
      </c>
      <c r="D8358" s="1" t="s">
        <v>85</v>
      </c>
      <c r="E8358" s="1" t="str">
        <f>IFERROR(__xludf.DUMMYFUNCTION("GOOGLETRANSLATE(D8358,""PT"",""EN"")"),"Service")</f>
        <v>Service</v>
      </c>
    </row>
    <row r="8359" ht="14.25" customHeight="1">
      <c r="A8359" s="1">
        <v>66.0</v>
      </c>
      <c r="B8359" s="1" t="s">
        <v>3657</v>
      </c>
      <c r="C8359" s="1">
        <v>8.0</v>
      </c>
      <c r="D8359" s="1" t="s">
        <v>6</v>
      </c>
      <c r="E8359" s="1"/>
    </row>
    <row r="8360" ht="14.25" customHeight="1">
      <c r="A8360" s="1">
        <v>100.0</v>
      </c>
      <c r="B8360" s="1" t="s">
        <v>245</v>
      </c>
      <c r="C8360" s="1">
        <v>10.0</v>
      </c>
      <c r="D8360" s="1" t="s">
        <v>3846</v>
      </c>
      <c r="E8360" s="1" t="str">
        <f>IFERROR(__xludf.DUMMYFUNCTION("GOOGLETRANSLATE(D8360,""PT"",""EN"")"),"Good service, great rates")</f>
        <v>Good service, great rates</v>
      </c>
    </row>
    <row r="8361" ht="14.25" customHeight="1">
      <c r="A8361" s="1">
        <v>100.0</v>
      </c>
      <c r="B8361" s="1" t="s">
        <v>3657</v>
      </c>
      <c r="C8361" s="1">
        <v>9.0</v>
      </c>
      <c r="D8361" s="1" t="s">
        <v>6</v>
      </c>
      <c r="E8361" s="1"/>
    </row>
    <row r="8362" ht="14.25" customHeight="1">
      <c r="A8362" s="1">
        <v>33.0</v>
      </c>
      <c r="B8362" s="1" t="s">
        <v>3423</v>
      </c>
      <c r="C8362" s="1">
        <v>6.0</v>
      </c>
      <c r="D8362" s="1" t="s">
        <v>3847</v>
      </c>
      <c r="E8362" s="1" t="str">
        <f>IFERROR(__xludf.DUMMYFUNCTION("GOOGLETRANSLATE(D8362,""PT"",""EN"")"),"The delay in updating a registration is immense")</f>
        <v>The delay in updating a registration is immense</v>
      </c>
    </row>
    <row r="8363" ht="14.25" customHeight="1">
      <c r="A8363" s="1">
        <v>100.0</v>
      </c>
      <c r="B8363" s="1" t="s">
        <v>3657</v>
      </c>
      <c r="C8363" s="1">
        <v>10.0</v>
      </c>
      <c r="D8363" s="1" t="s">
        <v>6</v>
      </c>
      <c r="E8363" s="1"/>
    </row>
    <row r="8364" ht="14.25" customHeight="1">
      <c r="A8364" s="1">
        <v>100.0</v>
      </c>
      <c r="B8364" s="1" t="s">
        <v>5</v>
      </c>
      <c r="C8364" s="1">
        <v>10.0</v>
      </c>
      <c r="D8364" s="1" t="s">
        <v>3848</v>
      </c>
      <c r="E8364" s="1" t="str">
        <f>IFERROR(__xludf.DUMMYFUNCTION("GOOGLETRANSLATE(D8364,""PT"",""EN"")"),"Very good where we all cooperate.")</f>
        <v>Very good where we all cooperate.</v>
      </c>
    </row>
    <row r="8365" ht="14.25" customHeight="1">
      <c r="A8365" s="1">
        <v>100.0</v>
      </c>
      <c r="B8365" s="1" t="s">
        <v>3657</v>
      </c>
      <c r="C8365" s="1">
        <v>10.0</v>
      </c>
      <c r="D8365" s="1" t="s">
        <v>3849</v>
      </c>
      <c r="E8365" s="1" t="str">
        <f>IFERROR(__xludf.DUMMYFUNCTION("GOOGLETRANSLATE(D8365,""PT"",""EN"")"),"18343089000154")</f>
        <v>18343089000154</v>
      </c>
    </row>
    <row r="8366" ht="14.25" customHeight="1">
      <c r="A8366" s="1">
        <v>100.0</v>
      </c>
      <c r="B8366" s="1" t="s">
        <v>3657</v>
      </c>
      <c r="C8366" s="1">
        <v>10.0</v>
      </c>
      <c r="D8366" s="1" t="s">
        <v>3850</v>
      </c>
      <c r="E8366" s="1" t="str">
        <f>IFERROR(__xludf.DUMMYFUNCTION("GOOGLETRANSLATE(D8366,""PT"",""EN"")"),"Yes. It is a cooperative focused on customer interests.")</f>
        <v>Yes. It is a cooperative focused on customer interests.</v>
      </c>
    </row>
    <row r="8367" ht="14.25" customHeight="1">
      <c r="A8367" s="1">
        <v>66.0</v>
      </c>
      <c r="B8367" s="1" t="s">
        <v>5</v>
      </c>
      <c r="C8367" s="1">
        <v>7.0</v>
      </c>
      <c r="D8367" s="1" t="s">
        <v>85</v>
      </c>
      <c r="E8367" s="1" t="str">
        <f>IFERROR(__xludf.DUMMYFUNCTION("GOOGLETRANSLATE(D8367,""PT"",""EN"")"),"Service")</f>
        <v>Service</v>
      </c>
    </row>
    <row r="8368" ht="14.25" customHeight="1">
      <c r="A8368" s="1">
        <v>100.0</v>
      </c>
      <c r="B8368" s="1" t="s">
        <v>1340</v>
      </c>
      <c r="C8368" s="1">
        <v>10.0</v>
      </c>
      <c r="D8368" s="1" t="s">
        <v>17</v>
      </c>
      <c r="E8368" s="1" t="str">
        <f>IFERROR(__xludf.DUMMYFUNCTION("GOOGLETRANSLATE(D8368,""PT"",""EN"")"),"Satisfaction")</f>
        <v>Satisfaction</v>
      </c>
    </row>
    <row r="8369" ht="14.25" customHeight="1">
      <c r="A8369" s="1">
        <v>33.0</v>
      </c>
      <c r="B8369" s="1" t="s">
        <v>2412</v>
      </c>
      <c r="C8369" s="1">
        <v>3.0</v>
      </c>
      <c r="D8369" s="2" t="s">
        <v>3851</v>
      </c>
      <c r="E8369" s="1" t="str">
        <f>IFERROR(__xludf.DUMMYFUNCTION("GOOGLETRANSLATE(D8369,""PT"",""EN"")"),"No credit card freedom")</f>
        <v>No credit card freedom</v>
      </c>
    </row>
    <row r="8370" ht="14.25" customHeight="1">
      <c r="A8370" s="1">
        <v>33.0</v>
      </c>
      <c r="B8370" s="1" t="s">
        <v>3657</v>
      </c>
      <c r="C8370" s="1">
        <v>0.0</v>
      </c>
      <c r="D8370" s="1" t="s">
        <v>6</v>
      </c>
      <c r="E8370" s="1"/>
    </row>
    <row r="8371" ht="14.25" customHeight="1">
      <c r="A8371" s="1">
        <v>33.0</v>
      </c>
      <c r="B8371" s="1" t="s">
        <v>2412</v>
      </c>
      <c r="C8371" s="1">
        <v>2.0</v>
      </c>
      <c r="D8371" s="2" t="s">
        <v>3852</v>
      </c>
      <c r="E8371" s="1" t="str">
        <f>IFERROR(__xludf.DUMMYFUNCTION("GOOGLETRANSLATE(D8371,""PT"",""EN"")"),"I didn't get information for me to negotiate my debt")</f>
        <v>I didn't get information for me to negotiate my debt</v>
      </c>
    </row>
    <row r="8372" ht="14.25" customHeight="1">
      <c r="A8372" s="1">
        <v>100.0</v>
      </c>
      <c r="B8372" s="1" t="s">
        <v>3657</v>
      </c>
      <c r="C8372" s="1">
        <v>10.0</v>
      </c>
      <c r="D8372" s="1" t="s">
        <v>3853</v>
      </c>
      <c r="E8372" s="1" t="str">
        <f>IFERROR(__xludf.DUMMYFUNCTION("GOOGLETRANSLATE(D8372,""PT"",""EN"")"),"Great 👍")</f>
        <v>Great 👍</v>
      </c>
    </row>
    <row r="8373" ht="14.25" customHeight="1">
      <c r="A8373" s="1">
        <v>100.0</v>
      </c>
      <c r="B8373" s="1" t="s">
        <v>3657</v>
      </c>
      <c r="C8373" s="1">
        <v>10.0</v>
      </c>
      <c r="D8373" s="1" t="s">
        <v>6</v>
      </c>
      <c r="E8373" s="1"/>
    </row>
    <row r="8374" ht="14.25" customHeight="1">
      <c r="A8374" s="1">
        <v>33.0</v>
      </c>
      <c r="B8374" s="1" t="s">
        <v>3657</v>
      </c>
      <c r="C8374" s="1">
        <v>1.0</v>
      </c>
      <c r="D8374" s="1" t="s">
        <v>6</v>
      </c>
      <c r="E8374" s="1"/>
    </row>
    <row r="8375" ht="14.25" customHeight="1">
      <c r="A8375" s="1">
        <v>100.0</v>
      </c>
      <c r="B8375" s="1" t="s">
        <v>687</v>
      </c>
      <c r="C8375" s="1">
        <v>10.0</v>
      </c>
      <c r="D8375" s="1" t="s">
        <v>6</v>
      </c>
      <c r="E8375" s="1"/>
    </row>
    <row r="8376" ht="14.25" customHeight="1">
      <c r="A8376" s="1">
        <v>66.0</v>
      </c>
      <c r="B8376" s="1" t="s">
        <v>2412</v>
      </c>
      <c r="C8376" s="1">
        <v>7.0</v>
      </c>
      <c r="D8376" s="2" t="s">
        <v>3854</v>
      </c>
      <c r="E8376" s="1" t="str">
        <f>IFERROR(__xludf.DUMMYFUNCTION("GOOGLETRANSLATE(D8376,""PT"",""EN"")"),"Needs to improve credit supply")</f>
        <v>Needs to improve credit supply</v>
      </c>
    </row>
    <row r="8377" ht="14.25" customHeight="1">
      <c r="A8377" s="1">
        <v>33.0</v>
      </c>
      <c r="B8377" s="1" t="s">
        <v>1826</v>
      </c>
      <c r="C8377" s="1">
        <v>6.0</v>
      </c>
      <c r="D8377" s="2" t="s">
        <v>3855</v>
      </c>
      <c r="E8377" s="1" t="str">
        <f>IFERROR(__xludf.DUMMYFUNCTION("GOOGLETRANSLATE(D8377,""PT"",""EN"")"),"Lack of credit limit.")</f>
        <v>Lack of credit limit.</v>
      </c>
    </row>
    <row r="8378" ht="14.25" customHeight="1">
      <c r="A8378" s="1">
        <v>100.0</v>
      </c>
      <c r="B8378" s="1" t="s">
        <v>245</v>
      </c>
      <c r="C8378" s="1">
        <v>10.0</v>
      </c>
      <c r="D8378" s="1" t="s">
        <v>3856</v>
      </c>
      <c r="E8378" s="1" t="str">
        <f>IFERROR(__xludf.DUMMYFUNCTION("GOOGLETRANSLATE(D8378,""PT"",""EN"")"),"Employee service")</f>
        <v>Employee service</v>
      </c>
    </row>
    <row r="8379" ht="14.25" customHeight="1">
      <c r="A8379" s="1">
        <v>33.0</v>
      </c>
      <c r="B8379" s="1" t="s">
        <v>3657</v>
      </c>
      <c r="C8379" s="1">
        <v>5.0</v>
      </c>
      <c r="D8379" s="1" t="s">
        <v>6</v>
      </c>
      <c r="E8379" s="1"/>
    </row>
    <row r="8380" ht="14.25" customHeight="1">
      <c r="A8380" s="1">
        <v>66.0</v>
      </c>
      <c r="B8380" s="1" t="s">
        <v>3657</v>
      </c>
      <c r="C8380" s="1">
        <v>8.0</v>
      </c>
      <c r="D8380" s="1" t="s">
        <v>6</v>
      </c>
      <c r="E8380" s="1"/>
    </row>
    <row r="8381" ht="14.25" customHeight="1">
      <c r="A8381" s="1">
        <v>100.0</v>
      </c>
      <c r="B8381" s="1" t="s">
        <v>2412</v>
      </c>
      <c r="C8381" s="1">
        <v>10.0</v>
      </c>
      <c r="D8381" s="1" t="s">
        <v>6</v>
      </c>
      <c r="E8381" s="1"/>
    </row>
    <row r="8382" ht="14.25" customHeight="1">
      <c r="A8382" s="1">
        <v>100.0</v>
      </c>
      <c r="B8382" s="1" t="s">
        <v>3657</v>
      </c>
      <c r="C8382" s="1">
        <v>9.0</v>
      </c>
      <c r="D8382" s="1" t="s">
        <v>6</v>
      </c>
      <c r="E8382" s="1"/>
    </row>
    <row r="8383" ht="14.25" customHeight="1">
      <c r="A8383" s="1">
        <v>66.0</v>
      </c>
      <c r="B8383" s="1" t="s">
        <v>2412</v>
      </c>
      <c r="C8383" s="1">
        <v>8.0</v>
      </c>
      <c r="D8383" s="1" t="s">
        <v>6</v>
      </c>
      <c r="E8383" s="1"/>
    </row>
    <row r="8384" ht="14.25" customHeight="1">
      <c r="A8384" s="1">
        <v>100.0</v>
      </c>
      <c r="B8384" s="1" t="s">
        <v>3657</v>
      </c>
      <c r="C8384" s="1">
        <v>10.0</v>
      </c>
      <c r="D8384" s="1" t="s">
        <v>3857</v>
      </c>
      <c r="E8384" s="1" t="str">
        <f>IFERROR(__xludf.DUMMYFUNCTION("GOOGLETRANSLATE(D8384,""PT"",""EN"")"),"Service with agility")</f>
        <v>Service with agility</v>
      </c>
    </row>
    <row r="8385" ht="14.25" customHeight="1">
      <c r="A8385" s="1">
        <v>100.0</v>
      </c>
      <c r="B8385" s="1" t="s">
        <v>5</v>
      </c>
      <c r="C8385" s="1">
        <v>10.0</v>
      </c>
      <c r="D8385" s="1" t="s">
        <v>1694</v>
      </c>
      <c r="E8385" s="1" t="str">
        <f>IFERROR(__xludf.DUMMYFUNCTION("GOOGLETRANSLATE(D8385,""PT"",""EN"")"),"Great financial institution.")</f>
        <v>Great financial institution.</v>
      </c>
    </row>
    <row r="8386" ht="14.25" customHeight="1">
      <c r="A8386" s="1">
        <v>33.0</v>
      </c>
      <c r="B8386" s="1" t="s">
        <v>1826</v>
      </c>
      <c r="C8386" s="1">
        <v>4.0</v>
      </c>
      <c r="D8386" s="2" t="s">
        <v>3858</v>
      </c>
      <c r="E8386" s="1" t="str">
        <f>IFERROR(__xludf.DUMMYFUNCTION("GOOGLETRANSLATE(D8386,""PT"",""EN"")"),"Does not negotiate with me is does not meet my needs")</f>
        <v>Does not negotiate with me is does not meet my needs</v>
      </c>
    </row>
    <row r="8387" ht="14.25" customHeight="1">
      <c r="A8387" s="1">
        <v>100.0</v>
      </c>
      <c r="B8387" s="1" t="s">
        <v>3657</v>
      </c>
      <c r="C8387" s="1">
        <v>10.0</v>
      </c>
      <c r="D8387" s="1" t="s">
        <v>3859</v>
      </c>
      <c r="E8387" s="1" t="str">
        <f>IFERROR(__xludf.DUMMYFUNCTION("GOOGLETRANSLATE(D8387,""PT"",""EN"")"),"Good relationship")</f>
        <v>Good relationship</v>
      </c>
    </row>
    <row r="8388" ht="14.25" customHeight="1">
      <c r="A8388" s="1">
        <v>100.0</v>
      </c>
      <c r="B8388" s="1" t="s">
        <v>3657</v>
      </c>
      <c r="C8388" s="1">
        <v>10.0</v>
      </c>
      <c r="D8388" s="1" t="s">
        <v>6</v>
      </c>
      <c r="E8388" s="1"/>
    </row>
    <row r="8389" ht="14.25" customHeight="1">
      <c r="A8389" s="1">
        <v>33.0</v>
      </c>
      <c r="B8389" s="1" t="s">
        <v>3657</v>
      </c>
      <c r="C8389" s="1">
        <v>3.0</v>
      </c>
      <c r="D8389" s="2" t="s">
        <v>3860</v>
      </c>
      <c r="E8389" s="1" t="str">
        <f>IFERROR(__xludf.DUMMYFUNCTION("GOOGLETRANSLATE(D8389,""PT"",""EN"")"),"The bank no longer meets customer needs. A lot of bureaucracy to get credit is attendants who do not make a point of giving return to the customer.")</f>
        <v>The bank no longer meets customer needs. A lot of bureaucracy to get credit is attendants who do not make a point of giving return to the customer.</v>
      </c>
    </row>
    <row r="8390" ht="14.25" customHeight="1">
      <c r="A8390" s="1">
        <v>100.0</v>
      </c>
      <c r="B8390" s="1" t="s">
        <v>245</v>
      </c>
      <c r="C8390" s="1">
        <v>10.0</v>
      </c>
      <c r="D8390" s="1" t="s">
        <v>6</v>
      </c>
      <c r="E8390" s="1"/>
    </row>
    <row r="8391" ht="14.25" customHeight="1">
      <c r="A8391" s="1">
        <v>66.0</v>
      </c>
      <c r="B8391" s="1" t="s">
        <v>3657</v>
      </c>
      <c r="C8391" s="1">
        <v>8.0</v>
      </c>
      <c r="D8391" s="1" t="s">
        <v>6</v>
      </c>
      <c r="E8391" s="1"/>
    </row>
    <row r="8392" ht="14.25" customHeight="1">
      <c r="A8392" s="1">
        <v>100.0</v>
      </c>
      <c r="B8392" s="1" t="s">
        <v>1691</v>
      </c>
      <c r="C8392" s="1">
        <v>10.0</v>
      </c>
      <c r="D8392" s="2" t="s">
        <v>3861</v>
      </c>
      <c r="E8392" s="1" t="str">
        <f>IFERROR(__xludf.DUMMYFUNCTION("GOOGLETRANSLATE(D8392,""PT"",""EN"")"),"Excellence and clarity in the services provided.")</f>
        <v>Excellence and clarity in the services provided.</v>
      </c>
    </row>
    <row r="8393" ht="14.25" customHeight="1">
      <c r="A8393" s="1">
        <v>100.0</v>
      </c>
      <c r="B8393" s="1" t="s">
        <v>2106</v>
      </c>
      <c r="C8393" s="1">
        <v>10.0</v>
      </c>
      <c r="D8393" s="1" t="s">
        <v>2791</v>
      </c>
      <c r="E8393" s="1" t="str">
        <f>IFERROR(__xludf.DUMMYFUNCTION("GOOGLETRANSLATE(D8393,""PT"",""EN"")"),"Quality in service.")</f>
        <v>Quality in service.</v>
      </c>
    </row>
    <row r="8394" ht="14.25" customHeight="1">
      <c r="A8394" s="1">
        <v>100.0</v>
      </c>
      <c r="B8394" s="1" t="s">
        <v>3716</v>
      </c>
      <c r="C8394" s="1">
        <v>10.0</v>
      </c>
      <c r="D8394" s="2" t="s">
        <v>3862</v>
      </c>
      <c r="E8394" s="1" t="str">
        <f>IFERROR(__xludf.DUMMYFUNCTION("GOOGLETRANSLATE(D8394,""PT"",""EN"")"),"Excellent products and care.")</f>
        <v>Excellent products and care.</v>
      </c>
    </row>
    <row r="8395" ht="14.25" customHeight="1">
      <c r="A8395" s="1">
        <v>100.0</v>
      </c>
      <c r="B8395" s="1" t="s">
        <v>3657</v>
      </c>
      <c r="C8395" s="1">
        <v>10.0</v>
      </c>
      <c r="D8395" s="1" t="s">
        <v>6</v>
      </c>
      <c r="E8395" s="1"/>
    </row>
    <row r="8396" ht="14.25" customHeight="1">
      <c r="A8396" s="1">
        <v>66.0</v>
      </c>
      <c r="B8396" s="1" t="s">
        <v>3657</v>
      </c>
      <c r="C8396" s="1">
        <v>8.0</v>
      </c>
      <c r="D8396" s="1" t="s">
        <v>6</v>
      </c>
      <c r="E8396" s="1"/>
    </row>
    <row r="8397" ht="14.25" customHeight="1">
      <c r="A8397" s="1">
        <v>100.0</v>
      </c>
      <c r="B8397" s="1" t="s">
        <v>819</v>
      </c>
      <c r="C8397" s="1">
        <v>10.0</v>
      </c>
      <c r="D8397" s="1" t="s">
        <v>6</v>
      </c>
      <c r="E8397" s="1"/>
    </row>
    <row r="8398" ht="14.25" customHeight="1">
      <c r="A8398" s="1">
        <v>33.0</v>
      </c>
      <c r="B8398" s="1" t="s">
        <v>3657</v>
      </c>
      <c r="C8398" s="1">
        <v>3.0</v>
      </c>
      <c r="D8398" s="1" t="s">
        <v>6</v>
      </c>
      <c r="E8398" s="1"/>
    </row>
    <row r="8399" ht="14.25" customHeight="1">
      <c r="A8399" s="1">
        <v>100.0</v>
      </c>
      <c r="B8399" s="1" t="s">
        <v>3657</v>
      </c>
      <c r="C8399" s="1">
        <v>10.0</v>
      </c>
      <c r="D8399" s="1" t="s">
        <v>6</v>
      </c>
      <c r="E8399" s="1"/>
    </row>
    <row r="8400" ht="14.25" customHeight="1">
      <c r="A8400" s="1">
        <v>100.0</v>
      </c>
      <c r="B8400" s="1" t="s">
        <v>3657</v>
      </c>
      <c r="C8400" s="1">
        <v>9.0</v>
      </c>
      <c r="D8400" s="1" t="s">
        <v>6</v>
      </c>
      <c r="E8400" s="1"/>
    </row>
    <row r="8401" ht="14.25" customHeight="1">
      <c r="A8401" s="1">
        <v>100.0</v>
      </c>
      <c r="B8401" s="1" t="s">
        <v>3657</v>
      </c>
      <c r="C8401" s="1">
        <v>10.0</v>
      </c>
      <c r="D8401" s="1" t="s">
        <v>6</v>
      </c>
      <c r="E8401" s="1"/>
    </row>
    <row r="8402" ht="14.25" customHeight="1">
      <c r="A8402" s="1">
        <v>100.0</v>
      </c>
      <c r="B8402" s="1" t="s">
        <v>2106</v>
      </c>
      <c r="C8402" s="1">
        <v>10.0</v>
      </c>
      <c r="D8402" s="1" t="s">
        <v>6</v>
      </c>
      <c r="E8402" s="1"/>
    </row>
    <row r="8403" ht="14.25" customHeight="1">
      <c r="A8403" s="1">
        <v>66.0</v>
      </c>
      <c r="B8403" s="1" t="s">
        <v>2106</v>
      </c>
      <c r="C8403" s="1">
        <v>7.0</v>
      </c>
      <c r="D8403" s="1" t="s">
        <v>3863</v>
      </c>
      <c r="E8403" s="1" t="str">
        <f>IFERROR(__xludf.DUMMYFUNCTION("GOOGLETRANSLATE(D8403,""PT"",""EN"")"),"Cooperatives have locks in serving the new associate that sensitize a good experience.")</f>
        <v>Cooperatives have locks in serving the new associate that sensitize a good experience.</v>
      </c>
    </row>
    <row r="8404" ht="14.25" customHeight="1">
      <c r="A8404" s="1">
        <v>33.0</v>
      </c>
      <c r="B8404" s="1" t="s">
        <v>2669</v>
      </c>
      <c r="C8404" s="1">
        <v>4.0</v>
      </c>
      <c r="D8404" s="2" t="s">
        <v>3864</v>
      </c>
      <c r="E8404" s="1" t="str">
        <f>IFERROR(__xludf.DUMMYFUNCTION("GOOGLETRANSLATE(D8404,""PT"",""EN"")"),"Do not give any opportunity to credit any")</f>
        <v>Do not give any opportunity to credit any</v>
      </c>
    </row>
    <row r="8405" ht="14.25" customHeight="1">
      <c r="A8405" s="1">
        <v>100.0</v>
      </c>
      <c r="B8405" s="1" t="s">
        <v>3657</v>
      </c>
      <c r="C8405" s="1">
        <v>9.0</v>
      </c>
      <c r="D8405" s="1" t="s">
        <v>6</v>
      </c>
      <c r="E8405" s="1"/>
    </row>
    <row r="8406" ht="14.25" customHeight="1">
      <c r="A8406" s="1">
        <v>100.0</v>
      </c>
      <c r="B8406" s="1" t="s">
        <v>1607</v>
      </c>
      <c r="C8406" s="1">
        <v>10.0</v>
      </c>
      <c r="D8406" s="1" t="s">
        <v>3865</v>
      </c>
      <c r="E8406" s="1" t="str">
        <f>IFERROR(__xludf.DUMMYFUNCTION("GOOGLETRANSLATE(D8406,""PT"",""EN"")"),"Attention with the details in the service")</f>
        <v>Attention with the details in the service</v>
      </c>
    </row>
    <row r="8407" ht="14.25" hidden="1" customHeight="1">
      <c r="A8407" s="1">
        <v>100.0</v>
      </c>
      <c r="B8407" s="1" t="s">
        <v>3657</v>
      </c>
      <c r="C8407" s="1">
        <v>10.0</v>
      </c>
      <c r="D8407" s="1" t="s">
        <v>6</v>
      </c>
      <c r="E8407" s="1"/>
    </row>
    <row r="8408" ht="14.25" hidden="1" customHeight="1">
      <c r="A8408" s="1">
        <v>100.0</v>
      </c>
      <c r="B8408" s="1" t="s">
        <v>971</v>
      </c>
      <c r="C8408" s="1">
        <v>10.0</v>
      </c>
      <c r="D8408" s="1" t="s">
        <v>6</v>
      </c>
      <c r="E8408" s="1"/>
    </row>
    <row r="8409" ht="14.25" hidden="1" customHeight="1">
      <c r="A8409" s="1">
        <v>100.0</v>
      </c>
      <c r="B8409" s="1" t="s">
        <v>3657</v>
      </c>
      <c r="C8409" s="1">
        <v>10.0</v>
      </c>
      <c r="D8409" s="1" t="s">
        <v>6</v>
      </c>
      <c r="E8409" s="1"/>
    </row>
    <row r="8410" ht="14.25" hidden="1" customHeight="1">
      <c r="A8410" s="1">
        <v>100.0</v>
      </c>
      <c r="B8410" s="1" t="s">
        <v>1049</v>
      </c>
      <c r="C8410" s="1">
        <v>10.0</v>
      </c>
      <c r="D8410" s="1" t="s">
        <v>6</v>
      </c>
      <c r="E8410" s="1"/>
    </row>
    <row r="8411" ht="14.25" hidden="1" customHeight="1">
      <c r="A8411" s="1">
        <v>100.0</v>
      </c>
      <c r="B8411" s="1" t="s">
        <v>3657</v>
      </c>
      <c r="C8411" s="1">
        <v>10.0</v>
      </c>
      <c r="D8411" s="1" t="s">
        <v>6</v>
      </c>
      <c r="E8411" s="1"/>
    </row>
    <row r="8412" ht="14.25" hidden="1" customHeight="1">
      <c r="A8412" s="1">
        <v>100.0</v>
      </c>
      <c r="B8412" s="1" t="s">
        <v>3657</v>
      </c>
      <c r="C8412" s="1">
        <v>9.0</v>
      </c>
      <c r="D8412" s="1" t="s">
        <v>87</v>
      </c>
      <c r="E8412" s="1"/>
    </row>
    <row r="8413" ht="14.25" hidden="1" customHeight="1">
      <c r="A8413" s="1">
        <v>100.0</v>
      </c>
      <c r="B8413" s="1" t="s">
        <v>3657</v>
      </c>
      <c r="C8413" s="1">
        <v>10.0</v>
      </c>
      <c r="D8413" s="1" t="s">
        <v>6</v>
      </c>
      <c r="E8413" s="1"/>
    </row>
    <row r="8414" ht="14.25" hidden="1" customHeight="1">
      <c r="A8414" s="1">
        <v>100.0</v>
      </c>
      <c r="B8414" s="1" t="s">
        <v>1049</v>
      </c>
      <c r="C8414" s="1">
        <v>10.0</v>
      </c>
      <c r="D8414" s="1" t="s">
        <v>3866</v>
      </c>
      <c r="E8414" s="1"/>
    </row>
    <row r="8415" ht="14.25" hidden="1" customHeight="1">
      <c r="A8415" s="1">
        <v>100.0</v>
      </c>
      <c r="B8415" s="1" t="s">
        <v>1049</v>
      </c>
      <c r="C8415" s="1">
        <v>10.0</v>
      </c>
      <c r="D8415" s="1" t="s">
        <v>6</v>
      </c>
      <c r="E8415" s="1"/>
    </row>
    <row r="8416" ht="14.25" hidden="1" customHeight="1">
      <c r="A8416" s="1">
        <v>66.0</v>
      </c>
      <c r="B8416" s="1" t="s">
        <v>3657</v>
      </c>
      <c r="C8416" s="1">
        <v>7.0</v>
      </c>
      <c r="D8416" s="1" t="s">
        <v>6</v>
      </c>
      <c r="E8416" s="1"/>
    </row>
    <row r="8417" ht="14.25" hidden="1" customHeight="1">
      <c r="A8417" s="1">
        <v>100.0</v>
      </c>
      <c r="B8417" s="1" t="s">
        <v>3657</v>
      </c>
      <c r="C8417" s="1">
        <v>10.0</v>
      </c>
      <c r="D8417" s="2" t="s">
        <v>3867</v>
      </c>
      <c r="E8417" s="1"/>
    </row>
    <row r="8418" ht="14.25" hidden="1" customHeight="1">
      <c r="A8418" s="1">
        <v>100.0</v>
      </c>
      <c r="B8418" s="1" t="s">
        <v>1049</v>
      </c>
      <c r="C8418" s="1">
        <v>10.0</v>
      </c>
      <c r="D8418" s="2" t="s">
        <v>3868</v>
      </c>
      <c r="E8418" s="1"/>
    </row>
    <row r="8419" ht="14.25" hidden="1" customHeight="1">
      <c r="A8419" s="1">
        <v>33.0</v>
      </c>
      <c r="B8419" s="1" t="s">
        <v>3657</v>
      </c>
      <c r="C8419" s="1">
        <v>4.0</v>
      </c>
      <c r="D8419" s="1" t="s">
        <v>3869</v>
      </c>
      <c r="E8419" s="1"/>
    </row>
    <row r="8420" ht="14.25" hidden="1" customHeight="1">
      <c r="A8420" s="1">
        <v>100.0</v>
      </c>
      <c r="B8420" s="1" t="s">
        <v>1049</v>
      </c>
      <c r="C8420" s="1">
        <v>10.0</v>
      </c>
      <c r="D8420" s="2" t="s">
        <v>3870</v>
      </c>
      <c r="E8420" s="1"/>
    </row>
    <row r="8421" ht="14.25" hidden="1" customHeight="1">
      <c r="A8421" s="1">
        <v>100.0</v>
      </c>
      <c r="B8421" s="1" t="s">
        <v>1049</v>
      </c>
      <c r="C8421" s="1">
        <v>10.0</v>
      </c>
      <c r="D8421" s="2" t="s">
        <v>3871</v>
      </c>
      <c r="E8421" s="1"/>
    </row>
    <row r="8422" ht="14.25" hidden="1" customHeight="1">
      <c r="A8422" s="1">
        <v>66.0</v>
      </c>
      <c r="B8422" s="1" t="s">
        <v>3657</v>
      </c>
      <c r="C8422" s="1">
        <v>7.0</v>
      </c>
      <c r="D8422" s="1" t="s">
        <v>6</v>
      </c>
      <c r="E8422" s="1"/>
    </row>
    <row r="8423" ht="14.25" hidden="1" customHeight="1">
      <c r="A8423" s="1">
        <v>100.0</v>
      </c>
      <c r="B8423" s="1" t="s">
        <v>1340</v>
      </c>
      <c r="C8423" s="1">
        <v>10.0</v>
      </c>
      <c r="D8423" s="1" t="s">
        <v>3872</v>
      </c>
      <c r="E8423" s="1"/>
    </row>
    <row r="8424" ht="14.25" hidden="1" customHeight="1">
      <c r="A8424" s="1">
        <v>66.0</v>
      </c>
      <c r="B8424" s="1" t="s">
        <v>3657</v>
      </c>
      <c r="C8424" s="1">
        <v>8.0</v>
      </c>
      <c r="D8424" s="1" t="s">
        <v>3873</v>
      </c>
      <c r="E8424" s="1"/>
    </row>
    <row r="8425" ht="14.25" hidden="1" customHeight="1">
      <c r="A8425" s="1">
        <v>100.0</v>
      </c>
      <c r="B8425" s="1" t="s">
        <v>1340</v>
      </c>
      <c r="C8425" s="1">
        <v>9.0</v>
      </c>
      <c r="D8425" s="1" t="s">
        <v>6</v>
      </c>
      <c r="E8425" s="1"/>
    </row>
    <row r="8426" ht="14.25" hidden="1" customHeight="1">
      <c r="A8426" s="1">
        <v>100.0</v>
      </c>
      <c r="B8426" s="1" t="s">
        <v>3657</v>
      </c>
      <c r="C8426" s="1">
        <v>10.0</v>
      </c>
      <c r="D8426" s="1" t="s">
        <v>6</v>
      </c>
      <c r="E8426" s="1"/>
    </row>
    <row r="8427" ht="14.25" hidden="1" customHeight="1">
      <c r="A8427" s="1">
        <v>33.0</v>
      </c>
      <c r="B8427" s="1" t="s">
        <v>2412</v>
      </c>
      <c r="C8427" s="1">
        <v>2.0</v>
      </c>
      <c r="D8427" s="1" t="s">
        <v>6</v>
      </c>
      <c r="E8427" s="1"/>
    </row>
    <row r="8428" ht="14.25" hidden="1" customHeight="1">
      <c r="A8428" s="1">
        <v>66.0</v>
      </c>
      <c r="B8428" s="1" t="s">
        <v>2106</v>
      </c>
      <c r="C8428" s="1">
        <v>7.0</v>
      </c>
      <c r="D8428" s="1" t="s">
        <v>3874</v>
      </c>
      <c r="E8428" s="1"/>
    </row>
    <row r="8429" ht="14.25" hidden="1" customHeight="1">
      <c r="A8429" s="1">
        <v>100.0</v>
      </c>
      <c r="B8429" s="1" t="s">
        <v>3657</v>
      </c>
      <c r="C8429" s="1">
        <v>10.0</v>
      </c>
      <c r="D8429" s="1" t="s">
        <v>6</v>
      </c>
      <c r="E8429" s="1"/>
    </row>
    <row r="8430" ht="14.25" hidden="1" customHeight="1">
      <c r="A8430" s="1">
        <v>100.0</v>
      </c>
      <c r="B8430" s="1" t="s">
        <v>1049</v>
      </c>
      <c r="C8430" s="1">
        <v>10.0</v>
      </c>
      <c r="D8430" s="1" t="s">
        <v>3360</v>
      </c>
      <c r="E8430" s="1"/>
    </row>
    <row r="8431" ht="14.25" hidden="1" customHeight="1">
      <c r="A8431" s="1">
        <v>100.0</v>
      </c>
      <c r="B8431" s="1" t="s">
        <v>819</v>
      </c>
      <c r="C8431" s="1">
        <v>9.0</v>
      </c>
      <c r="D8431" s="1" t="s">
        <v>6</v>
      </c>
      <c r="E8431" s="1"/>
    </row>
    <row r="8432" ht="14.25" hidden="1" customHeight="1">
      <c r="A8432" s="1">
        <v>100.0</v>
      </c>
      <c r="B8432" s="1" t="s">
        <v>3657</v>
      </c>
      <c r="C8432" s="1">
        <v>10.0</v>
      </c>
      <c r="D8432" s="1" t="s">
        <v>85</v>
      </c>
      <c r="E8432" s="1"/>
    </row>
    <row r="8433" ht="14.25" hidden="1" customHeight="1">
      <c r="A8433" s="1">
        <v>33.0</v>
      </c>
      <c r="B8433" s="1" t="s">
        <v>245</v>
      </c>
      <c r="C8433" s="1">
        <v>4.0</v>
      </c>
      <c r="D8433" s="1" t="s">
        <v>6</v>
      </c>
      <c r="E8433" s="1"/>
    </row>
    <row r="8434" ht="14.25" hidden="1" customHeight="1">
      <c r="A8434" s="1">
        <v>100.0</v>
      </c>
      <c r="B8434" s="1" t="s">
        <v>819</v>
      </c>
      <c r="C8434" s="1">
        <v>9.0</v>
      </c>
      <c r="D8434" s="1" t="s">
        <v>3875</v>
      </c>
      <c r="E8434" s="1"/>
    </row>
    <row r="8435" ht="14.25" hidden="1" customHeight="1">
      <c r="A8435" s="1">
        <v>100.0</v>
      </c>
      <c r="B8435" s="1" t="s">
        <v>3657</v>
      </c>
      <c r="C8435" s="1">
        <v>10.0</v>
      </c>
      <c r="D8435" s="1" t="s">
        <v>3876</v>
      </c>
      <c r="E8435" s="1"/>
    </row>
    <row r="8436" ht="14.25" hidden="1" customHeight="1">
      <c r="A8436" s="1">
        <v>66.0</v>
      </c>
      <c r="B8436" s="1" t="s">
        <v>3657</v>
      </c>
      <c r="C8436" s="1">
        <v>8.0</v>
      </c>
      <c r="D8436" s="1" t="s">
        <v>6</v>
      </c>
      <c r="E8436" s="1"/>
    </row>
    <row r="8437" ht="14.25" hidden="1" customHeight="1">
      <c r="A8437" s="1">
        <v>100.0</v>
      </c>
      <c r="B8437" s="1" t="s">
        <v>3657</v>
      </c>
      <c r="C8437" s="1">
        <v>10.0</v>
      </c>
      <c r="D8437" s="1" t="s">
        <v>6</v>
      </c>
      <c r="E8437" s="1"/>
    </row>
    <row r="8438" ht="14.25" hidden="1" customHeight="1">
      <c r="A8438" s="1">
        <v>100.0</v>
      </c>
      <c r="B8438" s="1" t="s">
        <v>2106</v>
      </c>
      <c r="C8438" s="1">
        <v>10.0</v>
      </c>
      <c r="D8438" s="1" t="s">
        <v>6</v>
      </c>
      <c r="E8438" s="1"/>
    </row>
    <row r="8439" ht="14.25" hidden="1" customHeight="1">
      <c r="A8439" s="1">
        <v>100.0</v>
      </c>
      <c r="B8439" s="1" t="s">
        <v>3672</v>
      </c>
      <c r="C8439" s="1">
        <v>10.0</v>
      </c>
      <c r="D8439" s="2" t="s">
        <v>3877</v>
      </c>
      <c r="E8439" s="1"/>
    </row>
    <row r="8440" ht="14.25" hidden="1" customHeight="1">
      <c r="A8440" s="1">
        <v>100.0</v>
      </c>
      <c r="B8440" s="1" t="s">
        <v>3657</v>
      </c>
      <c r="C8440" s="1">
        <v>10.0</v>
      </c>
      <c r="D8440" s="1" t="s">
        <v>6</v>
      </c>
      <c r="E8440" s="1"/>
    </row>
    <row r="8441" ht="14.25" hidden="1" customHeight="1">
      <c r="A8441" s="1">
        <v>100.0</v>
      </c>
      <c r="B8441" s="1" t="s">
        <v>3657</v>
      </c>
      <c r="C8441" s="1">
        <v>10.0</v>
      </c>
      <c r="D8441" s="1" t="s">
        <v>6</v>
      </c>
      <c r="E8441" s="1"/>
    </row>
    <row r="8442" ht="14.25" hidden="1" customHeight="1">
      <c r="A8442" s="1">
        <v>100.0</v>
      </c>
      <c r="B8442" s="1" t="s">
        <v>3423</v>
      </c>
      <c r="C8442" s="1">
        <v>10.0</v>
      </c>
      <c r="D8442" s="1" t="s">
        <v>3878</v>
      </c>
      <c r="E8442" s="1"/>
    </row>
    <row r="8443" ht="14.25" hidden="1" customHeight="1">
      <c r="A8443" s="1">
        <v>100.0</v>
      </c>
      <c r="B8443" s="1" t="s">
        <v>3657</v>
      </c>
      <c r="C8443" s="1">
        <v>10.0</v>
      </c>
      <c r="D8443" s="1" t="s">
        <v>6</v>
      </c>
      <c r="E8443" s="1"/>
    </row>
    <row r="8444" ht="14.25" hidden="1" customHeight="1">
      <c r="A8444" s="1">
        <v>100.0</v>
      </c>
      <c r="B8444" s="1" t="s">
        <v>5</v>
      </c>
      <c r="C8444" s="1">
        <v>10.0</v>
      </c>
      <c r="D8444" s="2" t="s">
        <v>3879</v>
      </c>
      <c r="E8444" s="1"/>
    </row>
    <row r="8445" ht="14.25" hidden="1" customHeight="1">
      <c r="A8445" s="1">
        <v>100.0</v>
      </c>
      <c r="B8445" s="1" t="s">
        <v>3672</v>
      </c>
      <c r="C8445" s="1">
        <v>10.0</v>
      </c>
      <c r="D8445" s="1" t="s">
        <v>3880</v>
      </c>
      <c r="E8445" s="1"/>
    </row>
    <row r="8446" ht="14.25" hidden="1" customHeight="1">
      <c r="A8446" s="1">
        <v>100.0</v>
      </c>
      <c r="B8446" s="1" t="s">
        <v>3657</v>
      </c>
      <c r="C8446" s="1">
        <v>10.0</v>
      </c>
      <c r="D8446" s="2" t="s">
        <v>3881</v>
      </c>
      <c r="E8446" s="1"/>
    </row>
    <row r="8447" ht="14.25" hidden="1" customHeight="1">
      <c r="A8447" s="1">
        <v>100.0</v>
      </c>
      <c r="B8447" s="1" t="s">
        <v>1049</v>
      </c>
      <c r="C8447" s="1">
        <v>10.0</v>
      </c>
      <c r="D8447" s="1" t="s">
        <v>6</v>
      </c>
      <c r="E8447" s="1"/>
    </row>
    <row r="8448" ht="14.25" hidden="1" customHeight="1">
      <c r="A8448" s="1">
        <v>100.0</v>
      </c>
      <c r="B8448" s="1" t="s">
        <v>3657</v>
      </c>
      <c r="C8448" s="1">
        <v>10.0</v>
      </c>
      <c r="D8448" s="1" t="s">
        <v>3882</v>
      </c>
      <c r="E8448" s="1"/>
    </row>
    <row r="8449" ht="14.25" hidden="1" customHeight="1">
      <c r="A8449" s="1">
        <v>100.0</v>
      </c>
      <c r="B8449" s="1" t="s">
        <v>1049</v>
      </c>
      <c r="C8449" s="1">
        <v>10.0</v>
      </c>
      <c r="D8449" s="2" t="s">
        <v>3883</v>
      </c>
      <c r="E8449" s="1"/>
    </row>
    <row r="8450" ht="14.25" hidden="1" customHeight="1">
      <c r="A8450" s="1">
        <v>100.0</v>
      </c>
      <c r="B8450" s="1" t="s">
        <v>3657</v>
      </c>
      <c r="C8450" s="1">
        <v>10.0</v>
      </c>
      <c r="D8450" s="2" t="s">
        <v>3884</v>
      </c>
      <c r="E8450" s="1"/>
    </row>
    <row r="8451" ht="14.25" hidden="1" customHeight="1">
      <c r="A8451" s="1">
        <v>66.0</v>
      </c>
      <c r="B8451" s="1" t="s">
        <v>2106</v>
      </c>
      <c r="C8451" s="1">
        <v>8.0</v>
      </c>
      <c r="D8451" s="1" t="s">
        <v>3885</v>
      </c>
      <c r="E8451" s="1"/>
    </row>
    <row r="8452" ht="14.25" hidden="1" customHeight="1">
      <c r="A8452" s="1">
        <v>66.0</v>
      </c>
      <c r="B8452" s="1" t="s">
        <v>1691</v>
      </c>
      <c r="C8452" s="1">
        <v>7.0</v>
      </c>
      <c r="D8452" s="1" t="s">
        <v>6</v>
      </c>
      <c r="E8452" s="1"/>
    </row>
    <row r="8453" ht="14.25" hidden="1" customHeight="1">
      <c r="A8453" s="1">
        <v>100.0</v>
      </c>
      <c r="B8453" s="1" t="s">
        <v>2106</v>
      </c>
      <c r="C8453" s="1">
        <v>9.0</v>
      </c>
      <c r="D8453" s="1" t="s">
        <v>6</v>
      </c>
      <c r="E8453" s="1"/>
    </row>
    <row r="8454" ht="14.25" hidden="1" customHeight="1">
      <c r="A8454" s="1">
        <v>100.0</v>
      </c>
      <c r="B8454" s="1" t="s">
        <v>1691</v>
      </c>
      <c r="C8454" s="1">
        <v>9.0</v>
      </c>
      <c r="D8454" s="1" t="s">
        <v>6</v>
      </c>
      <c r="E8454" s="1"/>
    </row>
    <row r="8455" ht="14.25" hidden="1" customHeight="1">
      <c r="A8455" s="1">
        <v>66.0</v>
      </c>
      <c r="B8455" s="1" t="s">
        <v>3657</v>
      </c>
      <c r="C8455" s="1">
        <v>8.0</v>
      </c>
      <c r="D8455" s="1" t="s">
        <v>6</v>
      </c>
      <c r="E8455" s="1"/>
    </row>
    <row r="8456" ht="14.25" hidden="1" customHeight="1">
      <c r="A8456" s="1">
        <v>33.0</v>
      </c>
      <c r="B8456" s="1" t="s">
        <v>245</v>
      </c>
      <c r="C8456" s="1">
        <v>3.0</v>
      </c>
      <c r="D8456" s="2" t="s">
        <v>3886</v>
      </c>
      <c r="E8456" s="1"/>
    </row>
    <row r="8457" ht="14.25" hidden="1" customHeight="1">
      <c r="A8457" s="1">
        <v>66.0</v>
      </c>
      <c r="B8457" s="1" t="s">
        <v>157</v>
      </c>
      <c r="C8457" s="1">
        <v>7.0</v>
      </c>
      <c r="D8457" s="1" t="s">
        <v>6</v>
      </c>
      <c r="E8457" s="1"/>
    </row>
    <row r="8458" ht="14.25" hidden="1" customHeight="1">
      <c r="A8458" s="1">
        <v>100.0</v>
      </c>
      <c r="B8458" s="1" t="s">
        <v>3657</v>
      </c>
      <c r="C8458" s="1">
        <v>10.0</v>
      </c>
      <c r="D8458" s="1" t="s">
        <v>20</v>
      </c>
      <c r="E8458" s="1"/>
    </row>
    <row r="8459" ht="14.25" hidden="1" customHeight="1">
      <c r="A8459" s="1">
        <v>100.0</v>
      </c>
      <c r="B8459" s="1" t="s">
        <v>245</v>
      </c>
      <c r="C8459" s="1">
        <v>10.0</v>
      </c>
      <c r="D8459" s="1" t="s">
        <v>6</v>
      </c>
      <c r="E8459" s="1"/>
    </row>
    <row r="8460" ht="14.25" hidden="1" customHeight="1">
      <c r="A8460" s="1">
        <v>100.0</v>
      </c>
      <c r="B8460" s="1" t="s">
        <v>687</v>
      </c>
      <c r="C8460" s="1">
        <v>10.0</v>
      </c>
      <c r="D8460" s="2" t="s">
        <v>3887</v>
      </c>
      <c r="E8460" s="1"/>
    </row>
    <row r="8461" ht="14.25" hidden="1" customHeight="1">
      <c r="A8461" s="1">
        <v>100.0</v>
      </c>
      <c r="B8461" s="1" t="s">
        <v>3657</v>
      </c>
      <c r="C8461" s="1">
        <v>10.0</v>
      </c>
      <c r="D8461" s="1" t="s">
        <v>342</v>
      </c>
      <c r="E8461" s="1"/>
    </row>
    <row r="8462" ht="14.25" hidden="1" customHeight="1">
      <c r="A8462" s="1">
        <v>100.0</v>
      </c>
      <c r="B8462" s="1" t="s">
        <v>2669</v>
      </c>
      <c r="C8462" s="1">
        <v>9.0</v>
      </c>
      <c r="D8462" s="1" t="s">
        <v>6</v>
      </c>
      <c r="E8462" s="1"/>
    </row>
    <row r="8463" ht="14.25" hidden="1" customHeight="1">
      <c r="A8463" s="1">
        <v>100.0</v>
      </c>
      <c r="B8463" s="1" t="s">
        <v>3657</v>
      </c>
      <c r="C8463" s="1">
        <v>10.0</v>
      </c>
      <c r="D8463" s="1" t="s">
        <v>6</v>
      </c>
      <c r="E8463" s="1"/>
    </row>
    <row r="8464" ht="14.25" hidden="1" customHeight="1">
      <c r="A8464" s="1">
        <v>100.0</v>
      </c>
      <c r="B8464" s="1" t="s">
        <v>5</v>
      </c>
      <c r="C8464" s="1">
        <v>9.0</v>
      </c>
      <c r="D8464" s="2" t="s">
        <v>3888</v>
      </c>
      <c r="E8464" s="1"/>
    </row>
    <row r="8465" ht="14.25" hidden="1" customHeight="1">
      <c r="A8465" s="1">
        <v>100.0</v>
      </c>
      <c r="B8465" s="1" t="s">
        <v>3657</v>
      </c>
      <c r="C8465" s="1">
        <v>10.0</v>
      </c>
      <c r="D8465" s="1" t="s">
        <v>6</v>
      </c>
      <c r="E8465" s="1"/>
    </row>
    <row r="8466" ht="14.25" hidden="1" customHeight="1">
      <c r="A8466" s="1">
        <v>100.0</v>
      </c>
      <c r="B8466" s="1" t="s">
        <v>1826</v>
      </c>
      <c r="C8466" s="1">
        <v>10.0</v>
      </c>
      <c r="D8466" s="1" t="s">
        <v>3889</v>
      </c>
      <c r="E8466" s="1"/>
    </row>
    <row r="8467" ht="14.25" hidden="1" customHeight="1">
      <c r="A8467" s="1">
        <v>100.0</v>
      </c>
      <c r="B8467" s="1" t="s">
        <v>1691</v>
      </c>
      <c r="C8467" s="1">
        <v>10.0</v>
      </c>
      <c r="D8467" s="1" t="s">
        <v>346</v>
      </c>
      <c r="E8467" s="1"/>
    </row>
    <row r="8468" ht="14.25" hidden="1" customHeight="1">
      <c r="A8468" s="1">
        <v>33.0</v>
      </c>
      <c r="B8468" s="1" t="s">
        <v>3672</v>
      </c>
      <c r="C8468" s="1">
        <v>0.0</v>
      </c>
      <c r="D8468" s="2" t="s">
        <v>3890</v>
      </c>
      <c r="E8468" s="1"/>
    </row>
    <row r="8469" ht="14.25" hidden="1" customHeight="1">
      <c r="A8469" s="1">
        <v>100.0</v>
      </c>
      <c r="B8469" s="1" t="s">
        <v>1049</v>
      </c>
      <c r="C8469" s="1">
        <v>10.0</v>
      </c>
      <c r="D8469" s="1" t="s">
        <v>6</v>
      </c>
      <c r="E8469" s="1"/>
    </row>
    <row r="8470" ht="14.25" hidden="1" customHeight="1">
      <c r="A8470" s="1">
        <v>100.0</v>
      </c>
      <c r="B8470" s="1" t="s">
        <v>2412</v>
      </c>
      <c r="C8470" s="1">
        <v>10.0</v>
      </c>
      <c r="D8470" s="1" t="s">
        <v>3891</v>
      </c>
      <c r="E8470" s="1"/>
    </row>
    <row r="8471" ht="14.25" hidden="1" customHeight="1">
      <c r="A8471" s="1">
        <v>33.0</v>
      </c>
      <c r="B8471" s="1" t="s">
        <v>2669</v>
      </c>
      <c r="C8471" s="1">
        <v>6.0</v>
      </c>
      <c r="D8471" s="1" t="s">
        <v>6</v>
      </c>
      <c r="E8471" s="1"/>
    </row>
    <row r="8472" ht="14.25" hidden="1" customHeight="1">
      <c r="A8472" s="1">
        <v>100.0</v>
      </c>
      <c r="B8472" s="1" t="s">
        <v>3657</v>
      </c>
      <c r="C8472" s="1">
        <v>10.0</v>
      </c>
      <c r="D8472" s="1" t="s">
        <v>97</v>
      </c>
      <c r="E8472" s="1"/>
    </row>
    <row r="8473" ht="14.25" hidden="1" customHeight="1">
      <c r="A8473" s="1">
        <v>33.0</v>
      </c>
      <c r="B8473" s="1" t="s">
        <v>2106</v>
      </c>
      <c r="C8473" s="1">
        <v>5.0</v>
      </c>
      <c r="D8473" s="2" t="s">
        <v>3892</v>
      </c>
      <c r="E8473" s="1"/>
    </row>
    <row r="8474" ht="14.25" hidden="1" customHeight="1">
      <c r="A8474" s="1">
        <v>66.0</v>
      </c>
      <c r="B8474" s="1" t="s">
        <v>3657</v>
      </c>
      <c r="C8474" s="1">
        <v>8.0</v>
      </c>
      <c r="D8474" s="1" t="s">
        <v>803</v>
      </c>
      <c r="E8474" s="1"/>
    </row>
    <row r="8475" ht="14.25" hidden="1" customHeight="1">
      <c r="A8475" s="1">
        <v>100.0</v>
      </c>
      <c r="B8475" s="1" t="s">
        <v>3657</v>
      </c>
      <c r="C8475" s="1">
        <v>10.0</v>
      </c>
      <c r="D8475" s="1" t="s">
        <v>3893</v>
      </c>
      <c r="E8475" s="1"/>
    </row>
    <row r="8476" ht="14.25" hidden="1" customHeight="1">
      <c r="A8476" s="1">
        <v>100.0</v>
      </c>
      <c r="B8476" s="1" t="s">
        <v>1691</v>
      </c>
      <c r="C8476" s="1">
        <v>10.0</v>
      </c>
      <c r="D8476" s="1" t="s">
        <v>6</v>
      </c>
      <c r="E8476" s="1"/>
    </row>
    <row r="8477" ht="14.25" hidden="1" customHeight="1">
      <c r="A8477" s="1">
        <v>100.0</v>
      </c>
      <c r="B8477" s="1" t="s">
        <v>1049</v>
      </c>
      <c r="C8477" s="1">
        <v>10.0</v>
      </c>
      <c r="D8477" s="1" t="s">
        <v>3894</v>
      </c>
      <c r="E8477" s="1"/>
    </row>
    <row r="8478" ht="14.25" hidden="1" customHeight="1">
      <c r="A8478" s="1">
        <v>100.0</v>
      </c>
      <c r="B8478" s="1" t="s">
        <v>3657</v>
      </c>
      <c r="C8478" s="1">
        <v>10.0</v>
      </c>
      <c r="D8478" s="1" t="s">
        <v>6</v>
      </c>
      <c r="E8478" s="1"/>
    </row>
    <row r="8479" ht="14.25" hidden="1" customHeight="1">
      <c r="A8479" s="1">
        <v>100.0</v>
      </c>
      <c r="B8479" s="1" t="s">
        <v>3672</v>
      </c>
      <c r="C8479" s="1">
        <v>9.0</v>
      </c>
      <c r="D8479" s="1" t="s">
        <v>6</v>
      </c>
      <c r="E8479" s="1"/>
    </row>
    <row r="8480" ht="14.25" hidden="1" customHeight="1">
      <c r="A8480" s="1">
        <v>100.0</v>
      </c>
      <c r="B8480" s="1" t="s">
        <v>1049</v>
      </c>
      <c r="C8480" s="1">
        <v>10.0</v>
      </c>
      <c r="D8480" s="1" t="s">
        <v>626</v>
      </c>
      <c r="E8480" s="1"/>
    </row>
    <row r="8481" ht="14.25" hidden="1" customHeight="1">
      <c r="A8481" s="1">
        <v>66.0</v>
      </c>
      <c r="B8481" s="1" t="s">
        <v>245</v>
      </c>
      <c r="C8481" s="1">
        <v>8.0</v>
      </c>
      <c r="D8481" s="1" t="s">
        <v>6</v>
      </c>
      <c r="E8481" s="1"/>
    </row>
    <row r="8482" ht="14.25" hidden="1" customHeight="1">
      <c r="A8482" s="1">
        <v>100.0</v>
      </c>
      <c r="B8482" s="1" t="s">
        <v>1340</v>
      </c>
      <c r="C8482" s="1">
        <v>10.0</v>
      </c>
      <c r="D8482" s="1" t="s">
        <v>6</v>
      </c>
      <c r="E8482" s="1"/>
    </row>
    <row r="8483" ht="14.25" hidden="1" customHeight="1">
      <c r="A8483" s="1">
        <v>100.0</v>
      </c>
      <c r="B8483" s="1" t="s">
        <v>3657</v>
      </c>
      <c r="C8483" s="1">
        <v>10.0</v>
      </c>
      <c r="D8483" s="1" t="s">
        <v>6</v>
      </c>
      <c r="E8483" s="1"/>
    </row>
    <row r="8484" ht="14.25" hidden="1" customHeight="1">
      <c r="A8484" s="1">
        <v>100.0</v>
      </c>
      <c r="B8484" s="1" t="s">
        <v>1340</v>
      </c>
      <c r="C8484" s="1">
        <v>10.0</v>
      </c>
      <c r="D8484" s="1" t="s">
        <v>3895</v>
      </c>
      <c r="E8484" s="1"/>
    </row>
    <row r="8485" ht="14.25" hidden="1" customHeight="1">
      <c r="A8485" s="1">
        <v>100.0</v>
      </c>
      <c r="B8485" s="1" t="s">
        <v>1049</v>
      </c>
      <c r="C8485" s="1">
        <v>9.0</v>
      </c>
      <c r="D8485" s="1" t="s">
        <v>6</v>
      </c>
      <c r="E8485" s="1"/>
    </row>
    <row r="8486" ht="14.25" hidden="1" customHeight="1">
      <c r="A8486" s="1">
        <v>100.0</v>
      </c>
      <c r="B8486" s="1" t="s">
        <v>245</v>
      </c>
      <c r="C8486" s="1">
        <v>9.0</v>
      </c>
      <c r="D8486" s="1" t="s">
        <v>1273</v>
      </c>
      <c r="E8486" s="1"/>
    </row>
    <row r="8487" ht="14.25" hidden="1" customHeight="1">
      <c r="A8487" s="1">
        <v>100.0</v>
      </c>
      <c r="B8487" s="1" t="s">
        <v>157</v>
      </c>
      <c r="C8487" s="1">
        <v>10.0</v>
      </c>
      <c r="D8487" s="1" t="s">
        <v>6</v>
      </c>
      <c r="E8487" s="1"/>
    </row>
    <row r="8488" ht="14.25" hidden="1" customHeight="1">
      <c r="A8488" s="1">
        <v>100.0</v>
      </c>
      <c r="B8488" s="1" t="s">
        <v>1826</v>
      </c>
      <c r="C8488" s="1">
        <v>10.0</v>
      </c>
      <c r="D8488" s="1" t="s">
        <v>3896</v>
      </c>
      <c r="E8488" s="1"/>
    </row>
    <row r="8489" ht="14.25" hidden="1" customHeight="1">
      <c r="A8489" s="1">
        <v>100.0</v>
      </c>
      <c r="B8489" s="1" t="s">
        <v>5</v>
      </c>
      <c r="C8489" s="1">
        <v>10.0</v>
      </c>
      <c r="D8489" s="1" t="s">
        <v>18</v>
      </c>
      <c r="E8489" s="1"/>
    </row>
    <row r="8490" ht="14.25" hidden="1" customHeight="1">
      <c r="A8490" s="1">
        <v>33.0</v>
      </c>
      <c r="B8490" s="1" t="s">
        <v>3657</v>
      </c>
      <c r="C8490" s="1">
        <v>5.0</v>
      </c>
      <c r="D8490" s="2" t="s">
        <v>3897</v>
      </c>
      <c r="E8490" s="1"/>
    </row>
    <row r="8491" ht="14.25" hidden="1" customHeight="1">
      <c r="A8491" s="1">
        <v>100.0</v>
      </c>
      <c r="B8491" s="1" t="s">
        <v>157</v>
      </c>
      <c r="C8491" s="1">
        <v>10.0</v>
      </c>
      <c r="D8491" s="1" t="s">
        <v>6</v>
      </c>
      <c r="E8491" s="1"/>
    </row>
    <row r="8492" ht="14.25" hidden="1" customHeight="1">
      <c r="A8492" s="1">
        <v>100.0</v>
      </c>
      <c r="B8492" s="1" t="s">
        <v>3657</v>
      </c>
      <c r="C8492" s="1">
        <v>10.0</v>
      </c>
      <c r="D8492" s="1" t="s">
        <v>6</v>
      </c>
      <c r="E8492" s="1"/>
    </row>
    <row r="8493" ht="14.25" hidden="1" customHeight="1">
      <c r="A8493" s="1">
        <v>100.0</v>
      </c>
      <c r="B8493" s="1" t="s">
        <v>2412</v>
      </c>
      <c r="C8493" s="1">
        <v>10.0</v>
      </c>
      <c r="D8493" s="1" t="s">
        <v>6</v>
      </c>
      <c r="E8493" s="1"/>
    </row>
    <row r="8494" ht="14.25" hidden="1" customHeight="1">
      <c r="A8494" s="1">
        <v>100.0</v>
      </c>
      <c r="B8494" s="1" t="s">
        <v>1340</v>
      </c>
      <c r="C8494" s="1">
        <v>10.0</v>
      </c>
      <c r="D8494" s="1" t="s">
        <v>6</v>
      </c>
      <c r="E8494" s="1"/>
    </row>
    <row r="8495" ht="14.25" hidden="1" customHeight="1">
      <c r="A8495" s="1">
        <v>100.0</v>
      </c>
      <c r="B8495" s="1" t="s">
        <v>1691</v>
      </c>
      <c r="C8495" s="1">
        <v>10.0</v>
      </c>
      <c r="D8495" s="1" t="s">
        <v>352</v>
      </c>
      <c r="E8495" s="1"/>
    </row>
    <row r="8496" ht="14.25" hidden="1" customHeight="1">
      <c r="A8496" s="1">
        <v>33.0</v>
      </c>
      <c r="B8496" s="1" t="s">
        <v>1826</v>
      </c>
      <c r="C8496" s="1">
        <v>2.0</v>
      </c>
      <c r="D8496" s="1" t="s">
        <v>3898</v>
      </c>
      <c r="E8496" s="1"/>
    </row>
    <row r="8497" ht="14.25" hidden="1" customHeight="1">
      <c r="A8497" s="1">
        <v>100.0</v>
      </c>
      <c r="B8497" s="1" t="s">
        <v>3672</v>
      </c>
      <c r="C8497" s="1">
        <v>10.0</v>
      </c>
      <c r="D8497" s="1" t="s">
        <v>3899</v>
      </c>
      <c r="E8497" s="1"/>
    </row>
    <row r="8498" ht="14.25" hidden="1" customHeight="1">
      <c r="A8498" s="1">
        <v>100.0</v>
      </c>
      <c r="B8498" s="1" t="s">
        <v>245</v>
      </c>
      <c r="C8498" s="1">
        <v>10.0</v>
      </c>
      <c r="D8498" s="1" t="s">
        <v>1023</v>
      </c>
      <c r="E8498" s="1"/>
    </row>
    <row r="8499" ht="14.25" hidden="1" customHeight="1">
      <c r="A8499" s="1">
        <v>100.0</v>
      </c>
      <c r="B8499" s="1" t="s">
        <v>1245</v>
      </c>
      <c r="C8499" s="1">
        <v>10.0</v>
      </c>
      <c r="D8499" s="2" t="s">
        <v>3900</v>
      </c>
      <c r="E8499" s="1"/>
    </row>
    <row r="8500" ht="14.25" hidden="1" customHeight="1">
      <c r="A8500" s="1">
        <v>100.0</v>
      </c>
      <c r="B8500" s="1" t="s">
        <v>1666</v>
      </c>
      <c r="C8500" s="1">
        <v>10.0</v>
      </c>
      <c r="D8500" s="2" t="s">
        <v>3901</v>
      </c>
      <c r="E8500" s="1"/>
    </row>
    <row r="8501" ht="14.25" hidden="1" customHeight="1">
      <c r="A8501" s="1">
        <v>100.0</v>
      </c>
      <c r="B8501" s="1" t="s">
        <v>1049</v>
      </c>
      <c r="C8501" s="1">
        <v>10.0</v>
      </c>
      <c r="D8501" s="1" t="s">
        <v>85</v>
      </c>
      <c r="E8501" s="1"/>
    </row>
    <row r="8502" ht="14.25" hidden="1" customHeight="1">
      <c r="A8502" s="1">
        <v>100.0</v>
      </c>
      <c r="B8502" s="1" t="s">
        <v>3657</v>
      </c>
      <c r="C8502" s="1">
        <v>10.0</v>
      </c>
      <c r="D8502" s="1" t="s">
        <v>3902</v>
      </c>
      <c r="E8502" s="1"/>
    </row>
    <row r="8503" ht="14.25" hidden="1" customHeight="1">
      <c r="A8503" s="1">
        <v>100.0</v>
      </c>
      <c r="B8503" s="1" t="s">
        <v>5</v>
      </c>
      <c r="C8503" s="1">
        <v>10.0</v>
      </c>
      <c r="D8503" s="2" t="s">
        <v>3903</v>
      </c>
      <c r="E8503" s="1"/>
    </row>
    <row r="8504" ht="14.25" hidden="1" customHeight="1">
      <c r="A8504" s="1">
        <v>66.0</v>
      </c>
      <c r="B8504" s="1" t="s">
        <v>245</v>
      </c>
      <c r="C8504" s="1">
        <v>8.0</v>
      </c>
      <c r="D8504" s="1" t="s">
        <v>6</v>
      </c>
      <c r="E8504" s="1"/>
    </row>
    <row r="8505" ht="14.25" hidden="1" customHeight="1">
      <c r="A8505" s="1">
        <v>100.0</v>
      </c>
      <c r="B8505" s="1" t="s">
        <v>3657</v>
      </c>
      <c r="C8505" s="1">
        <v>10.0</v>
      </c>
      <c r="D8505" s="1" t="s">
        <v>3904</v>
      </c>
      <c r="E8505" s="1"/>
    </row>
    <row r="8506" ht="14.25" hidden="1" customHeight="1">
      <c r="A8506" s="1">
        <v>100.0</v>
      </c>
      <c r="B8506" s="1" t="s">
        <v>3657</v>
      </c>
      <c r="C8506" s="1">
        <v>10.0</v>
      </c>
      <c r="D8506" s="1" t="s">
        <v>3905</v>
      </c>
      <c r="E8506" s="1"/>
    </row>
    <row r="8507" ht="14.25" hidden="1" customHeight="1">
      <c r="A8507" s="1">
        <v>100.0</v>
      </c>
      <c r="B8507" s="1" t="s">
        <v>3657</v>
      </c>
      <c r="C8507" s="1">
        <v>10.0</v>
      </c>
      <c r="D8507" s="1" t="s">
        <v>3906</v>
      </c>
      <c r="E8507" s="1"/>
    </row>
    <row r="8508" ht="14.25" hidden="1" customHeight="1">
      <c r="A8508" s="1">
        <v>100.0</v>
      </c>
      <c r="B8508" s="1" t="s">
        <v>5</v>
      </c>
      <c r="C8508" s="1">
        <v>10.0</v>
      </c>
      <c r="D8508" s="1" t="s">
        <v>6</v>
      </c>
      <c r="E8508" s="1"/>
    </row>
    <row r="8509" ht="14.25" hidden="1" customHeight="1">
      <c r="A8509" s="1">
        <v>100.0</v>
      </c>
      <c r="B8509" s="1" t="s">
        <v>245</v>
      </c>
      <c r="C8509" s="1">
        <v>10.0</v>
      </c>
      <c r="D8509" s="1" t="s">
        <v>3907</v>
      </c>
      <c r="E8509" s="1"/>
    </row>
    <row r="8510" ht="14.25" hidden="1" customHeight="1">
      <c r="A8510" s="1">
        <v>33.0</v>
      </c>
      <c r="B8510" s="1" t="s">
        <v>3657</v>
      </c>
      <c r="C8510" s="1">
        <v>6.0</v>
      </c>
      <c r="D8510" s="2" t="s">
        <v>3908</v>
      </c>
      <c r="E8510" s="1"/>
    </row>
    <row r="8511" ht="14.25" hidden="1" customHeight="1">
      <c r="A8511" s="1">
        <v>66.0</v>
      </c>
      <c r="B8511" s="1" t="s">
        <v>3657</v>
      </c>
      <c r="C8511" s="1">
        <v>8.0</v>
      </c>
      <c r="D8511" s="1" t="s">
        <v>6</v>
      </c>
      <c r="E8511" s="1"/>
    </row>
    <row r="8512" ht="14.25" hidden="1" customHeight="1">
      <c r="A8512" s="1">
        <v>100.0</v>
      </c>
      <c r="B8512" s="1" t="s">
        <v>1049</v>
      </c>
      <c r="C8512" s="1">
        <v>10.0</v>
      </c>
      <c r="D8512" s="2" t="s">
        <v>3909</v>
      </c>
      <c r="E8512" s="1"/>
    </row>
    <row r="8513" ht="14.25" hidden="1" customHeight="1">
      <c r="A8513" s="1">
        <v>100.0</v>
      </c>
      <c r="B8513" s="1" t="s">
        <v>971</v>
      </c>
      <c r="C8513" s="1">
        <v>10.0</v>
      </c>
      <c r="D8513" s="1" t="s">
        <v>6</v>
      </c>
      <c r="E8513" s="1"/>
    </row>
    <row r="8514" ht="14.25" hidden="1" customHeight="1">
      <c r="A8514" s="1">
        <v>33.0</v>
      </c>
      <c r="B8514" s="1" t="s">
        <v>2412</v>
      </c>
      <c r="C8514" s="1">
        <v>5.0</v>
      </c>
      <c r="D8514" s="2" t="s">
        <v>3910</v>
      </c>
      <c r="E8514" s="1"/>
    </row>
    <row r="8515" ht="14.25" hidden="1" customHeight="1">
      <c r="A8515" s="1">
        <v>66.0</v>
      </c>
      <c r="B8515" s="1" t="s">
        <v>2669</v>
      </c>
      <c r="C8515" s="1">
        <v>8.0</v>
      </c>
      <c r="D8515" s="1" t="s">
        <v>85</v>
      </c>
      <c r="E8515" s="1"/>
    </row>
    <row r="8516" ht="14.25" hidden="1" customHeight="1">
      <c r="A8516" s="1">
        <v>100.0</v>
      </c>
      <c r="B8516" s="1" t="s">
        <v>1340</v>
      </c>
      <c r="C8516" s="1">
        <v>10.0</v>
      </c>
      <c r="D8516" s="1" t="s">
        <v>3771</v>
      </c>
      <c r="E8516" s="1"/>
    </row>
    <row r="8517" ht="14.25" hidden="1" customHeight="1">
      <c r="A8517" s="1">
        <v>100.0</v>
      </c>
      <c r="B8517" s="1" t="s">
        <v>2669</v>
      </c>
      <c r="C8517" s="1">
        <v>10.0</v>
      </c>
      <c r="D8517" s="1" t="s">
        <v>6</v>
      </c>
      <c r="E8517" s="1"/>
    </row>
    <row r="8518" ht="14.25" hidden="1" customHeight="1">
      <c r="A8518" s="1">
        <v>66.0</v>
      </c>
      <c r="B8518" s="1" t="s">
        <v>3657</v>
      </c>
      <c r="C8518" s="1">
        <v>8.0</v>
      </c>
      <c r="D8518" s="1" t="s">
        <v>6</v>
      </c>
      <c r="E8518" s="1"/>
    </row>
    <row r="8519" ht="14.25" hidden="1" customHeight="1">
      <c r="A8519" s="1">
        <v>33.0</v>
      </c>
      <c r="B8519" s="1" t="s">
        <v>3657</v>
      </c>
      <c r="C8519" s="1">
        <v>5.0</v>
      </c>
      <c r="D8519" s="1" t="s">
        <v>6</v>
      </c>
      <c r="E8519" s="1"/>
    </row>
    <row r="8520" ht="14.25" hidden="1" customHeight="1">
      <c r="A8520" s="1">
        <v>100.0</v>
      </c>
      <c r="B8520" s="1" t="s">
        <v>245</v>
      </c>
      <c r="C8520" s="1">
        <v>10.0</v>
      </c>
      <c r="D8520" s="1" t="s">
        <v>62</v>
      </c>
      <c r="E8520" s="1"/>
    </row>
    <row r="8521" ht="14.25" hidden="1" customHeight="1">
      <c r="A8521" s="1">
        <v>100.0</v>
      </c>
      <c r="B8521" s="1" t="s">
        <v>3657</v>
      </c>
      <c r="C8521" s="1">
        <v>10.0</v>
      </c>
      <c r="D8521" s="2" t="s">
        <v>3911</v>
      </c>
      <c r="E8521" s="1"/>
    </row>
    <row r="8522" ht="14.25" hidden="1" customHeight="1">
      <c r="A8522" s="1">
        <v>66.0</v>
      </c>
      <c r="B8522" s="1" t="s">
        <v>2669</v>
      </c>
      <c r="C8522" s="1">
        <v>7.0</v>
      </c>
      <c r="D8522" s="2" t="s">
        <v>3912</v>
      </c>
      <c r="E8522" s="1"/>
    </row>
    <row r="8523" ht="14.25" hidden="1" customHeight="1">
      <c r="A8523" s="1">
        <v>100.0</v>
      </c>
      <c r="B8523" s="1" t="s">
        <v>1826</v>
      </c>
      <c r="C8523" s="1">
        <v>10.0</v>
      </c>
      <c r="D8523" s="1" t="s">
        <v>17</v>
      </c>
      <c r="E8523" s="1"/>
    </row>
    <row r="8524" ht="14.25" hidden="1" customHeight="1">
      <c r="A8524" s="1">
        <v>100.0</v>
      </c>
      <c r="B8524" s="1" t="s">
        <v>1049</v>
      </c>
      <c r="C8524" s="1">
        <v>10.0</v>
      </c>
      <c r="D8524" s="2" t="s">
        <v>3913</v>
      </c>
      <c r="E8524" s="1"/>
    </row>
    <row r="8525" ht="14.25" hidden="1" customHeight="1">
      <c r="A8525" s="1">
        <v>100.0</v>
      </c>
      <c r="B8525" s="1" t="s">
        <v>1049</v>
      </c>
      <c r="C8525" s="1">
        <v>9.0</v>
      </c>
      <c r="D8525" s="1" t="s">
        <v>3914</v>
      </c>
      <c r="E8525" s="1"/>
    </row>
    <row r="8526" ht="14.25" hidden="1" customHeight="1">
      <c r="A8526" s="1">
        <v>100.0</v>
      </c>
      <c r="B8526" s="1" t="s">
        <v>3657</v>
      </c>
      <c r="C8526" s="1">
        <v>10.0</v>
      </c>
      <c r="D8526" s="1" t="s">
        <v>6</v>
      </c>
      <c r="E8526" s="1"/>
    </row>
    <row r="8527" ht="14.25" hidden="1" customHeight="1">
      <c r="A8527" s="1">
        <v>100.0</v>
      </c>
      <c r="B8527" s="1" t="s">
        <v>3657</v>
      </c>
      <c r="C8527" s="1">
        <v>9.0</v>
      </c>
      <c r="D8527" s="1" t="s">
        <v>6</v>
      </c>
      <c r="E8527" s="1"/>
    </row>
    <row r="8528" ht="14.25" hidden="1" customHeight="1">
      <c r="A8528" s="1">
        <v>100.0</v>
      </c>
      <c r="B8528" s="1" t="s">
        <v>157</v>
      </c>
      <c r="C8528" s="1">
        <v>10.0</v>
      </c>
      <c r="D8528" s="1" t="s">
        <v>6</v>
      </c>
      <c r="E8528" s="1"/>
    </row>
    <row r="8529" ht="14.25" hidden="1" customHeight="1">
      <c r="A8529" s="1">
        <v>33.0</v>
      </c>
      <c r="B8529" s="1" t="s">
        <v>245</v>
      </c>
      <c r="C8529" s="1">
        <v>2.0</v>
      </c>
      <c r="D8529" s="1" t="s">
        <v>3915</v>
      </c>
      <c r="E8529" s="1"/>
    </row>
    <row r="8530" ht="14.25" hidden="1" customHeight="1">
      <c r="A8530" s="1">
        <v>33.0</v>
      </c>
      <c r="B8530" s="1" t="s">
        <v>3672</v>
      </c>
      <c r="C8530" s="1">
        <v>3.0</v>
      </c>
      <c r="D8530" s="2" t="s">
        <v>3916</v>
      </c>
      <c r="E8530" s="1"/>
    </row>
    <row r="8531" ht="14.25" hidden="1" customHeight="1">
      <c r="A8531" s="1">
        <v>100.0</v>
      </c>
      <c r="B8531" s="1" t="s">
        <v>3657</v>
      </c>
      <c r="C8531" s="1">
        <v>9.0</v>
      </c>
      <c r="D8531" s="1" t="s">
        <v>505</v>
      </c>
      <c r="E8531" s="1"/>
    </row>
    <row r="8532" ht="14.25" hidden="1" customHeight="1">
      <c r="A8532" s="1">
        <v>100.0</v>
      </c>
      <c r="B8532" s="1" t="s">
        <v>819</v>
      </c>
      <c r="C8532" s="1">
        <v>10.0</v>
      </c>
      <c r="D8532" s="1" t="s">
        <v>3355</v>
      </c>
      <c r="E8532" s="1"/>
    </row>
    <row r="8533" ht="14.25" hidden="1" customHeight="1">
      <c r="A8533" s="1">
        <v>100.0</v>
      </c>
      <c r="B8533" s="1" t="s">
        <v>245</v>
      </c>
      <c r="C8533" s="1">
        <v>10.0</v>
      </c>
      <c r="D8533" s="1" t="s">
        <v>3917</v>
      </c>
      <c r="E8533" s="1"/>
    </row>
    <row r="8534" ht="14.25" hidden="1" customHeight="1">
      <c r="A8534" s="1">
        <v>100.0</v>
      </c>
      <c r="B8534" s="1" t="s">
        <v>5</v>
      </c>
      <c r="C8534" s="1">
        <v>10.0</v>
      </c>
      <c r="D8534" s="1" t="s">
        <v>37</v>
      </c>
      <c r="E8534" s="1"/>
    </row>
    <row r="8535" ht="14.25" hidden="1" customHeight="1">
      <c r="A8535" s="1">
        <v>100.0</v>
      </c>
      <c r="B8535" s="1" t="s">
        <v>3657</v>
      </c>
      <c r="C8535" s="1">
        <v>10.0</v>
      </c>
      <c r="D8535" s="1" t="s">
        <v>85</v>
      </c>
      <c r="E8535" s="1"/>
    </row>
    <row r="8536" ht="14.25" hidden="1" customHeight="1">
      <c r="A8536" s="1">
        <v>100.0</v>
      </c>
      <c r="B8536" s="1" t="s">
        <v>1340</v>
      </c>
      <c r="C8536" s="1">
        <v>10.0</v>
      </c>
      <c r="D8536" s="2" t="s">
        <v>3918</v>
      </c>
      <c r="E8536" s="1"/>
    </row>
    <row r="8537" ht="14.25" hidden="1" customHeight="1">
      <c r="A8537" s="1">
        <v>100.0</v>
      </c>
      <c r="B8537" s="1" t="s">
        <v>3657</v>
      </c>
      <c r="C8537" s="1">
        <v>10.0</v>
      </c>
      <c r="D8537" s="1" t="s">
        <v>6</v>
      </c>
      <c r="E8537" s="1"/>
    </row>
    <row r="8538" ht="14.25" hidden="1" customHeight="1">
      <c r="A8538" s="1">
        <v>100.0</v>
      </c>
      <c r="B8538" s="1" t="s">
        <v>245</v>
      </c>
      <c r="C8538" s="1">
        <v>10.0</v>
      </c>
      <c r="D8538" s="2" t="s">
        <v>3919</v>
      </c>
      <c r="E8538" s="1"/>
    </row>
    <row r="8539" ht="14.25" hidden="1" customHeight="1">
      <c r="A8539" s="1">
        <v>100.0</v>
      </c>
      <c r="B8539" s="1" t="s">
        <v>1245</v>
      </c>
      <c r="C8539" s="1">
        <v>10.0</v>
      </c>
      <c r="D8539" s="1" t="s">
        <v>6</v>
      </c>
      <c r="E8539" s="1"/>
    </row>
    <row r="8540" ht="14.25" hidden="1" customHeight="1">
      <c r="A8540" s="1">
        <v>100.0</v>
      </c>
      <c r="B8540" s="1" t="s">
        <v>687</v>
      </c>
      <c r="C8540" s="1">
        <v>10.0</v>
      </c>
      <c r="D8540" s="1" t="s">
        <v>3920</v>
      </c>
      <c r="E8540" s="1"/>
    </row>
    <row r="8541" ht="14.25" hidden="1" customHeight="1">
      <c r="A8541" s="1">
        <v>100.0</v>
      </c>
      <c r="B8541" s="1" t="s">
        <v>687</v>
      </c>
      <c r="C8541" s="1">
        <v>9.0</v>
      </c>
      <c r="D8541" s="1" t="s">
        <v>62</v>
      </c>
      <c r="E8541" s="1"/>
    </row>
    <row r="8542" ht="14.25" hidden="1" customHeight="1">
      <c r="A8542" s="1">
        <v>100.0</v>
      </c>
      <c r="B8542" s="1" t="s">
        <v>245</v>
      </c>
      <c r="C8542" s="1">
        <v>10.0</v>
      </c>
      <c r="D8542" s="2" t="s">
        <v>3921</v>
      </c>
      <c r="E8542" s="1"/>
    </row>
    <row r="8543" ht="14.25" hidden="1" customHeight="1">
      <c r="A8543" s="1">
        <v>100.0</v>
      </c>
      <c r="B8543" s="1" t="s">
        <v>1826</v>
      </c>
      <c r="C8543" s="1">
        <v>10.0</v>
      </c>
      <c r="D8543" s="1" t="s">
        <v>2093</v>
      </c>
      <c r="E8543" s="1"/>
    </row>
    <row r="8544" ht="14.25" hidden="1" customHeight="1">
      <c r="A8544" s="1">
        <v>100.0</v>
      </c>
      <c r="B8544" s="1" t="s">
        <v>245</v>
      </c>
      <c r="C8544" s="1">
        <v>10.0</v>
      </c>
      <c r="D8544" s="1" t="s">
        <v>746</v>
      </c>
      <c r="E8544" s="1"/>
    </row>
    <row r="8545" ht="14.25" hidden="1" customHeight="1">
      <c r="A8545" s="1">
        <v>33.0</v>
      </c>
      <c r="B8545" s="1" t="s">
        <v>3423</v>
      </c>
      <c r="C8545" s="1">
        <v>0.0</v>
      </c>
      <c r="D8545" s="1" t="s">
        <v>3922</v>
      </c>
      <c r="E8545" s="1"/>
    </row>
    <row r="8546" ht="14.25" hidden="1" customHeight="1">
      <c r="A8546" s="1">
        <v>100.0</v>
      </c>
      <c r="B8546" s="1" t="s">
        <v>3657</v>
      </c>
      <c r="C8546" s="1">
        <v>10.0</v>
      </c>
      <c r="D8546" s="1" t="s">
        <v>3923</v>
      </c>
      <c r="E8546" s="1"/>
    </row>
    <row r="8547" ht="14.25" hidden="1" customHeight="1">
      <c r="A8547" s="1">
        <v>33.0</v>
      </c>
      <c r="B8547" s="1" t="s">
        <v>3657</v>
      </c>
      <c r="C8547" s="1">
        <v>3.0</v>
      </c>
      <c r="D8547" s="1" t="s">
        <v>6</v>
      </c>
      <c r="E8547" s="1"/>
    </row>
    <row r="8548" ht="14.25" hidden="1" customHeight="1">
      <c r="A8548" s="1">
        <v>33.0</v>
      </c>
      <c r="B8548" s="1" t="s">
        <v>245</v>
      </c>
      <c r="C8548" s="1">
        <v>0.0</v>
      </c>
      <c r="D8548" s="1" t="s">
        <v>9</v>
      </c>
      <c r="E8548" s="1"/>
    </row>
    <row r="8549" ht="14.25" hidden="1" customHeight="1">
      <c r="A8549" s="1">
        <v>100.0</v>
      </c>
      <c r="B8549" s="1" t="s">
        <v>3657</v>
      </c>
      <c r="C8549" s="1">
        <v>9.0</v>
      </c>
      <c r="D8549" s="1" t="s">
        <v>3924</v>
      </c>
      <c r="E8549" s="1"/>
    </row>
    <row r="8550" ht="14.25" hidden="1" customHeight="1">
      <c r="A8550" s="1">
        <v>100.0</v>
      </c>
      <c r="B8550" s="1" t="s">
        <v>1826</v>
      </c>
      <c r="C8550" s="1">
        <v>10.0</v>
      </c>
      <c r="D8550" s="2" t="s">
        <v>3925</v>
      </c>
      <c r="E8550" s="1"/>
    </row>
    <row r="8551" ht="14.25" hidden="1" customHeight="1">
      <c r="A8551" s="1">
        <v>100.0</v>
      </c>
      <c r="B8551" s="1" t="s">
        <v>3657</v>
      </c>
      <c r="C8551" s="1">
        <v>10.0</v>
      </c>
      <c r="D8551" s="1" t="s">
        <v>22</v>
      </c>
      <c r="E8551" s="1"/>
    </row>
    <row r="8552" ht="14.25" hidden="1" customHeight="1">
      <c r="A8552" s="1">
        <v>100.0</v>
      </c>
      <c r="B8552" s="1" t="s">
        <v>245</v>
      </c>
      <c r="C8552" s="1">
        <v>10.0</v>
      </c>
      <c r="D8552" s="1" t="s">
        <v>1120</v>
      </c>
      <c r="E8552" s="1"/>
    </row>
    <row r="8553" ht="14.25" hidden="1" customHeight="1">
      <c r="A8553" s="1">
        <v>100.0</v>
      </c>
      <c r="B8553" s="1" t="s">
        <v>1691</v>
      </c>
      <c r="C8553" s="1">
        <v>10.0</v>
      </c>
      <c r="D8553" s="1" t="s">
        <v>17</v>
      </c>
      <c r="E8553" s="1"/>
    </row>
    <row r="8554" ht="14.25" hidden="1" customHeight="1">
      <c r="A8554" s="1">
        <v>66.0</v>
      </c>
      <c r="B8554" s="1" t="s">
        <v>3657</v>
      </c>
      <c r="C8554" s="1">
        <v>8.0</v>
      </c>
      <c r="D8554" s="1" t="s">
        <v>6</v>
      </c>
      <c r="E8554" s="1"/>
    </row>
    <row r="8555" ht="14.25" hidden="1" customHeight="1">
      <c r="A8555" s="1">
        <v>33.0</v>
      </c>
      <c r="B8555" s="1" t="s">
        <v>1826</v>
      </c>
      <c r="C8555" s="1">
        <v>1.0</v>
      </c>
      <c r="D8555" s="2" t="s">
        <v>3926</v>
      </c>
      <c r="E8555" s="1"/>
    </row>
    <row r="8556" ht="14.25" hidden="1" customHeight="1">
      <c r="A8556" s="1">
        <v>100.0</v>
      </c>
      <c r="B8556" s="1" t="s">
        <v>1691</v>
      </c>
      <c r="C8556" s="1">
        <v>10.0</v>
      </c>
      <c r="D8556" s="1" t="s">
        <v>17</v>
      </c>
      <c r="E8556" s="1"/>
    </row>
    <row r="8557" ht="14.25" hidden="1" customHeight="1">
      <c r="A8557" s="1">
        <v>100.0</v>
      </c>
      <c r="B8557" s="1" t="s">
        <v>3657</v>
      </c>
      <c r="C8557" s="1">
        <v>10.0</v>
      </c>
      <c r="D8557" s="1" t="s">
        <v>6</v>
      </c>
      <c r="E8557" s="1"/>
    </row>
    <row r="8558" ht="14.25" hidden="1" customHeight="1">
      <c r="A8558" s="1">
        <v>33.0</v>
      </c>
      <c r="B8558" s="1" t="s">
        <v>245</v>
      </c>
      <c r="C8558" s="1">
        <v>3.0</v>
      </c>
      <c r="D8558" s="1" t="s">
        <v>2887</v>
      </c>
      <c r="E8558" s="1"/>
    </row>
    <row r="8559" ht="14.25" hidden="1" customHeight="1">
      <c r="A8559" s="1">
        <v>100.0</v>
      </c>
      <c r="B8559" s="1" t="s">
        <v>2412</v>
      </c>
      <c r="C8559" s="1">
        <v>10.0</v>
      </c>
      <c r="D8559" s="1" t="s">
        <v>190</v>
      </c>
      <c r="E8559" s="1"/>
    </row>
    <row r="8560" ht="14.25" hidden="1" customHeight="1">
      <c r="A8560" s="1">
        <v>66.0</v>
      </c>
      <c r="B8560" s="1" t="s">
        <v>3423</v>
      </c>
      <c r="C8560" s="1">
        <v>7.0</v>
      </c>
      <c r="D8560" s="2" t="s">
        <v>3927</v>
      </c>
      <c r="E8560" s="1"/>
    </row>
    <row r="8561" ht="14.25" hidden="1" customHeight="1">
      <c r="A8561" s="1">
        <v>100.0</v>
      </c>
      <c r="B8561" s="1" t="s">
        <v>819</v>
      </c>
      <c r="C8561" s="1">
        <v>10.0</v>
      </c>
      <c r="D8561" s="1" t="s">
        <v>62</v>
      </c>
      <c r="E8561" s="1"/>
    </row>
    <row r="8562" ht="14.25" hidden="1" customHeight="1">
      <c r="A8562" s="1">
        <v>100.0</v>
      </c>
      <c r="B8562" s="1" t="s">
        <v>157</v>
      </c>
      <c r="C8562" s="1">
        <v>10.0</v>
      </c>
      <c r="D8562" s="1" t="s">
        <v>62</v>
      </c>
      <c r="E8562" s="1"/>
    </row>
    <row r="8563" ht="14.25" hidden="1" customHeight="1">
      <c r="A8563" s="1">
        <v>100.0</v>
      </c>
      <c r="B8563" s="1" t="s">
        <v>3657</v>
      </c>
      <c r="C8563" s="1">
        <v>9.0</v>
      </c>
      <c r="D8563" s="1" t="s">
        <v>6</v>
      </c>
      <c r="E8563" s="1"/>
    </row>
    <row r="8564" ht="14.25" hidden="1" customHeight="1">
      <c r="A8564" s="1">
        <v>33.0</v>
      </c>
      <c r="B8564" s="1" t="s">
        <v>3657</v>
      </c>
      <c r="C8564" s="1">
        <v>1.0</v>
      </c>
      <c r="D8564" s="1" t="s">
        <v>6</v>
      </c>
      <c r="E8564" s="1"/>
    </row>
    <row r="8565" ht="14.25" hidden="1" customHeight="1">
      <c r="A8565" s="1">
        <v>100.0</v>
      </c>
      <c r="B8565" s="1" t="s">
        <v>3657</v>
      </c>
      <c r="C8565" s="1">
        <v>10.0</v>
      </c>
      <c r="D8565" s="1" t="s">
        <v>6</v>
      </c>
      <c r="E8565" s="1"/>
    </row>
    <row r="8566" ht="14.25" hidden="1" customHeight="1">
      <c r="A8566" s="1">
        <v>100.0</v>
      </c>
      <c r="B8566" s="1" t="s">
        <v>3657</v>
      </c>
      <c r="C8566" s="1">
        <v>10.0</v>
      </c>
      <c r="D8566" s="1" t="s">
        <v>6</v>
      </c>
      <c r="E8566" s="1"/>
    </row>
    <row r="8567" ht="14.25" hidden="1" customHeight="1">
      <c r="A8567" s="1">
        <v>100.0</v>
      </c>
      <c r="B8567" s="1" t="s">
        <v>245</v>
      </c>
      <c r="C8567" s="1">
        <v>10.0</v>
      </c>
      <c r="D8567" s="2" t="s">
        <v>3928</v>
      </c>
      <c r="E8567" s="1"/>
    </row>
    <row r="8568" ht="14.25" hidden="1" customHeight="1">
      <c r="A8568" s="1">
        <v>100.0</v>
      </c>
      <c r="B8568" s="1" t="s">
        <v>1691</v>
      </c>
      <c r="C8568" s="1">
        <v>10.0</v>
      </c>
      <c r="D8568" s="2" t="s">
        <v>3929</v>
      </c>
      <c r="E8568" s="1"/>
    </row>
    <row r="8569" ht="14.25" hidden="1" customHeight="1">
      <c r="A8569" s="1">
        <v>100.0</v>
      </c>
      <c r="B8569" s="1" t="s">
        <v>3657</v>
      </c>
      <c r="C8569" s="1">
        <v>10.0</v>
      </c>
      <c r="D8569" s="1" t="s">
        <v>3930</v>
      </c>
      <c r="E8569" s="1"/>
    </row>
    <row r="8570" ht="14.25" hidden="1" customHeight="1">
      <c r="A8570" s="1">
        <v>100.0</v>
      </c>
      <c r="B8570" s="1" t="s">
        <v>3657</v>
      </c>
      <c r="C8570" s="1">
        <v>10.0</v>
      </c>
      <c r="D8570" s="1" t="s">
        <v>6</v>
      </c>
      <c r="E8570" s="1"/>
    </row>
    <row r="8571" ht="14.25" hidden="1" customHeight="1">
      <c r="A8571" s="1">
        <v>100.0</v>
      </c>
      <c r="B8571" s="1" t="s">
        <v>2669</v>
      </c>
      <c r="C8571" s="1">
        <v>10.0</v>
      </c>
      <c r="D8571" s="1" t="s">
        <v>6</v>
      </c>
      <c r="E8571" s="1"/>
    </row>
    <row r="8572" ht="14.25" hidden="1" customHeight="1">
      <c r="A8572" s="1">
        <v>100.0</v>
      </c>
      <c r="B8572" s="1" t="s">
        <v>819</v>
      </c>
      <c r="C8572" s="1">
        <v>10.0</v>
      </c>
      <c r="D8572" s="1" t="s">
        <v>3931</v>
      </c>
      <c r="E8572" s="1"/>
    </row>
    <row r="8573" ht="14.25" hidden="1" customHeight="1">
      <c r="A8573" s="1">
        <v>100.0</v>
      </c>
      <c r="B8573" s="1" t="s">
        <v>1691</v>
      </c>
      <c r="C8573" s="1">
        <v>10.0</v>
      </c>
      <c r="D8573" s="1" t="s">
        <v>6</v>
      </c>
      <c r="E8573" s="1"/>
    </row>
    <row r="8574" ht="14.25" hidden="1" customHeight="1">
      <c r="A8574" s="1">
        <v>33.0</v>
      </c>
      <c r="B8574" s="1" t="s">
        <v>3657</v>
      </c>
      <c r="C8574" s="1">
        <v>0.0</v>
      </c>
      <c r="D8574" s="2" t="s">
        <v>3932</v>
      </c>
      <c r="E8574" s="1"/>
    </row>
    <row r="8575" ht="14.25" hidden="1" customHeight="1">
      <c r="A8575" s="1">
        <v>100.0</v>
      </c>
      <c r="B8575" s="1" t="s">
        <v>3657</v>
      </c>
      <c r="C8575" s="1">
        <v>9.0</v>
      </c>
      <c r="D8575" s="2" t="s">
        <v>3933</v>
      </c>
      <c r="E8575" s="1"/>
    </row>
    <row r="8576" ht="14.25" hidden="1" customHeight="1">
      <c r="A8576" s="1">
        <v>100.0</v>
      </c>
      <c r="B8576" s="1" t="s">
        <v>1340</v>
      </c>
      <c r="C8576" s="1">
        <v>10.0</v>
      </c>
      <c r="D8576" s="1" t="s">
        <v>385</v>
      </c>
      <c r="E8576" s="1"/>
    </row>
    <row r="8577" ht="14.25" hidden="1" customHeight="1">
      <c r="A8577" s="1">
        <v>33.0</v>
      </c>
      <c r="B8577" s="1" t="s">
        <v>3657</v>
      </c>
      <c r="C8577" s="1">
        <v>0.0</v>
      </c>
      <c r="D8577" s="1" t="s">
        <v>3934</v>
      </c>
      <c r="E8577" s="1"/>
    </row>
    <row r="8578" ht="14.25" hidden="1" customHeight="1">
      <c r="A8578" s="1">
        <v>66.0</v>
      </c>
      <c r="B8578" s="1" t="s">
        <v>3657</v>
      </c>
      <c r="C8578" s="1">
        <v>8.0</v>
      </c>
      <c r="D8578" s="2" t="s">
        <v>3935</v>
      </c>
      <c r="E8578" s="1"/>
    </row>
    <row r="8579" ht="14.25" hidden="1" customHeight="1">
      <c r="A8579" s="1">
        <v>100.0</v>
      </c>
      <c r="B8579" s="1" t="s">
        <v>3657</v>
      </c>
      <c r="C8579" s="1">
        <v>9.0</v>
      </c>
      <c r="D8579" s="1" t="s">
        <v>3936</v>
      </c>
      <c r="E8579" s="1"/>
    </row>
    <row r="8580" ht="14.25" hidden="1" customHeight="1">
      <c r="A8580" s="1">
        <v>100.0</v>
      </c>
      <c r="B8580" s="1" t="s">
        <v>801</v>
      </c>
      <c r="C8580" s="1">
        <v>10.0</v>
      </c>
      <c r="D8580" s="1" t="s">
        <v>6</v>
      </c>
      <c r="E8580" s="1"/>
    </row>
    <row r="8581" ht="14.25" hidden="1" customHeight="1">
      <c r="A8581" s="1">
        <v>100.0</v>
      </c>
      <c r="B8581" s="1" t="s">
        <v>3657</v>
      </c>
      <c r="C8581" s="1">
        <v>10.0</v>
      </c>
      <c r="D8581" s="1" t="s">
        <v>6</v>
      </c>
      <c r="E8581" s="1"/>
    </row>
    <row r="8582" ht="14.25" hidden="1" customHeight="1">
      <c r="A8582" s="1">
        <v>66.0</v>
      </c>
      <c r="B8582" s="1" t="s">
        <v>687</v>
      </c>
      <c r="C8582" s="1">
        <v>8.0</v>
      </c>
      <c r="D8582" s="1" t="s">
        <v>6</v>
      </c>
      <c r="E8582" s="1"/>
    </row>
    <row r="8583" ht="14.25" hidden="1" customHeight="1">
      <c r="A8583" s="1">
        <v>33.0</v>
      </c>
      <c r="B8583" s="1" t="s">
        <v>2412</v>
      </c>
      <c r="C8583" s="1">
        <v>0.0</v>
      </c>
      <c r="D8583" s="2" t="s">
        <v>3937</v>
      </c>
      <c r="E8583" s="1"/>
    </row>
    <row r="8584" ht="14.25" hidden="1" customHeight="1">
      <c r="A8584" s="1">
        <v>100.0</v>
      </c>
      <c r="B8584" s="1" t="s">
        <v>3657</v>
      </c>
      <c r="C8584" s="1">
        <v>10.0</v>
      </c>
      <c r="D8584" s="2" t="s">
        <v>3938</v>
      </c>
      <c r="E8584" s="1"/>
    </row>
    <row r="8585" ht="14.25" hidden="1" customHeight="1">
      <c r="A8585" s="1">
        <v>100.0</v>
      </c>
      <c r="B8585" s="1" t="s">
        <v>3657</v>
      </c>
      <c r="C8585" s="1">
        <v>10.0</v>
      </c>
      <c r="D8585" s="1" t="s">
        <v>3939</v>
      </c>
      <c r="E8585" s="1"/>
    </row>
    <row r="8586" ht="14.25" hidden="1" customHeight="1">
      <c r="A8586" s="1">
        <v>100.0</v>
      </c>
      <c r="B8586" s="1" t="s">
        <v>3657</v>
      </c>
      <c r="C8586" s="1">
        <v>10.0</v>
      </c>
      <c r="D8586" s="1" t="s">
        <v>6</v>
      </c>
      <c r="E8586" s="1"/>
    </row>
    <row r="8587" ht="14.25" hidden="1" customHeight="1">
      <c r="A8587" s="1">
        <v>33.0</v>
      </c>
      <c r="B8587" s="1" t="s">
        <v>3657</v>
      </c>
      <c r="C8587" s="1">
        <v>6.0</v>
      </c>
      <c r="D8587" s="1" t="s">
        <v>6</v>
      </c>
      <c r="E8587" s="1"/>
    </row>
    <row r="8588" ht="14.25" hidden="1" customHeight="1">
      <c r="A8588" s="1">
        <v>33.0</v>
      </c>
      <c r="B8588" s="1" t="s">
        <v>1826</v>
      </c>
      <c r="C8588" s="1">
        <v>0.0</v>
      </c>
      <c r="D8588" s="2" t="s">
        <v>3940</v>
      </c>
      <c r="E8588" s="1"/>
    </row>
    <row r="8589" ht="14.25" hidden="1" customHeight="1">
      <c r="A8589" s="1">
        <v>66.0</v>
      </c>
      <c r="B8589" s="1" t="s">
        <v>971</v>
      </c>
      <c r="C8589" s="1">
        <v>7.0</v>
      </c>
      <c r="D8589" s="2" t="s">
        <v>3941</v>
      </c>
      <c r="E8589" s="1"/>
    </row>
    <row r="8590" ht="14.25" hidden="1" customHeight="1">
      <c r="A8590" s="1">
        <v>100.0</v>
      </c>
      <c r="B8590" s="1" t="s">
        <v>3657</v>
      </c>
      <c r="C8590" s="1">
        <v>10.0</v>
      </c>
      <c r="D8590" s="1" t="s">
        <v>3942</v>
      </c>
      <c r="E8590" s="1"/>
    </row>
    <row r="8591" ht="14.25" hidden="1" customHeight="1">
      <c r="A8591" s="1">
        <v>100.0</v>
      </c>
      <c r="B8591" s="1" t="s">
        <v>3657</v>
      </c>
      <c r="C8591" s="1">
        <v>10.0</v>
      </c>
      <c r="D8591" s="1" t="s">
        <v>6</v>
      </c>
      <c r="E8591" s="1"/>
    </row>
    <row r="8592" ht="14.25" hidden="1" customHeight="1">
      <c r="A8592" s="1">
        <v>33.0</v>
      </c>
      <c r="B8592" s="1" t="s">
        <v>3657</v>
      </c>
      <c r="C8592" s="1">
        <v>0.0</v>
      </c>
      <c r="D8592" s="2" t="s">
        <v>3943</v>
      </c>
      <c r="E8592" s="1"/>
    </row>
    <row r="8593" ht="14.25" hidden="1" customHeight="1">
      <c r="A8593" s="1">
        <v>100.0</v>
      </c>
      <c r="B8593" s="1" t="s">
        <v>1340</v>
      </c>
      <c r="C8593" s="1">
        <v>10.0</v>
      </c>
      <c r="D8593" s="1" t="s">
        <v>6</v>
      </c>
      <c r="E8593" s="1"/>
    </row>
    <row r="8594" ht="14.25" hidden="1" customHeight="1">
      <c r="A8594" s="1">
        <v>100.0</v>
      </c>
      <c r="B8594" s="1" t="s">
        <v>5</v>
      </c>
      <c r="C8594" s="1">
        <v>10.0</v>
      </c>
      <c r="D8594" s="1" t="s">
        <v>3944</v>
      </c>
      <c r="E8594" s="1"/>
    </row>
    <row r="8595" ht="14.25" hidden="1" customHeight="1">
      <c r="A8595" s="1">
        <v>100.0</v>
      </c>
      <c r="B8595" s="1" t="s">
        <v>5</v>
      </c>
      <c r="C8595" s="1">
        <v>10.0</v>
      </c>
      <c r="D8595" s="1" t="s">
        <v>6</v>
      </c>
      <c r="E8595" s="1"/>
    </row>
    <row r="8596" ht="14.25" hidden="1" customHeight="1">
      <c r="A8596" s="1">
        <v>100.0</v>
      </c>
      <c r="B8596" s="1" t="s">
        <v>5</v>
      </c>
      <c r="C8596" s="1">
        <v>10.0</v>
      </c>
      <c r="D8596" s="2" t="s">
        <v>3945</v>
      </c>
      <c r="E8596" s="1"/>
    </row>
    <row r="8597" ht="14.25" hidden="1" customHeight="1">
      <c r="A8597" s="1">
        <v>100.0</v>
      </c>
      <c r="B8597" s="1" t="s">
        <v>2669</v>
      </c>
      <c r="C8597" s="1">
        <v>10.0</v>
      </c>
      <c r="D8597" s="1" t="s">
        <v>18</v>
      </c>
      <c r="E8597" s="1"/>
    </row>
    <row r="8598" ht="14.25" hidden="1" customHeight="1">
      <c r="A8598" s="1">
        <v>66.0</v>
      </c>
      <c r="B8598" s="1" t="s">
        <v>3672</v>
      </c>
      <c r="C8598" s="1">
        <v>8.0</v>
      </c>
      <c r="D8598" s="1" t="s">
        <v>6</v>
      </c>
      <c r="E8598" s="1"/>
    </row>
    <row r="8599" ht="14.25" hidden="1" customHeight="1">
      <c r="A8599" s="1">
        <v>100.0</v>
      </c>
      <c r="B8599" s="1" t="s">
        <v>1049</v>
      </c>
      <c r="C8599" s="1">
        <v>10.0</v>
      </c>
      <c r="D8599" s="1" t="s">
        <v>6</v>
      </c>
      <c r="E8599" s="1"/>
    </row>
    <row r="8600" ht="14.25" hidden="1" customHeight="1">
      <c r="A8600" s="1">
        <v>100.0</v>
      </c>
      <c r="B8600" s="1" t="s">
        <v>1049</v>
      </c>
      <c r="C8600" s="1">
        <v>9.0</v>
      </c>
      <c r="D8600" s="1" t="s">
        <v>3946</v>
      </c>
      <c r="E8600" s="1"/>
    </row>
    <row r="8601" ht="14.25" hidden="1" customHeight="1">
      <c r="A8601" s="1">
        <v>100.0</v>
      </c>
      <c r="B8601" s="1" t="s">
        <v>1049</v>
      </c>
      <c r="C8601" s="1">
        <v>10.0</v>
      </c>
      <c r="D8601" s="1" t="s">
        <v>1545</v>
      </c>
      <c r="E8601" s="1"/>
    </row>
    <row r="8602" ht="14.25" hidden="1" customHeight="1">
      <c r="A8602" s="1">
        <v>100.0</v>
      </c>
      <c r="B8602" s="1" t="s">
        <v>1049</v>
      </c>
      <c r="C8602" s="1">
        <v>10.0</v>
      </c>
      <c r="D8602" s="2" t="s">
        <v>1672</v>
      </c>
      <c r="E8602" s="1"/>
    </row>
    <row r="8603" ht="14.25" hidden="1" customHeight="1">
      <c r="A8603" s="1">
        <v>100.0</v>
      </c>
      <c r="B8603" s="1" t="s">
        <v>3657</v>
      </c>
      <c r="C8603" s="1">
        <v>10.0</v>
      </c>
      <c r="D8603" s="1" t="s">
        <v>6</v>
      </c>
      <c r="E8603" s="1"/>
    </row>
    <row r="8604" ht="14.25" hidden="1" customHeight="1">
      <c r="A8604" s="1">
        <v>100.0</v>
      </c>
      <c r="B8604" s="1" t="s">
        <v>1049</v>
      </c>
      <c r="C8604" s="1">
        <v>10.0</v>
      </c>
      <c r="D8604" s="1" t="s">
        <v>6</v>
      </c>
      <c r="E8604" s="1"/>
    </row>
    <row r="8605" ht="14.25" hidden="1" customHeight="1">
      <c r="A8605" s="1">
        <v>100.0</v>
      </c>
      <c r="B8605" s="1" t="s">
        <v>2412</v>
      </c>
      <c r="C8605" s="1">
        <v>10.0</v>
      </c>
      <c r="D8605" s="2" t="s">
        <v>3947</v>
      </c>
      <c r="E8605" s="1"/>
    </row>
    <row r="8606" ht="14.25" hidden="1" customHeight="1">
      <c r="A8606" s="1">
        <v>66.0</v>
      </c>
      <c r="B8606" s="1" t="s">
        <v>245</v>
      </c>
      <c r="C8606" s="1">
        <v>7.0</v>
      </c>
      <c r="D8606" s="1" t="s">
        <v>6</v>
      </c>
      <c r="E8606" s="1"/>
    </row>
    <row r="8607" ht="14.25" hidden="1" customHeight="1">
      <c r="A8607" s="1">
        <v>33.0</v>
      </c>
      <c r="B8607" s="1" t="s">
        <v>245</v>
      </c>
      <c r="C8607" s="1">
        <v>5.0</v>
      </c>
      <c r="D8607" s="1" t="s">
        <v>3948</v>
      </c>
      <c r="E8607" s="1"/>
    </row>
    <row r="8608" ht="14.25" hidden="1" customHeight="1">
      <c r="A8608" s="1">
        <v>100.0</v>
      </c>
      <c r="B8608" s="1" t="s">
        <v>245</v>
      </c>
      <c r="C8608" s="1">
        <v>10.0</v>
      </c>
      <c r="D8608" s="2" t="s">
        <v>3949</v>
      </c>
      <c r="E8608" s="1"/>
    </row>
    <row r="8609" ht="14.25" hidden="1" customHeight="1">
      <c r="A8609" s="1">
        <v>100.0</v>
      </c>
      <c r="B8609" s="1" t="s">
        <v>3657</v>
      </c>
      <c r="C8609" s="1">
        <v>10.0</v>
      </c>
      <c r="D8609" s="1" t="s">
        <v>3950</v>
      </c>
      <c r="E8609" s="1"/>
    </row>
    <row r="8610" ht="14.25" hidden="1" customHeight="1">
      <c r="A8610" s="1">
        <v>100.0</v>
      </c>
      <c r="B8610" s="1" t="s">
        <v>245</v>
      </c>
      <c r="C8610" s="1">
        <v>10.0</v>
      </c>
      <c r="D8610" s="1" t="s">
        <v>3951</v>
      </c>
      <c r="E8610" s="1"/>
    </row>
    <row r="8611" ht="14.25" hidden="1" customHeight="1">
      <c r="A8611" s="1">
        <v>100.0</v>
      </c>
      <c r="B8611" s="1" t="s">
        <v>245</v>
      </c>
      <c r="C8611" s="1">
        <v>10.0</v>
      </c>
      <c r="D8611" s="1" t="s">
        <v>37</v>
      </c>
      <c r="E8611" s="1"/>
    </row>
    <row r="8612" ht="14.25" hidden="1" customHeight="1">
      <c r="A8612" s="1">
        <v>100.0</v>
      </c>
      <c r="B8612" s="1" t="s">
        <v>1049</v>
      </c>
      <c r="C8612" s="1">
        <v>10.0</v>
      </c>
      <c r="D8612" s="1" t="s">
        <v>6</v>
      </c>
      <c r="E8612" s="1"/>
    </row>
    <row r="8613" ht="14.25" hidden="1" customHeight="1">
      <c r="A8613" s="1">
        <v>100.0</v>
      </c>
      <c r="B8613" s="1" t="s">
        <v>1049</v>
      </c>
      <c r="C8613" s="1">
        <v>10.0</v>
      </c>
      <c r="D8613" s="2" t="s">
        <v>3952</v>
      </c>
      <c r="E8613" s="1"/>
    </row>
    <row r="8614" ht="14.25" hidden="1" customHeight="1">
      <c r="A8614" s="1">
        <v>100.0</v>
      </c>
      <c r="B8614" s="1" t="s">
        <v>1049</v>
      </c>
      <c r="C8614" s="1">
        <v>10.0</v>
      </c>
      <c r="D8614" s="1" t="s">
        <v>37</v>
      </c>
      <c r="E8614" s="1"/>
    </row>
    <row r="8615" ht="14.25" hidden="1" customHeight="1">
      <c r="A8615" s="1">
        <v>100.0</v>
      </c>
      <c r="B8615" s="1" t="s">
        <v>3657</v>
      </c>
      <c r="C8615" s="1">
        <v>9.0</v>
      </c>
      <c r="D8615" s="2" t="s">
        <v>3953</v>
      </c>
      <c r="E8615" s="1"/>
    </row>
    <row r="8616" ht="14.25" hidden="1" customHeight="1">
      <c r="A8616" s="1">
        <v>33.0</v>
      </c>
      <c r="B8616" s="1" t="s">
        <v>1826</v>
      </c>
      <c r="C8616" s="1">
        <v>1.0</v>
      </c>
      <c r="D8616" s="1" t="s">
        <v>6</v>
      </c>
      <c r="E8616" s="1"/>
    </row>
    <row r="8617" ht="14.25" hidden="1" customHeight="1">
      <c r="A8617" s="1">
        <v>100.0</v>
      </c>
      <c r="B8617" s="1" t="s">
        <v>245</v>
      </c>
      <c r="C8617" s="1">
        <v>10.0</v>
      </c>
      <c r="D8617" s="1" t="s">
        <v>62</v>
      </c>
      <c r="E8617" s="1"/>
    </row>
    <row r="8618" ht="14.25" hidden="1" customHeight="1">
      <c r="A8618" s="1">
        <v>100.0</v>
      </c>
      <c r="B8618" s="1" t="s">
        <v>3657</v>
      </c>
      <c r="C8618" s="1">
        <v>10.0</v>
      </c>
      <c r="D8618" s="1" t="s">
        <v>2956</v>
      </c>
      <c r="E8618" s="1"/>
    </row>
    <row r="8619" ht="14.25" hidden="1" customHeight="1">
      <c r="A8619" s="1">
        <v>100.0</v>
      </c>
      <c r="B8619" s="1" t="s">
        <v>1049</v>
      </c>
      <c r="C8619" s="1">
        <v>10.0</v>
      </c>
      <c r="D8619" s="1" t="s">
        <v>3954</v>
      </c>
      <c r="E8619" s="1"/>
    </row>
    <row r="8620" ht="14.25" hidden="1" customHeight="1">
      <c r="A8620" s="1">
        <v>100.0</v>
      </c>
      <c r="B8620" s="1" t="s">
        <v>2669</v>
      </c>
      <c r="C8620" s="1">
        <v>10.0</v>
      </c>
      <c r="D8620" s="2" t="s">
        <v>3955</v>
      </c>
      <c r="E8620" s="1"/>
    </row>
    <row r="8621" ht="14.25" hidden="1" customHeight="1">
      <c r="A8621" s="1">
        <v>100.0</v>
      </c>
      <c r="B8621" s="1" t="s">
        <v>245</v>
      </c>
      <c r="C8621" s="1">
        <v>10.0</v>
      </c>
      <c r="D8621" s="1" t="s">
        <v>3956</v>
      </c>
      <c r="E8621" s="1"/>
    </row>
    <row r="8622" ht="14.25" hidden="1" customHeight="1">
      <c r="A8622" s="1">
        <v>100.0</v>
      </c>
      <c r="B8622" s="1" t="s">
        <v>245</v>
      </c>
      <c r="C8622" s="1">
        <v>10.0</v>
      </c>
      <c r="D8622" s="1" t="s">
        <v>20</v>
      </c>
      <c r="E8622" s="1"/>
    </row>
    <row r="8623" ht="14.25" hidden="1" customHeight="1">
      <c r="A8623" s="1">
        <v>33.0</v>
      </c>
      <c r="B8623" s="1" t="s">
        <v>1691</v>
      </c>
      <c r="C8623" s="1">
        <v>6.0</v>
      </c>
      <c r="D8623" s="2" t="s">
        <v>3957</v>
      </c>
      <c r="E8623" s="1"/>
    </row>
    <row r="8624" ht="14.25" hidden="1" customHeight="1">
      <c r="A8624" s="1">
        <v>100.0</v>
      </c>
      <c r="B8624" s="1" t="s">
        <v>1049</v>
      </c>
      <c r="C8624" s="1">
        <v>10.0</v>
      </c>
      <c r="D8624" s="2" t="s">
        <v>3958</v>
      </c>
      <c r="E8624" s="1"/>
    </row>
    <row r="8625" ht="14.25" hidden="1" customHeight="1">
      <c r="A8625" s="1">
        <v>100.0</v>
      </c>
      <c r="B8625" s="1" t="s">
        <v>3657</v>
      </c>
      <c r="C8625" s="1">
        <v>10.0</v>
      </c>
      <c r="D8625" s="2" t="s">
        <v>3959</v>
      </c>
      <c r="E8625" s="1"/>
    </row>
    <row r="8626" ht="14.25" hidden="1" customHeight="1">
      <c r="A8626" s="1">
        <v>100.0</v>
      </c>
      <c r="B8626" s="1" t="s">
        <v>1049</v>
      </c>
      <c r="C8626" s="1">
        <v>10.0</v>
      </c>
      <c r="D8626" s="2" t="s">
        <v>3960</v>
      </c>
      <c r="E8626" s="1"/>
    </row>
    <row r="8627" ht="14.25" hidden="1" customHeight="1">
      <c r="A8627" s="1">
        <v>33.0</v>
      </c>
      <c r="B8627" s="1" t="s">
        <v>1049</v>
      </c>
      <c r="C8627" s="1">
        <v>0.0</v>
      </c>
      <c r="D8627" s="1" t="s">
        <v>3961</v>
      </c>
      <c r="E8627" s="1"/>
    </row>
    <row r="8628" ht="14.25" hidden="1" customHeight="1">
      <c r="A8628" s="1">
        <v>100.0</v>
      </c>
      <c r="B8628" s="1" t="s">
        <v>1340</v>
      </c>
      <c r="C8628" s="1">
        <v>10.0</v>
      </c>
      <c r="D8628" s="1" t="s">
        <v>3962</v>
      </c>
      <c r="E8628" s="1"/>
    </row>
    <row r="8629" ht="14.25" hidden="1" customHeight="1">
      <c r="A8629" s="1">
        <v>100.0</v>
      </c>
      <c r="B8629" s="1" t="s">
        <v>3657</v>
      </c>
      <c r="C8629" s="1">
        <v>10.0</v>
      </c>
      <c r="D8629" s="1" t="s">
        <v>3963</v>
      </c>
      <c r="E8629" s="1"/>
    </row>
    <row r="8630" ht="14.25" hidden="1" customHeight="1">
      <c r="A8630" s="1">
        <v>100.0</v>
      </c>
      <c r="B8630" s="1" t="s">
        <v>1049</v>
      </c>
      <c r="C8630" s="1">
        <v>10.0</v>
      </c>
      <c r="D8630" s="1" t="s">
        <v>6</v>
      </c>
      <c r="E8630" s="1"/>
    </row>
    <row r="8631" ht="14.25" hidden="1" customHeight="1">
      <c r="A8631" s="1">
        <v>33.0</v>
      </c>
      <c r="B8631" s="1" t="s">
        <v>1826</v>
      </c>
      <c r="C8631" s="1">
        <v>4.0</v>
      </c>
      <c r="D8631" s="2" t="s">
        <v>2391</v>
      </c>
      <c r="E8631" s="1"/>
    </row>
    <row r="8632" ht="14.25" hidden="1" customHeight="1">
      <c r="A8632" s="1">
        <v>100.0</v>
      </c>
      <c r="B8632" s="1" t="s">
        <v>3657</v>
      </c>
      <c r="C8632" s="1">
        <v>10.0</v>
      </c>
      <c r="D8632" s="2" t="s">
        <v>3964</v>
      </c>
      <c r="E8632" s="1"/>
    </row>
    <row r="8633" ht="14.25" hidden="1" customHeight="1">
      <c r="A8633" s="1">
        <v>100.0</v>
      </c>
      <c r="B8633" s="1" t="s">
        <v>3657</v>
      </c>
      <c r="C8633" s="1">
        <v>10.0</v>
      </c>
      <c r="D8633" s="1" t="s">
        <v>3965</v>
      </c>
      <c r="E8633" s="1"/>
    </row>
    <row r="8634" ht="14.25" hidden="1" customHeight="1">
      <c r="A8634" s="1">
        <v>33.0</v>
      </c>
      <c r="B8634" s="1" t="s">
        <v>3657</v>
      </c>
      <c r="C8634" s="1">
        <v>0.0</v>
      </c>
      <c r="D8634" s="1" t="s">
        <v>6</v>
      </c>
      <c r="E8634" s="1"/>
    </row>
    <row r="8635" ht="14.25" hidden="1" customHeight="1">
      <c r="A8635" s="1">
        <v>100.0</v>
      </c>
      <c r="B8635" s="1" t="s">
        <v>3657</v>
      </c>
      <c r="C8635" s="1">
        <v>10.0</v>
      </c>
      <c r="D8635" s="1" t="s">
        <v>3966</v>
      </c>
      <c r="E8635" s="1"/>
    </row>
    <row r="8636" ht="14.25" hidden="1" customHeight="1">
      <c r="A8636" s="1">
        <v>100.0</v>
      </c>
      <c r="B8636" s="1" t="s">
        <v>1049</v>
      </c>
      <c r="C8636" s="1">
        <v>10.0</v>
      </c>
      <c r="D8636" s="1" t="s">
        <v>3967</v>
      </c>
      <c r="E8636" s="1"/>
    </row>
    <row r="8637" ht="14.25" hidden="1" customHeight="1">
      <c r="A8637" s="1">
        <v>100.0</v>
      </c>
      <c r="B8637" s="1" t="s">
        <v>1049</v>
      </c>
      <c r="C8637" s="1">
        <v>10.0</v>
      </c>
      <c r="D8637" s="2" t="s">
        <v>3968</v>
      </c>
      <c r="E8637" s="1"/>
    </row>
    <row r="8638" ht="14.25" hidden="1" customHeight="1">
      <c r="A8638" s="1">
        <v>33.0</v>
      </c>
      <c r="B8638" s="1" t="s">
        <v>3657</v>
      </c>
      <c r="C8638" s="1">
        <v>2.0</v>
      </c>
      <c r="D8638" s="1" t="s">
        <v>3969</v>
      </c>
      <c r="E8638" s="1"/>
    </row>
    <row r="8639" ht="14.25" hidden="1" customHeight="1">
      <c r="A8639" s="1">
        <v>100.0</v>
      </c>
      <c r="B8639" s="1" t="s">
        <v>1049</v>
      </c>
      <c r="C8639" s="1">
        <v>10.0</v>
      </c>
      <c r="D8639" s="1" t="s">
        <v>62</v>
      </c>
      <c r="E8639" s="1"/>
    </row>
    <row r="8640" ht="14.25" hidden="1" customHeight="1">
      <c r="A8640" s="1">
        <v>100.0</v>
      </c>
      <c r="B8640" s="1" t="s">
        <v>3657</v>
      </c>
      <c r="C8640" s="1">
        <v>10.0</v>
      </c>
      <c r="D8640" s="2" t="s">
        <v>3970</v>
      </c>
      <c r="E8640" s="1"/>
    </row>
    <row r="8641" ht="14.25" hidden="1" customHeight="1">
      <c r="A8641" s="1">
        <v>100.0</v>
      </c>
      <c r="B8641" s="1" t="s">
        <v>3672</v>
      </c>
      <c r="C8641" s="1">
        <v>9.0</v>
      </c>
      <c r="D8641" s="1" t="s">
        <v>3971</v>
      </c>
      <c r="E8641" s="1"/>
    </row>
    <row r="8642" ht="14.25" hidden="1" customHeight="1">
      <c r="A8642" s="1">
        <v>100.0</v>
      </c>
      <c r="B8642" s="1" t="s">
        <v>1049</v>
      </c>
      <c r="C8642" s="1">
        <v>9.0</v>
      </c>
      <c r="D8642" s="1" t="s">
        <v>85</v>
      </c>
      <c r="E8642" s="1"/>
    </row>
    <row r="8643" ht="14.25" hidden="1" customHeight="1">
      <c r="A8643" s="1">
        <v>100.0</v>
      </c>
      <c r="B8643" s="1" t="s">
        <v>801</v>
      </c>
      <c r="C8643" s="1">
        <v>10.0</v>
      </c>
      <c r="D8643" s="1" t="s">
        <v>6</v>
      </c>
      <c r="E8643" s="1"/>
    </row>
    <row r="8644" ht="14.25" hidden="1" customHeight="1">
      <c r="A8644" s="1">
        <v>100.0</v>
      </c>
      <c r="B8644" s="1" t="s">
        <v>5</v>
      </c>
      <c r="C8644" s="1">
        <v>10.0</v>
      </c>
      <c r="D8644" s="2" t="s">
        <v>3972</v>
      </c>
      <c r="E8644" s="1"/>
    </row>
    <row r="8645" ht="14.25" hidden="1" customHeight="1">
      <c r="A8645" s="1">
        <v>100.0</v>
      </c>
      <c r="B8645" s="1" t="s">
        <v>1049</v>
      </c>
      <c r="C8645" s="1">
        <v>10.0</v>
      </c>
      <c r="D8645" s="1" t="s">
        <v>6</v>
      </c>
      <c r="E8645" s="1"/>
    </row>
    <row r="8646" ht="14.25" hidden="1" customHeight="1">
      <c r="A8646" s="1">
        <v>66.0</v>
      </c>
      <c r="B8646" s="1" t="s">
        <v>3657</v>
      </c>
      <c r="C8646" s="1">
        <v>8.0</v>
      </c>
      <c r="D8646" s="1" t="s">
        <v>3973</v>
      </c>
      <c r="E8646" s="1"/>
    </row>
    <row r="8647" ht="14.25" hidden="1" customHeight="1">
      <c r="A8647" s="1">
        <v>100.0</v>
      </c>
      <c r="B8647" s="1" t="s">
        <v>245</v>
      </c>
      <c r="C8647" s="1">
        <v>10.0</v>
      </c>
      <c r="D8647" s="1" t="s">
        <v>3974</v>
      </c>
      <c r="E8647" s="1"/>
    </row>
    <row r="8648" ht="14.25" hidden="1" customHeight="1">
      <c r="A8648" s="1">
        <v>100.0</v>
      </c>
      <c r="B8648" s="1" t="s">
        <v>1049</v>
      </c>
      <c r="C8648" s="1">
        <v>10.0</v>
      </c>
      <c r="D8648" s="1" t="s">
        <v>385</v>
      </c>
      <c r="E8648" s="1"/>
    </row>
    <row r="8649" ht="14.25" hidden="1" customHeight="1">
      <c r="A8649" s="1">
        <v>33.0</v>
      </c>
      <c r="B8649" s="1" t="s">
        <v>2412</v>
      </c>
      <c r="C8649" s="1">
        <v>6.0</v>
      </c>
      <c r="D8649" s="2" t="s">
        <v>3975</v>
      </c>
      <c r="E8649" s="1"/>
    </row>
    <row r="8650" ht="14.25" hidden="1" customHeight="1">
      <c r="A8650" s="1">
        <v>100.0</v>
      </c>
      <c r="B8650" s="1" t="s">
        <v>971</v>
      </c>
      <c r="C8650" s="1">
        <v>10.0</v>
      </c>
      <c r="D8650" s="1" t="s">
        <v>62</v>
      </c>
      <c r="E8650" s="1"/>
    </row>
    <row r="8651" ht="14.25" hidden="1" customHeight="1">
      <c r="A8651" s="1">
        <v>100.0</v>
      </c>
      <c r="B8651" s="1" t="s">
        <v>3657</v>
      </c>
      <c r="C8651" s="1">
        <v>10.0</v>
      </c>
      <c r="D8651" s="1" t="s">
        <v>85</v>
      </c>
      <c r="E8651" s="1"/>
    </row>
    <row r="8652" ht="14.25" hidden="1" customHeight="1">
      <c r="A8652" s="1">
        <v>100.0</v>
      </c>
      <c r="B8652" s="1" t="s">
        <v>3657</v>
      </c>
      <c r="C8652" s="1">
        <v>10.0</v>
      </c>
      <c r="D8652" s="1" t="s">
        <v>6</v>
      </c>
      <c r="E8652" s="1"/>
    </row>
    <row r="8653" ht="14.25" hidden="1" customHeight="1">
      <c r="A8653" s="1">
        <v>100.0</v>
      </c>
      <c r="B8653" s="1" t="s">
        <v>3657</v>
      </c>
      <c r="C8653" s="1">
        <v>10.0</v>
      </c>
      <c r="D8653" s="2" t="s">
        <v>3976</v>
      </c>
      <c r="E8653" s="1"/>
    </row>
    <row r="8654" ht="14.25" hidden="1" customHeight="1">
      <c r="A8654" s="1">
        <v>100.0</v>
      </c>
      <c r="B8654" s="1" t="s">
        <v>1826</v>
      </c>
      <c r="C8654" s="1">
        <v>10.0</v>
      </c>
      <c r="D8654" s="1" t="s">
        <v>570</v>
      </c>
      <c r="E8654" s="1"/>
    </row>
    <row r="8655" ht="14.25" hidden="1" customHeight="1">
      <c r="A8655" s="1">
        <v>100.0</v>
      </c>
      <c r="B8655" s="1" t="s">
        <v>3657</v>
      </c>
      <c r="C8655" s="1">
        <v>9.0</v>
      </c>
      <c r="D8655" s="1" t="s">
        <v>6</v>
      </c>
      <c r="E8655" s="1"/>
    </row>
    <row r="8656" ht="14.25" hidden="1" customHeight="1">
      <c r="A8656" s="1">
        <v>100.0</v>
      </c>
      <c r="B8656" s="1" t="s">
        <v>3672</v>
      </c>
      <c r="C8656" s="1">
        <v>10.0</v>
      </c>
      <c r="D8656" s="1" t="s">
        <v>3977</v>
      </c>
      <c r="E8656" s="1"/>
    </row>
    <row r="8657" ht="14.25" hidden="1" customHeight="1">
      <c r="A8657" s="1">
        <v>66.0</v>
      </c>
      <c r="B8657" s="1" t="s">
        <v>1340</v>
      </c>
      <c r="C8657" s="1">
        <v>7.0</v>
      </c>
      <c r="D8657" s="1" t="s">
        <v>3978</v>
      </c>
      <c r="E8657" s="1"/>
    </row>
    <row r="8658" ht="14.25" hidden="1" customHeight="1">
      <c r="A8658" s="1">
        <v>100.0</v>
      </c>
      <c r="B8658" s="1" t="s">
        <v>2669</v>
      </c>
      <c r="C8658" s="1">
        <v>10.0</v>
      </c>
      <c r="D8658" s="1" t="s">
        <v>1187</v>
      </c>
      <c r="E8658" s="1"/>
    </row>
    <row r="8659" ht="14.25" hidden="1" customHeight="1">
      <c r="A8659" s="1">
        <v>100.0</v>
      </c>
      <c r="B8659" s="1" t="s">
        <v>1049</v>
      </c>
      <c r="C8659" s="1">
        <v>10.0</v>
      </c>
      <c r="D8659" s="1" t="s">
        <v>3979</v>
      </c>
      <c r="E8659" s="1"/>
    </row>
    <row r="8660" ht="14.25" hidden="1" customHeight="1">
      <c r="A8660" s="1">
        <v>100.0</v>
      </c>
      <c r="B8660" s="1" t="s">
        <v>3657</v>
      </c>
      <c r="C8660" s="1">
        <v>10.0</v>
      </c>
      <c r="D8660" s="1" t="s">
        <v>3980</v>
      </c>
      <c r="E8660" s="1"/>
    </row>
    <row r="8661" ht="14.25" hidden="1" customHeight="1">
      <c r="A8661" s="1">
        <v>100.0</v>
      </c>
      <c r="B8661" s="1" t="s">
        <v>157</v>
      </c>
      <c r="C8661" s="1">
        <v>10.0</v>
      </c>
      <c r="D8661" s="1" t="s">
        <v>6</v>
      </c>
      <c r="E8661" s="1"/>
    </row>
    <row r="8662" ht="14.25" hidden="1" customHeight="1">
      <c r="A8662" s="1">
        <v>100.0</v>
      </c>
      <c r="B8662" s="1" t="s">
        <v>157</v>
      </c>
      <c r="C8662" s="1">
        <v>9.0</v>
      </c>
      <c r="D8662" s="2" t="s">
        <v>3981</v>
      </c>
      <c r="E8662" s="1"/>
    </row>
    <row r="8663" ht="14.25" hidden="1" customHeight="1">
      <c r="A8663" s="1">
        <v>100.0</v>
      </c>
      <c r="B8663" s="1" t="s">
        <v>971</v>
      </c>
      <c r="C8663" s="1">
        <v>10.0</v>
      </c>
      <c r="D8663" s="1" t="s">
        <v>6</v>
      </c>
      <c r="E8663" s="1"/>
    </row>
    <row r="8664" ht="14.25" hidden="1" customHeight="1">
      <c r="A8664" s="1">
        <v>33.0</v>
      </c>
      <c r="B8664" s="1" t="s">
        <v>3657</v>
      </c>
      <c r="C8664" s="1">
        <v>0.0</v>
      </c>
      <c r="D8664" s="1" t="s">
        <v>6</v>
      </c>
      <c r="E8664" s="1"/>
    </row>
    <row r="8665" ht="14.25" hidden="1" customHeight="1">
      <c r="A8665" s="1">
        <v>100.0</v>
      </c>
      <c r="B8665" s="1" t="s">
        <v>1049</v>
      </c>
      <c r="C8665" s="1">
        <v>10.0</v>
      </c>
      <c r="D8665" s="1" t="s">
        <v>3982</v>
      </c>
      <c r="E8665" s="1"/>
    </row>
    <row r="8666" ht="14.25" hidden="1" customHeight="1">
      <c r="A8666" s="1">
        <v>100.0</v>
      </c>
      <c r="B8666" s="1" t="s">
        <v>3657</v>
      </c>
      <c r="C8666" s="1">
        <v>10.0</v>
      </c>
      <c r="D8666" s="1" t="s">
        <v>456</v>
      </c>
      <c r="E8666" s="1"/>
    </row>
    <row r="8667" ht="14.25" hidden="1" customHeight="1">
      <c r="A8667" s="1">
        <v>100.0</v>
      </c>
      <c r="B8667" s="1" t="s">
        <v>1049</v>
      </c>
      <c r="C8667" s="1">
        <v>10.0</v>
      </c>
      <c r="D8667" s="1" t="s">
        <v>3983</v>
      </c>
      <c r="E8667" s="1"/>
    </row>
    <row r="8668" ht="14.25" hidden="1" customHeight="1">
      <c r="A8668" s="1">
        <v>100.0</v>
      </c>
      <c r="B8668" s="1" t="s">
        <v>2412</v>
      </c>
      <c r="C8668" s="1">
        <v>10.0</v>
      </c>
      <c r="D8668" s="2" t="s">
        <v>3984</v>
      </c>
      <c r="E8668" s="1"/>
    </row>
    <row r="8669" ht="14.25" hidden="1" customHeight="1">
      <c r="A8669" s="1">
        <v>100.0</v>
      </c>
      <c r="B8669" s="1" t="s">
        <v>1049</v>
      </c>
      <c r="C8669" s="1">
        <v>10.0</v>
      </c>
      <c r="D8669" s="1" t="s">
        <v>62</v>
      </c>
      <c r="E8669" s="1"/>
    </row>
    <row r="8670" ht="14.25" hidden="1" customHeight="1">
      <c r="A8670" s="1">
        <v>100.0</v>
      </c>
      <c r="B8670" s="1" t="s">
        <v>3657</v>
      </c>
      <c r="C8670" s="1">
        <v>10.0</v>
      </c>
      <c r="D8670" s="1" t="s">
        <v>37</v>
      </c>
      <c r="E8670" s="1"/>
    </row>
    <row r="8671" ht="14.25" hidden="1" customHeight="1">
      <c r="A8671" s="1">
        <v>100.0</v>
      </c>
      <c r="B8671" s="1" t="s">
        <v>1049</v>
      </c>
      <c r="C8671" s="1">
        <v>10.0</v>
      </c>
      <c r="D8671" s="1" t="s">
        <v>571</v>
      </c>
      <c r="E8671" s="1"/>
    </row>
    <row r="8672" ht="14.25" hidden="1" customHeight="1">
      <c r="A8672" s="1">
        <v>100.0</v>
      </c>
      <c r="B8672" s="1" t="s">
        <v>3657</v>
      </c>
      <c r="C8672" s="1">
        <v>10.0</v>
      </c>
      <c r="D8672" s="1" t="s">
        <v>3985</v>
      </c>
      <c r="E8672" s="1"/>
    </row>
    <row r="8673" ht="14.25" hidden="1" customHeight="1">
      <c r="A8673" s="1">
        <v>100.0</v>
      </c>
      <c r="B8673" s="1" t="s">
        <v>1049</v>
      </c>
      <c r="C8673" s="1">
        <v>10.0</v>
      </c>
      <c r="D8673" s="1" t="s">
        <v>37</v>
      </c>
      <c r="E8673" s="1"/>
    </row>
    <row r="8674" ht="14.25" hidden="1" customHeight="1">
      <c r="A8674" s="1">
        <v>100.0</v>
      </c>
      <c r="B8674" s="1" t="s">
        <v>1049</v>
      </c>
      <c r="C8674" s="1">
        <v>10.0</v>
      </c>
      <c r="D8674" s="1" t="s">
        <v>85</v>
      </c>
      <c r="E8674" s="1"/>
    </row>
    <row r="8675" ht="14.25" hidden="1" customHeight="1">
      <c r="A8675" s="1">
        <v>100.0</v>
      </c>
      <c r="B8675" s="1" t="s">
        <v>687</v>
      </c>
      <c r="C8675" s="1">
        <v>10.0</v>
      </c>
      <c r="D8675" s="1" t="s">
        <v>3986</v>
      </c>
      <c r="E8675" s="1"/>
    </row>
    <row r="8676" ht="14.25" hidden="1" customHeight="1">
      <c r="A8676" s="1">
        <v>100.0</v>
      </c>
      <c r="B8676" s="1" t="s">
        <v>245</v>
      </c>
      <c r="C8676" s="1">
        <v>9.0</v>
      </c>
      <c r="D8676" s="2" t="s">
        <v>3987</v>
      </c>
      <c r="E8676" s="1"/>
    </row>
    <row r="8677" ht="14.25" hidden="1" customHeight="1">
      <c r="A8677" s="1">
        <v>66.0</v>
      </c>
      <c r="B8677" s="1" t="s">
        <v>819</v>
      </c>
      <c r="C8677" s="1">
        <v>8.0</v>
      </c>
      <c r="D8677" s="1" t="s">
        <v>6</v>
      </c>
      <c r="E8677" s="1"/>
    </row>
    <row r="8678" ht="14.25" hidden="1" customHeight="1">
      <c r="A8678" s="1">
        <v>100.0</v>
      </c>
      <c r="B8678" s="1" t="s">
        <v>3423</v>
      </c>
      <c r="C8678" s="1">
        <v>10.0</v>
      </c>
      <c r="D8678" s="1" t="s">
        <v>3355</v>
      </c>
      <c r="E8678" s="1"/>
    </row>
    <row r="8679" ht="14.25" hidden="1" customHeight="1">
      <c r="A8679" s="1">
        <v>100.0</v>
      </c>
      <c r="B8679" s="1" t="s">
        <v>3657</v>
      </c>
      <c r="C8679" s="1">
        <v>10.0</v>
      </c>
      <c r="D8679" s="1" t="s">
        <v>6</v>
      </c>
      <c r="E8679" s="1"/>
    </row>
    <row r="8680" ht="14.25" hidden="1" customHeight="1">
      <c r="A8680" s="1">
        <v>100.0</v>
      </c>
      <c r="B8680" s="1" t="s">
        <v>1049</v>
      </c>
      <c r="C8680" s="1">
        <v>10.0</v>
      </c>
      <c r="D8680" s="1" t="s">
        <v>3988</v>
      </c>
      <c r="E8680" s="1"/>
    </row>
    <row r="8681" ht="14.25" hidden="1" customHeight="1">
      <c r="A8681" s="1">
        <v>100.0</v>
      </c>
      <c r="B8681" s="1" t="s">
        <v>3672</v>
      </c>
      <c r="C8681" s="1">
        <v>10.0</v>
      </c>
      <c r="D8681" s="2" t="s">
        <v>3989</v>
      </c>
      <c r="E8681" s="1"/>
    </row>
    <row r="8682" ht="14.25" hidden="1" customHeight="1">
      <c r="A8682" s="1">
        <v>100.0</v>
      </c>
      <c r="B8682" s="1" t="s">
        <v>3657</v>
      </c>
      <c r="C8682" s="1">
        <v>10.0</v>
      </c>
      <c r="D8682" s="1" t="s">
        <v>1514</v>
      </c>
      <c r="E8682" s="1"/>
    </row>
    <row r="8683" ht="14.25" hidden="1" customHeight="1">
      <c r="A8683" s="1">
        <v>100.0</v>
      </c>
      <c r="B8683" s="1" t="s">
        <v>3657</v>
      </c>
      <c r="C8683" s="1">
        <v>10.0</v>
      </c>
      <c r="D8683" s="1" t="s">
        <v>6</v>
      </c>
      <c r="E8683" s="1"/>
    </row>
    <row r="8684" ht="14.25" hidden="1" customHeight="1">
      <c r="A8684" s="1">
        <v>100.0</v>
      </c>
      <c r="B8684" s="1" t="s">
        <v>3657</v>
      </c>
      <c r="C8684" s="1">
        <v>10.0</v>
      </c>
      <c r="D8684" s="1" t="s">
        <v>6</v>
      </c>
      <c r="E8684" s="1"/>
    </row>
    <row r="8685" ht="14.25" hidden="1" customHeight="1">
      <c r="A8685" s="1">
        <v>100.0</v>
      </c>
      <c r="B8685" s="1" t="s">
        <v>1049</v>
      </c>
      <c r="C8685" s="1">
        <v>9.0</v>
      </c>
      <c r="D8685" s="1" t="s">
        <v>347</v>
      </c>
      <c r="E8685" s="1"/>
    </row>
    <row r="8686" ht="14.25" hidden="1" customHeight="1">
      <c r="A8686" s="1">
        <v>100.0</v>
      </c>
      <c r="B8686" s="1" t="s">
        <v>3657</v>
      </c>
      <c r="C8686" s="1">
        <v>9.0</v>
      </c>
      <c r="D8686" s="1" t="s">
        <v>6</v>
      </c>
      <c r="E8686" s="1"/>
    </row>
    <row r="8687" ht="14.25" hidden="1" customHeight="1">
      <c r="A8687" s="1">
        <v>100.0</v>
      </c>
      <c r="B8687" s="1" t="s">
        <v>1049</v>
      </c>
      <c r="C8687" s="1">
        <v>10.0</v>
      </c>
      <c r="D8687" s="1" t="s">
        <v>6</v>
      </c>
      <c r="E8687" s="1"/>
    </row>
    <row r="8688" ht="14.25" hidden="1" customHeight="1">
      <c r="A8688" s="1">
        <v>100.0</v>
      </c>
      <c r="B8688" s="1" t="s">
        <v>1049</v>
      </c>
      <c r="C8688" s="1">
        <v>10.0</v>
      </c>
      <c r="D8688" s="1" t="s">
        <v>3990</v>
      </c>
      <c r="E8688" s="1"/>
    </row>
    <row r="8689" ht="14.25" hidden="1" customHeight="1">
      <c r="A8689" s="1">
        <v>33.0</v>
      </c>
      <c r="B8689" s="1" t="s">
        <v>3657</v>
      </c>
      <c r="C8689" s="1">
        <v>5.0</v>
      </c>
      <c r="D8689" s="1" t="s">
        <v>3991</v>
      </c>
      <c r="E8689" s="1"/>
    </row>
    <row r="8690" ht="14.25" hidden="1" customHeight="1">
      <c r="A8690" s="1">
        <v>100.0</v>
      </c>
      <c r="B8690" s="1" t="s">
        <v>3657</v>
      </c>
      <c r="C8690" s="1">
        <v>9.0</v>
      </c>
      <c r="D8690" s="1" t="s">
        <v>6</v>
      </c>
      <c r="E8690" s="1"/>
    </row>
    <row r="8691" ht="14.25" hidden="1" customHeight="1">
      <c r="A8691" s="1">
        <v>33.0</v>
      </c>
      <c r="B8691" s="1" t="s">
        <v>1826</v>
      </c>
      <c r="C8691" s="1">
        <v>0.0</v>
      </c>
      <c r="D8691" s="2" t="s">
        <v>3992</v>
      </c>
      <c r="E8691" s="1"/>
    </row>
    <row r="8692" ht="14.25" hidden="1" customHeight="1">
      <c r="A8692" s="1">
        <v>100.0</v>
      </c>
      <c r="B8692" s="1" t="s">
        <v>3423</v>
      </c>
      <c r="C8692" s="1">
        <v>9.0</v>
      </c>
      <c r="D8692" s="1" t="s">
        <v>3993</v>
      </c>
      <c r="E8692" s="1"/>
    </row>
    <row r="8693" ht="14.25" hidden="1" customHeight="1">
      <c r="A8693" s="1">
        <v>33.0</v>
      </c>
      <c r="B8693" s="1" t="s">
        <v>1340</v>
      </c>
      <c r="C8693" s="1">
        <v>4.0</v>
      </c>
      <c r="D8693" s="1" t="s">
        <v>3994</v>
      </c>
      <c r="E8693" s="1"/>
    </row>
    <row r="8694" ht="14.25" hidden="1" customHeight="1">
      <c r="A8694" s="1">
        <v>100.0</v>
      </c>
      <c r="B8694" s="1" t="s">
        <v>2412</v>
      </c>
      <c r="C8694" s="1">
        <v>10.0</v>
      </c>
      <c r="D8694" s="1" t="s">
        <v>276</v>
      </c>
      <c r="E8694" s="1"/>
    </row>
    <row r="8695" ht="14.25" hidden="1" customHeight="1">
      <c r="A8695" s="1">
        <v>66.0</v>
      </c>
      <c r="B8695" s="1" t="s">
        <v>2412</v>
      </c>
      <c r="C8695" s="1">
        <v>7.0</v>
      </c>
      <c r="D8695" s="1" t="s">
        <v>6</v>
      </c>
      <c r="E8695" s="1"/>
    </row>
    <row r="8696" ht="14.25" hidden="1" customHeight="1">
      <c r="A8696" s="1">
        <v>66.0</v>
      </c>
      <c r="B8696" s="1" t="s">
        <v>3657</v>
      </c>
      <c r="C8696" s="1">
        <v>8.0</v>
      </c>
      <c r="D8696" s="2" t="s">
        <v>3995</v>
      </c>
      <c r="E8696" s="1"/>
    </row>
    <row r="8697" ht="14.25" hidden="1" customHeight="1">
      <c r="A8697" s="1">
        <v>100.0</v>
      </c>
      <c r="B8697" s="1" t="s">
        <v>3657</v>
      </c>
      <c r="C8697" s="1">
        <v>10.0</v>
      </c>
      <c r="D8697" s="1" t="s">
        <v>6</v>
      </c>
      <c r="E8697" s="1"/>
    </row>
    <row r="8698" ht="14.25" hidden="1" customHeight="1">
      <c r="A8698" s="1">
        <v>100.0</v>
      </c>
      <c r="B8698" s="1" t="s">
        <v>3657</v>
      </c>
      <c r="C8698" s="1">
        <v>10.0</v>
      </c>
      <c r="D8698" s="1" t="s">
        <v>6</v>
      </c>
      <c r="E8698" s="1"/>
    </row>
    <row r="8699" ht="14.25" hidden="1" customHeight="1">
      <c r="A8699" s="1">
        <v>100.0</v>
      </c>
      <c r="B8699" s="1" t="s">
        <v>3657</v>
      </c>
      <c r="C8699" s="1">
        <v>10.0</v>
      </c>
      <c r="D8699" s="1" t="s">
        <v>3996</v>
      </c>
      <c r="E8699" s="1"/>
    </row>
    <row r="8700" ht="14.25" hidden="1" customHeight="1">
      <c r="A8700" s="1">
        <v>100.0</v>
      </c>
      <c r="B8700" s="1" t="s">
        <v>3672</v>
      </c>
      <c r="C8700" s="1">
        <v>10.0</v>
      </c>
      <c r="D8700" s="1" t="s">
        <v>3997</v>
      </c>
      <c r="E8700" s="1"/>
    </row>
    <row r="8701" ht="14.25" hidden="1" customHeight="1">
      <c r="A8701" s="1">
        <v>33.0</v>
      </c>
      <c r="B8701" s="1" t="s">
        <v>3657</v>
      </c>
      <c r="C8701" s="1">
        <v>5.0</v>
      </c>
      <c r="D8701" s="1" t="s">
        <v>6</v>
      </c>
      <c r="E8701" s="1"/>
    </row>
    <row r="8702" ht="14.25" hidden="1" customHeight="1">
      <c r="A8702" s="1">
        <v>66.0</v>
      </c>
      <c r="B8702" s="1" t="s">
        <v>3657</v>
      </c>
      <c r="C8702" s="1">
        <v>8.0</v>
      </c>
      <c r="D8702" s="1" t="s">
        <v>6</v>
      </c>
      <c r="E8702" s="1"/>
    </row>
    <row r="8703" ht="14.25" hidden="1" customHeight="1">
      <c r="A8703" s="1">
        <v>100.0</v>
      </c>
      <c r="B8703" s="1" t="s">
        <v>3672</v>
      </c>
      <c r="C8703" s="1">
        <v>10.0</v>
      </c>
      <c r="D8703" s="1" t="s">
        <v>6</v>
      </c>
      <c r="E8703" s="1"/>
    </row>
    <row r="8704" ht="14.25" hidden="1" customHeight="1">
      <c r="A8704" s="1">
        <v>100.0</v>
      </c>
      <c r="B8704" s="1" t="s">
        <v>1049</v>
      </c>
      <c r="C8704" s="1">
        <v>10.0</v>
      </c>
      <c r="D8704" s="1" t="s">
        <v>9</v>
      </c>
      <c r="E8704" s="1"/>
    </row>
    <row r="8705" ht="14.25" hidden="1" customHeight="1">
      <c r="A8705" s="1">
        <v>100.0</v>
      </c>
      <c r="B8705" s="1" t="s">
        <v>1826</v>
      </c>
      <c r="C8705" s="1">
        <v>10.0</v>
      </c>
      <c r="D8705" s="2" t="s">
        <v>3998</v>
      </c>
      <c r="E8705" s="1"/>
    </row>
    <row r="8706" ht="14.25" hidden="1" customHeight="1">
      <c r="A8706" s="1">
        <v>33.0</v>
      </c>
      <c r="B8706" s="1" t="s">
        <v>3657</v>
      </c>
      <c r="C8706" s="1">
        <v>5.0</v>
      </c>
      <c r="D8706" s="2" t="s">
        <v>3999</v>
      </c>
      <c r="E8706" s="1"/>
    </row>
    <row r="8707" ht="14.25" hidden="1" customHeight="1">
      <c r="A8707" s="1">
        <v>100.0</v>
      </c>
      <c r="B8707" s="1" t="s">
        <v>3657</v>
      </c>
      <c r="C8707" s="1">
        <v>10.0</v>
      </c>
      <c r="D8707" s="1" t="s">
        <v>6</v>
      </c>
      <c r="E8707" s="1"/>
    </row>
    <row r="8708" ht="14.25" hidden="1" customHeight="1">
      <c r="A8708" s="1">
        <v>66.0</v>
      </c>
      <c r="B8708" s="1" t="s">
        <v>1826</v>
      </c>
      <c r="C8708" s="1">
        <v>8.0</v>
      </c>
      <c r="D8708" s="2" t="s">
        <v>4000</v>
      </c>
      <c r="E8708" s="1"/>
    </row>
    <row r="8709" ht="14.25" hidden="1" customHeight="1">
      <c r="A8709" s="1">
        <v>100.0</v>
      </c>
      <c r="B8709" s="1" t="s">
        <v>3657</v>
      </c>
      <c r="C8709" s="1">
        <v>10.0</v>
      </c>
      <c r="D8709" s="1" t="s">
        <v>6</v>
      </c>
      <c r="E8709" s="1"/>
    </row>
    <row r="8710" ht="14.25" hidden="1" customHeight="1">
      <c r="A8710" s="1">
        <v>100.0</v>
      </c>
      <c r="B8710" s="1" t="s">
        <v>3657</v>
      </c>
      <c r="C8710" s="1">
        <v>10.0</v>
      </c>
      <c r="D8710" s="1" t="s">
        <v>6</v>
      </c>
      <c r="E8710" s="1"/>
    </row>
    <row r="8711" ht="14.25" hidden="1" customHeight="1">
      <c r="A8711" s="1">
        <v>100.0</v>
      </c>
      <c r="B8711" s="1" t="s">
        <v>5</v>
      </c>
      <c r="C8711" s="1">
        <v>10.0</v>
      </c>
      <c r="D8711" s="2" t="s">
        <v>4001</v>
      </c>
      <c r="E8711" s="1"/>
    </row>
    <row r="8712" ht="14.25" hidden="1" customHeight="1">
      <c r="A8712" s="1">
        <v>100.0</v>
      </c>
      <c r="B8712" s="1" t="s">
        <v>3657</v>
      </c>
      <c r="C8712" s="1">
        <v>10.0</v>
      </c>
      <c r="D8712" s="1" t="s">
        <v>6</v>
      </c>
      <c r="E8712" s="1"/>
    </row>
    <row r="8713" ht="14.25" hidden="1" customHeight="1">
      <c r="A8713" s="1">
        <v>100.0</v>
      </c>
      <c r="B8713" s="1" t="s">
        <v>3657</v>
      </c>
      <c r="C8713" s="1">
        <v>9.0</v>
      </c>
      <c r="D8713" s="1" t="s">
        <v>6</v>
      </c>
      <c r="E8713" s="1"/>
    </row>
    <row r="8714" ht="14.25" hidden="1" customHeight="1">
      <c r="A8714" s="1">
        <v>33.0</v>
      </c>
      <c r="B8714" s="1" t="s">
        <v>819</v>
      </c>
      <c r="C8714" s="1">
        <v>3.0</v>
      </c>
      <c r="D8714" s="1" t="s">
        <v>4002</v>
      </c>
      <c r="E8714" s="1"/>
    </row>
    <row r="8715" ht="14.25" hidden="1" customHeight="1">
      <c r="A8715" s="1">
        <v>100.0</v>
      </c>
      <c r="B8715" s="1" t="s">
        <v>3657</v>
      </c>
      <c r="C8715" s="1">
        <v>10.0</v>
      </c>
      <c r="D8715" s="1" t="s">
        <v>6</v>
      </c>
      <c r="E8715" s="1"/>
    </row>
    <row r="8716" ht="14.25" hidden="1" customHeight="1">
      <c r="A8716" s="1">
        <v>100.0</v>
      </c>
      <c r="B8716" s="1" t="s">
        <v>2412</v>
      </c>
      <c r="C8716" s="1">
        <v>10.0</v>
      </c>
      <c r="D8716" s="1" t="s">
        <v>85</v>
      </c>
      <c r="E8716" s="1"/>
    </row>
    <row r="8717" ht="14.25" hidden="1" customHeight="1">
      <c r="A8717" s="1">
        <v>100.0</v>
      </c>
      <c r="B8717" s="1" t="s">
        <v>3657</v>
      </c>
      <c r="C8717" s="1">
        <v>10.0</v>
      </c>
      <c r="D8717" s="1" t="s">
        <v>4003</v>
      </c>
      <c r="E8717" s="1"/>
    </row>
    <row r="8718" ht="14.25" hidden="1" customHeight="1">
      <c r="A8718" s="1">
        <v>100.0</v>
      </c>
      <c r="B8718" s="1" t="s">
        <v>3657</v>
      </c>
      <c r="C8718" s="1">
        <v>10.0</v>
      </c>
      <c r="D8718" s="1" t="s">
        <v>4003</v>
      </c>
      <c r="E8718" s="1"/>
    </row>
    <row r="8719" ht="14.25" hidden="1" customHeight="1">
      <c r="A8719" s="1">
        <v>100.0</v>
      </c>
      <c r="B8719" s="1" t="s">
        <v>3657</v>
      </c>
      <c r="C8719" s="1">
        <v>10.0</v>
      </c>
      <c r="D8719" s="1" t="s">
        <v>62</v>
      </c>
      <c r="E8719" s="1"/>
    </row>
    <row r="8720" ht="14.25" hidden="1" customHeight="1">
      <c r="A8720" s="1">
        <v>100.0</v>
      </c>
      <c r="B8720" s="1" t="s">
        <v>3657</v>
      </c>
      <c r="C8720" s="1">
        <v>10.0</v>
      </c>
      <c r="D8720" s="1" t="s">
        <v>85</v>
      </c>
      <c r="E8720" s="1"/>
    </row>
    <row r="8721" ht="14.25" hidden="1" customHeight="1">
      <c r="A8721" s="1">
        <v>100.0</v>
      </c>
      <c r="B8721" s="1" t="s">
        <v>157</v>
      </c>
      <c r="C8721" s="1">
        <v>10.0</v>
      </c>
      <c r="D8721" s="1" t="s">
        <v>6</v>
      </c>
      <c r="E8721" s="1"/>
    </row>
    <row r="8722" ht="14.25" hidden="1" customHeight="1">
      <c r="A8722" s="1">
        <v>100.0</v>
      </c>
      <c r="B8722" s="1" t="s">
        <v>1340</v>
      </c>
      <c r="C8722" s="1">
        <v>10.0</v>
      </c>
      <c r="D8722" s="1" t="s">
        <v>4004</v>
      </c>
      <c r="E8722" s="1"/>
    </row>
    <row r="8723" ht="14.25" hidden="1" customHeight="1">
      <c r="A8723" s="1">
        <v>33.0</v>
      </c>
      <c r="B8723" s="1" t="s">
        <v>687</v>
      </c>
      <c r="C8723" s="1">
        <v>0.0</v>
      </c>
      <c r="D8723" s="1" t="s">
        <v>4005</v>
      </c>
      <c r="E8723" s="1"/>
    </row>
    <row r="8724" ht="14.25" hidden="1" customHeight="1">
      <c r="A8724" s="1">
        <v>100.0</v>
      </c>
      <c r="B8724" s="1" t="s">
        <v>687</v>
      </c>
      <c r="C8724" s="1">
        <v>10.0</v>
      </c>
      <c r="D8724" s="1" t="s">
        <v>22</v>
      </c>
      <c r="E8724" s="1"/>
    </row>
    <row r="8725" ht="14.25" hidden="1" customHeight="1">
      <c r="A8725" s="1">
        <v>100.0</v>
      </c>
      <c r="B8725" s="1" t="s">
        <v>3672</v>
      </c>
      <c r="C8725" s="1">
        <v>10.0</v>
      </c>
      <c r="D8725" s="1" t="s">
        <v>164</v>
      </c>
      <c r="E8725" s="1"/>
    </row>
    <row r="8726" ht="14.25" hidden="1" customHeight="1">
      <c r="A8726" s="1">
        <v>100.0</v>
      </c>
      <c r="B8726" s="1" t="s">
        <v>3672</v>
      </c>
      <c r="C8726" s="1">
        <v>9.0</v>
      </c>
      <c r="D8726" s="1" t="s">
        <v>6</v>
      </c>
      <c r="E8726" s="1"/>
    </row>
    <row r="8727" ht="14.25" hidden="1" customHeight="1">
      <c r="A8727" s="1">
        <v>100.0</v>
      </c>
      <c r="B8727" s="1" t="s">
        <v>3657</v>
      </c>
      <c r="C8727" s="1">
        <v>10.0</v>
      </c>
      <c r="D8727" s="1" t="s">
        <v>6</v>
      </c>
      <c r="E8727" s="1"/>
    </row>
    <row r="8728" ht="14.25" hidden="1" customHeight="1">
      <c r="A8728" s="1">
        <v>100.0</v>
      </c>
      <c r="B8728" s="1" t="s">
        <v>3672</v>
      </c>
      <c r="C8728" s="1">
        <v>10.0</v>
      </c>
      <c r="D8728" s="1" t="s">
        <v>6</v>
      </c>
      <c r="E8728" s="1"/>
    </row>
    <row r="8729" ht="14.25" hidden="1" customHeight="1">
      <c r="A8729" s="1">
        <v>66.0</v>
      </c>
      <c r="B8729" s="1" t="s">
        <v>3423</v>
      </c>
      <c r="C8729" s="1">
        <v>7.0</v>
      </c>
      <c r="D8729" s="2" t="s">
        <v>4006</v>
      </c>
      <c r="E8729" s="1"/>
    </row>
    <row r="8730" ht="14.25" hidden="1" customHeight="1">
      <c r="A8730" s="1">
        <v>100.0</v>
      </c>
      <c r="B8730" s="1" t="s">
        <v>3657</v>
      </c>
      <c r="C8730" s="1">
        <v>10.0</v>
      </c>
      <c r="D8730" s="1" t="s">
        <v>4007</v>
      </c>
      <c r="E8730" s="1"/>
    </row>
    <row r="8731" ht="14.25" hidden="1" customHeight="1">
      <c r="A8731" s="1">
        <v>100.0</v>
      </c>
      <c r="B8731" s="1" t="s">
        <v>3657</v>
      </c>
      <c r="C8731" s="1">
        <v>10.0</v>
      </c>
      <c r="D8731" s="1" t="s">
        <v>6</v>
      </c>
      <c r="E8731" s="1"/>
    </row>
    <row r="8732" ht="14.25" hidden="1" customHeight="1">
      <c r="A8732" s="1">
        <v>100.0</v>
      </c>
      <c r="B8732" s="1" t="s">
        <v>819</v>
      </c>
      <c r="C8732" s="1">
        <v>9.0</v>
      </c>
      <c r="D8732" s="1" t="s">
        <v>6</v>
      </c>
      <c r="E8732" s="1"/>
    </row>
    <row r="8733" ht="14.25" hidden="1" customHeight="1">
      <c r="A8733" s="1">
        <v>33.0</v>
      </c>
      <c r="B8733" s="1" t="s">
        <v>3657</v>
      </c>
      <c r="C8733" s="1">
        <v>5.0</v>
      </c>
      <c r="D8733" s="2" t="s">
        <v>4008</v>
      </c>
      <c r="E8733" s="1"/>
    </row>
    <row r="8734" ht="14.25" hidden="1" customHeight="1">
      <c r="A8734" s="1">
        <v>100.0</v>
      </c>
      <c r="B8734" s="1" t="s">
        <v>1245</v>
      </c>
      <c r="C8734" s="1">
        <v>10.0</v>
      </c>
      <c r="D8734" s="1" t="s">
        <v>6</v>
      </c>
      <c r="E8734" s="1"/>
    </row>
    <row r="8735" ht="14.25" hidden="1" customHeight="1">
      <c r="A8735" s="1">
        <v>66.0</v>
      </c>
      <c r="B8735" s="1" t="s">
        <v>5</v>
      </c>
      <c r="C8735" s="1">
        <v>8.0</v>
      </c>
      <c r="D8735" s="2" t="s">
        <v>4009</v>
      </c>
      <c r="E8735" s="1"/>
    </row>
    <row r="8736" ht="14.25" hidden="1" customHeight="1">
      <c r="A8736" s="1">
        <v>33.0</v>
      </c>
      <c r="B8736" s="1" t="s">
        <v>3657</v>
      </c>
      <c r="C8736" s="1">
        <v>4.0</v>
      </c>
      <c r="D8736" s="1" t="s">
        <v>6</v>
      </c>
      <c r="E8736" s="1"/>
    </row>
    <row r="8737" ht="14.25" hidden="1" customHeight="1">
      <c r="A8737" s="1">
        <v>100.0</v>
      </c>
      <c r="B8737" s="1" t="s">
        <v>1245</v>
      </c>
      <c r="C8737" s="1">
        <v>10.0</v>
      </c>
      <c r="D8737" s="2" t="s">
        <v>4010</v>
      </c>
      <c r="E8737" s="1"/>
    </row>
    <row r="8738" ht="14.25" hidden="1" customHeight="1">
      <c r="A8738" s="1">
        <v>100.0</v>
      </c>
      <c r="B8738" s="1" t="s">
        <v>157</v>
      </c>
      <c r="C8738" s="1">
        <v>10.0</v>
      </c>
      <c r="D8738" s="2" t="s">
        <v>4011</v>
      </c>
      <c r="E8738" s="1"/>
    </row>
    <row r="8739" ht="14.25" hidden="1" customHeight="1">
      <c r="A8739" s="1">
        <v>66.0</v>
      </c>
      <c r="B8739" s="1" t="s">
        <v>971</v>
      </c>
      <c r="C8739" s="1">
        <v>8.0</v>
      </c>
      <c r="D8739" s="1" t="s">
        <v>20</v>
      </c>
      <c r="E8739" s="1"/>
    </row>
    <row r="8740" ht="14.25" hidden="1" customHeight="1">
      <c r="A8740" s="1">
        <v>100.0</v>
      </c>
      <c r="B8740" s="1" t="s">
        <v>1245</v>
      </c>
      <c r="C8740" s="1">
        <v>10.0</v>
      </c>
      <c r="D8740" s="1" t="s">
        <v>6</v>
      </c>
      <c r="E8740" s="1"/>
    </row>
    <row r="8741" ht="14.25" hidden="1" customHeight="1">
      <c r="A8741" s="1">
        <v>100.0</v>
      </c>
      <c r="B8741" s="1" t="s">
        <v>1049</v>
      </c>
      <c r="C8741" s="1">
        <v>10.0</v>
      </c>
      <c r="D8741" s="1" t="s">
        <v>22</v>
      </c>
      <c r="E8741" s="1"/>
    </row>
    <row r="8742" ht="14.25" hidden="1" customHeight="1">
      <c r="A8742" s="1">
        <v>66.0</v>
      </c>
      <c r="B8742" s="1" t="s">
        <v>687</v>
      </c>
      <c r="C8742" s="1">
        <v>7.0</v>
      </c>
      <c r="D8742" s="1" t="s">
        <v>4012</v>
      </c>
      <c r="E8742" s="1"/>
    </row>
    <row r="8743" ht="14.25" hidden="1" customHeight="1">
      <c r="A8743" s="1">
        <v>100.0</v>
      </c>
      <c r="B8743" s="1" t="s">
        <v>3657</v>
      </c>
      <c r="C8743" s="1">
        <v>10.0</v>
      </c>
      <c r="D8743" s="1" t="s">
        <v>4013</v>
      </c>
      <c r="E8743" s="1"/>
    </row>
    <row r="8744" ht="14.25" hidden="1" customHeight="1">
      <c r="A8744" s="1">
        <v>100.0</v>
      </c>
      <c r="B8744" s="1" t="s">
        <v>3672</v>
      </c>
      <c r="C8744" s="1">
        <v>10.0</v>
      </c>
      <c r="D8744" s="2" t="s">
        <v>4014</v>
      </c>
      <c r="E8744" s="1"/>
    </row>
    <row r="8745" ht="14.25" hidden="1" customHeight="1">
      <c r="A8745" s="1">
        <v>66.0</v>
      </c>
      <c r="B8745" s="1" t="s">
        <v>3657</v>
      </c>
      <c r="C8745" s="1">
        <v>7.0</v>
      </c>
      <c r="D8745" s="1" t="s">
        <v>4015</v>
      </c>
      <c r="E8745" s="1"/>
    </row>
    <row r="8746" ht="14.25" hidden="1" customHeight="1">
      <c r="A8746" s="1">
        <v>66.0</v>
      </c>
      <c r="B8746" s="1" t="s">
        <v>3657</v>
      </c>
      <c r="C8746" s="1">
        <v>7.0</v>
      </c>
      <c r="D8746" s="1" t="s">
        <v>4015</v>
      </c>
      <c r="E8746" s="1"/>
    </row>
    <row r="8747" ht="14.25" hidden="1" customHeight="1">
      <c r="A8747" s="1">
        <v>100.0</v>
      </c>
      <c r="B8747" s="1" t="s">
        <v>3657</v>
      </c>
      <c r="C8747" s="1">
        <v>10.0</v>
      </c>
      <c r="D8747" s="1" t="s">
        <v>4016</v>
      </c>
      <c r="E8747" s="1"/>
    </row>
    <row r="8748" ht="14.25" hidden="1" customHeight="1">
      <c r="A8748" s="1">
        <v>100.0</v>
      </c>
      <c r="B8748" s="1" t="s">
        <v>1826</v>
      </c>
      <c r="C8748" s="1">
        <v>9.0</v>
      </c>
      <c r="D8748" s="1" t="s">
        <v>4017</v>
      </c>
      <c r="E8748" s="1"/>
    </row>
    <row r="8749" ht="14.25" hidden="1" customHeight="1">
      <c r="A8749" s="1">
        <v>100.0</v>
      </c>
      <c r="B8749" s="1" t="s">
        <v>1245</v>
      </c>
      <c r="C8749" s="1">
        <v>10.0</v>
      </c>
      <c r="D8749" s="1" t="s">
        <v>6</v>
      </c>
      <c r="E8749" s="1"/>
    </row>
    <row r="8750" ht="14.25" hidden="1" customHeight="1">
      <c r="A8750" s="1">
        <v>33.0</v>
      </c>
      <c r="B8750" s="1" t="s">
        <v>3657</v>
      </c>
      <c r="C8750" s="1">
        <v>5.0</v>
      </c>
      <c r="D8750" s="2" t="s">
        <v>4018</v>
      </c>
      <c r="E8750" s="1"/>
    </row>
    <row r="8751" ht="14.25" hidden="1" customHeight="1">
      <c r="A8751" s="1">
        <v>100.0</v>
      </c>
      <c r="B8751" s="1" t="s">
        <v>3657</v>
      </c>
      <c r="C8751" s="1">
        <v>10.0</v>
      </c>
      <c r="D8751" s="1" t="s">
        <v>6</v>
      </c>
      <c r="E8751" s="1"/>
    </row>
    <row r="8752" ht="14.25" hidden="1" customHeight="1">
      <c r="A8752" s="1">
        <v>66.0</v>
      </c>
      <c r="B8752" s="1" t="s">
        <v>3657</v>
      </c>
      <c r="C8752" s="1">
        <v>8.0</v>
      </c>
      <c r="D8752" s="1" t="s">
        <v>6</v>
      </c>
      <c r="E8752" s="1"/>
    </row>
    <row r="8753" ht="14.25" hidden="1" customHeight="1">
      <c r="A8753" s="1">
        <v>33.0</v>
      </c>
      <c r="B8753" s="1" t="s">
        <v>1245</v>
      </c>
      <c r="C8753" s="1">
        <v>3.0</v>
      </c>
      <c r="D8753" s="2" t="s">
        <v>2583</v>
      </c>
      <c r="E8753" s="1"/>
    </row>
    <row r="8754" ht="14.25" hidden="1" customHeight="1">
      <c r="A8754" s="1">
        <v>100.0</v>
      </c>
      <c r="B8754" s="1" t="s">
        <v>5</v>
      </c>
      <c r="C8754" s="1">
        <v>10.0</v>
      </c>
      <c r="D8754" s="1" t="s">
        <v>4019</v>
      </c>
      <c r="E8754" s="1"/>
    </row>
    <row r="8755" ht="14.25" hidden="1" customHeight="1">
      <c r="A8755" s="1">
        <v>100.0</v>
      </c>
      <c r="B8755" s="1" t="s">
        <v>3657</v>
      </c>
      <c r="C8755" s="1">
        <v>10.0</v>
      </c>
      <c r="D8755" s="1" t="s">
        <v>6</v>
      </c>
      <c r="E8755" s="1"/>
    </row>
    <row r="8756" ht="14.25" hidden="1" customHeight="1">
      <c r="A8756" s="1">
        <v>100.0</v>
      </c>
      <c r="B8756" s="1" t="s">
        <v>2412</v>
      </c>
      <c r="C8756" s="1">
        <v>9.0</v>
      </c>
      <c r="D8756" s="1" t="s">
        <v>6</v>
      </c>
      <c r="E8756" s="1"/>
    </row>
    <row r="8757" ht="14.25" hidden="1" customHeight="1">
      <c r="A8757" s="1">
        <v>33.0</v>
      </c>
      <c r="B8757" s="1" t="s">
        <v>245</v>
      </c>
      <c r="C8757" s="1">
        <v>2.0</v>
      </c>
      <c r="D8757" s="2" t="s">
        <v>3812</v>
      </c>
      <c r="E8757" s="1"/>
    </row>
    <row r="8758" ht="14.25" hidden="1" customHeight="1">
      <c r="A8758" s="1">
        <v>100.0</v>
      </c>
      <c r="B8758" s="1" t="s">
        <v>3657</v>
      </c>
      <c r="C8758" s="1">
        <v>10.0</v>
      </c>
      <c r="D8758" s="1" t="s">
        <v>6</v>
      </c>
      <c r="E8758" s="1"/>
    </row>
    <row r="8759" ht="14.25" hidden="1" customHeight="1">
      <c r="A8759" s="1">
        <v>100.0</v>
      </c>
      <c r="B8759" s="1" t="s">
        <v>3672</v>
      </c>
      <c r="C8759" s="1">
        <v>9.0</v>
      </c>
      <c r="D8759" s="1" t="s">
        <v>6</v>
      </c>
      <c r="E8759" s="1"/>
    </row>
    <row r="8760" ht="14.25" hidden="1" customHeight="1">
      <c r="A8760" s="1">
        <v>66.0</v>
      </c>
      <c r="B8760" s="1" t="s">
        <v>3657</v>
      </c>
      <c r="C8760" s="1">
        <v>8.0</v>
      </c>
      <c r="D8760" s="2" t="s">
        <v>4020</v>
      </c>
      <c r="E8760" s="1"/>
    </row>
    <row r="8761" ht="14.25" hidden="1" customHeight="1">
      <c r="A8761" s="1">
        <v>100.0</v>
      </c>
      <c r="B8761" s="1" t="s">
        <v>3657</v>
      </c>
      <c r="C8761" s="1">
        <v>10.0</v>
      </c>
      <c r="D8761" s="1" t="s">
        <v>4021</v>
      </c>
      <c r="E8761" s="1"/>
    </row>
    <row r="8762" ht="14.25" hidden="1" customHeight="1">
      <c r="A8762" s="1">
        <v>100.0</v>
      </c>
      <c r="B8762" s="1" t="s">
        <v>3657</v>
      </c>
      <c r="C8762" s="1">
        <v>10.0</v>
      </c>
      <c r="D8762" s="1" t="s">
        <v>6</v>
      </c>
      <c r="E8762" s="1"/>
    </row>
    <row r="8763" ht="14.25" hidden="1" customHeight="1">
      <c r="A8763" s="1">
        <v>66.0</v>
      </c>
      <c r="B8763" s="1" t="s">
        <v>3657</v>
      </c>
      <c r="C8763" s="1">
        <v>8.0</v>
      </c>
      <c r="D8763" s="1" t="s">
        <v>6</v>
      </c>
      <c r="E8763" s="1"/>
    </row>
    <row r="8764" ht="14.25" hidden="1" customHeight="1">
      <c r="A8764" s="1">
        <v>100.0</v>
      </c>
      <c r="B8764" s="1" t="s">
        <v>1340</v>
      </c>
      <c r="C8764" s="1">
        <v>10.0</v>
      </c>
      <c r="D8764" s="1" t="s">
        <v>6</v>
      </c>
      <c r="E8764" s="1"/>
    </row>
    <row r="8765" ht="14.25" hidden="1" customHeight="1">
      <c r="A8765" s="1">
        <v>100.0</v>
      </c>
      <c r="B8765" s="1" t="s">
        <v>1049</v>
      </c>
      <c r="C8765" s="1">
        <v>10.0</v>
      </c>
      <c r="D8765" s="1" t="s">
        <v>6</v>
      </c>
      <c r="E8765" s="1"/>
    </row>
    <row r="8766" ht="14.25" hidden="1" customHeight="1">
      <c r="A8766" s="1">
        <v>100.0</v>
      </c>
      <c r="B8766" s="1" t="s">
        <v>3423</v>
      </c>
      <c r="C8766" s="1">
        <v>10.0</v>
      </c>
      <c r="D8766" s="1" t="s">
        <v>6</v>
      </c>
      <c r="E8766" s="1"/>
    </row>
    <row r="8767" ht="14.25" hidden="1" customHeight="1">
      <c r="A8767" s="1">
        <v>100.0</v>
      </c>
      <c r="B8767" s="1" t="s">
        <v>971</v>
      </c>
      <c r="C8767" s="1">
        <v>9.0</v>
      </c>
      <c r="D8767" s="1" t="s">
        <v>6</v>
      </c>
      <c r="E8767" s="1"/>
    </row>
    <row r="8768" ht="14.25" hidden="1" customHeight="1">
      <c r="A8768" s="1">
        <v>100.0</v>
      </c>
      <c r="B8768" s="1" t="s">
        <v>245</v>
      </c>
      <c r="C8768" s="1">
        <v>9.0</v>
      </c>
      <c r="D8768" s="2" t="s">
        <v>4022</v>
      </c>
      <c r="E8768" s="1"/>
    </row>
    <row r="8769" ht="14.25" hidden="1" customHeight="1">
      <c r="A8769" s="1">
        <v>100.0</v>
      </c>
      <c r="B8769" s="1" t="s">
        <v>1666</v>
      </c>
      <c r="C8769" s="1">
        <v>10.0</v>
      </c>
      <c r="D8769" s="2" t="s">
        <v>4023</v>
      </c>
      <c r="E8769" s="1"/>
    </row>
    <row r="8770" ht="14.25" hidden="1" customHeight="1">
      <c r="A8770" s="1">
        <v>66.0</v>
      </c>
      <c r="B8770" s="1" t="s">
        <v>3657</v>
      </c>
      <c r="C8770" s="1">
        <v>8.0</v>
      </c>
      <c r="D8770" s="1" t="s">
        <v>4024</v>
      </c>
      <c r="E8770" s="1"/>
    </row>
    <row r="8771" ht="14.25" hidden="1" customHeight="1">
      <c r="A8771" s="1">
        <v>33.0</v>
      </c>
      <c r="B8771" s="1" t="s">
        <v>1049</v>
      </c>
      <c r="C8771" s="1">
        <v>2.0</v>
      </c>
      <c r="D8771" s="2" t="s">
        <v>4025</v>
      </c>
      <c r="E8771" s="1"/>
    </row>
    <row r="8772" ht="14.25" hidden="1" customHeight="1">
      <c r="A8772" s="1">
        <v>100.0</v>
      </c>
      <c r="B8772" s="1" t="s">
        <v>1049</v>
      </c>
      <c r="C8772" s="1">
        <v>10.0</v>
      </c>
      <c r="D8772" s="1" t="s">
        <v>4026</v>
      </c>
      <c r="E8772" s="1"/>
    </row>
    <row r="8773" ht="14.25" hidden="1" customHeight="1">
      <c r="A8773" s="1">
        <v>66.0</v>
      </c>
      <c r="B8773" s="1" t="s">
        <v>2412</v>
      </c>
      <c r="C8773" s="1">
        <v>8.0</v>
      </c>
      <c r="D8773" s="2" t="s">
        <v>4027</v>
      </c>
      <c r="E8773" s="1"/>
    </row>
    <row r="8774" ht="14.25" hidden="1" customHeight="1">
      <c r="A8774" s="1">
        <v>66.0</v>
      </c>
      <c r="B8774" s="1" t="s">
        <v>3657</v>
      </c>
      <c r="C8774" s="1">
        <v>8.0</v>
      </c>
      <c r="D8774" s="1" t="s">
        <v>4028</v>
      </c>
      <c r="E8774" s="1"/>
    </row>
    <row r="8775" ht="14.25" hidden="1" customHeight="1">
      <c r="A8775" s="1">
        <v>100.0</v>
      </c>
      <c r="B8775" s="1" t="s">
        <v>5</v>
      </c>
      <c r="C8775" s="1">
        <v>10.0</v>
      </c>
      <c r="D8775" s="2" t="s">
        <v>4029</v>
      </c>
      <c r="E8775" s="1"/>
    </row>
    <row r="8776" ht="14.25" hidden="1" customHeight="1">
      <c r="A8776" s="1">
        <v>100.0</v>
      </c>
      <c r="B8776" s="1" t="s">
        <v>1049</v>
      </c>
      <c r="C8776" s="1">
        <v>10.0</v>
      </c>
      <c r="D8776" s="1" t="s">
        <v>6</v>
      </c>
      <c r="E8776" s="1"/>
    </row>
    <row r="8777" ht="14.25" hidden="1" customHeight="1">
      <c r="A8777" s="1">
        <v>100.0</v>
      </c>
      <c r="B8777" s="1" t="s">
        <v>3657</v>
      </c>
      <c r="C8777" s="1">
        <v>10.0</v>
      </c>
      <c r="D8777" s="2" t="s">
        <v>4030</v>
      </c>
      <c r="E8777" s="1"/>
    </row>
    <row r="8778" ht="14.25" hidden="1" customHeight="1">
      <c r="A8778" s="1">
        <v>100.0</v>
      </c>
      <c r="B8778" s="1" t="s">
        <v>5</v>
      </c>
      <c r="C8778" s="1">
        <v>10.0</v>
      </c>
      <c r="D8778" s="1" t="s">
        <v>85</v>
      </c>
      <c r="E8778" s="1"/>
    </row>
    <row r="8779" ht="14.25" hidden="1" customHeight="1">
      <c r="A8779" s="1">
        <v>100.0</v>
      </c>
      <c r="B8779" s="1" t="s">
        <v>1049</v>
      </c>
      <c r="C8779" s="1">
        <v>9.0</v>
      </c>
      <c r="D8779" s="2" t="s">
        <v>4031</v>
      </c>
      <c r="E8779" s="1"/>
    </row>
    <row r="8780" ht="14.25" hidden="1" customHeight="1">
      <c r="A8780" s="1">
        <v>100.0</v>
      </c>
      <c r="B8780" s="1" t="s">
        <v>3333</v>
      </c>
      <c r="C8780" s="1">
        <v>10.0</v>
      </c>
      <c r="D8780" s="1" t="s">
        <v>4032</v>
      </c>
      <c r="E8780" s="1"/>
    </row>
    <row r="8781" ht="14.25" hidden="1" customHeight="1">
      <c r="A8781" s="1">
        <v>33.0</v>
      </c>
      <c r="B8781" s="1" t="s">
        <v>2412</v>
      </c>
      <c r="C8781" s="1">
        <v>3.0</v>
      </c>
      <c r="D8781" s="2" t="s">
        <v>4033</v>
      </c>
      <c r="E8781" s="1"/>
    </row>
    <row r="8782" ht="14.25" hidden="1" customHeight="1">
      <c r="A8782" s="1">
        <v>100.0</v>
      </c>
      <c r="B8782" s="1" t="s">
        <v>1049</v>
      </c>
      <c r="C8782" s="1">
        <v>10.0</v>
      </c>
      <c r="D8782" s="1" t="s">
        <v>6</v>
      </c>
      <c r="E8782" s="1"/>
    </row>
    <row r="8783" ht="14.25" hidden="1" customHeight="1">
      <c r="A8783" s="1">
        <v>100.0</v>
      </c>
      <c r="B8783" s="1" t="s">
        <v>1049</v>
      </c>
      <c r="C8783" s="1">
        <v>10.0</v>
      </c>
      <c r="D8783" s="2" t="s">
        <v>4034</v>
      </c>
      <c r="E8783" s="1"/>
    </row>
    <row r="8784" ht="14.25" hidden="1" customHeight="1">
      <c r="A8784" s="1">
        <v>100.0</v>
      </c>
      <c r="B8784" s="1" t="s">
        <v>157</v>
      </c>
      <c r="C8784" s="1">
        <v>10.0</v>
      </c>
      <c r="D8784" s="1" t="s">
        <v>4035</v>
      </c>
      <c r="E8784" s="1"/>
    </row>
    <row r="8785" ht="14.25" hidden="1" customHeight="1">
      <c r="A8785" s="1">
        <v>100.0</v>
      </c>
      <c r="B8785" s="1" t="s">
        <v>245</v>
      </c>
      <c r="C8785" s="1">
        <v>9.0</v>
      </c>
      <c r="D8785" s="1" t="s">
        <v>4036</v>
      </c>
      <c r="E8785" s="1"/>
    </row>
    <row r="8786" ht="14.25" hidden="1" customHeight="1">
      <c r="A8786" s="1">
        <v>100.0</v>
      </c>
      <c r="B8786" s="1" t="s">
        <v>3657</v>
      </c>
      <c r="C8786" s="1">
        <v>10.0</v>
      </c>
      <c r="D8786" s="1" t="s">
        <v>1301</v>
      </c>
      <c r="E8786" s="1"/>
    </row>
    <row r="8787" ht="14.25" hidden="1" customHeight="1">
      <c r="A8787" s="1">
        <v>100.0</v>
      </c>
      <c r="B8787" s="1" t="s">
        <v>157</v>
      </c>
      <c r="C8787" s="1">
        <v>10.0</v>
      </c>
      <c r="D8787" s="1" t="s">
        <v>6</v>
      </c>
      <c r="E8787" s="1"/>
    </row>
    <row r="8788" ht="14.25" hidden="1" customHeight="1">
      <c r="A8788" s="1">
        <v>100.0</v>
      </c>
      <c r="B8788" s="1" t="s">
        <v>3657</v>
      </c>
      <c r="C8788" s="1">
        <v>10.0</v>
      </c>
      <c r="D8788" s="1" t="s">
        <v>6</v>
      </c>
      <c r="E8788" s="1"/>
    </row>
    <row r="8789" ht="14.25" hidden="1" customHeight="1">
      <c r="A8789" s="1">
        <v>100.0</v>
      </c>
      <c r="B8789" s="1" t="s">
        <v>157</v>
      </c>
      <c r="C8789" s="1">
        <v>10.0</v>
      </c>
      <c r="D8789" s="2" t="s">
        <v>4037</v>
      </c>
      <c r="E8789" s="1"/>
    </row>
    <row r="8790" ht="14.25" hidden="1" customHeight="1">
      <c r="A8790" s="1">
        <v>100.0</v>
      </c>
      <c r="B8790" s="1" t="s">
        <v>1049</v>
      </c>
      <c r="C8790" s="1">
        <v>10.0</v>
      </c>
      <c r="D8790" s="1" t="s">
        <v>6</v>
      </c>
      <c r="E8790" s="1"/>
    </row>
    <row r="8791" ht="14.25" hidden="1" customHeight="1">
      <c r="A8791" s="1">
        <v>66.0</v>
      </c>
      <c r="B8791" s="1" t="s">
        <v>1049</v>
      </c>
      <c r="C8791" s="1">
        <v>8.0</v>
      </c>
      <c r="D8791" s="1" t="s">
        <v>4038</v>
      </c>
      <c r="E8791" s="1"/>
    </row>
    <row r="8792" ht="14.25" hidden="1" customHeight="1">
      <c r="A8792" s="1">
        <v>100.0</v>
      </c>
      <c r="B8792" s="1" t="s">
        <v>3657</v>
      </c>
      <c r="C8792" s="1">
        <v>10.0</v>
      </c>
      <c r="D8792" s="1" t="s">
        <v>4039</v>
      </c>
      <c r="E8792" s="1"/>
    </row>
    <row r="8793" ht="14.25" hidden="1" customHeight="1">
      <c r="A8793" s="1">
        <v>100.0</v>
      </c>
      <c r="B8793" s="1" t="s">
        <v>1049</v>
      </c>
      <c r="C8793" s="1">
        <v>10.0</v>
      </c>
      <c r="D8793" s="1" t="s">
        <v>6</v>
      </c>
      <c r="E8793" s="1"/>
    </row>
    <row r="8794" ht="14.25" hidden="1" customHeight="1">
      <c r="A8794" s="1">
        <v>100.0</v>
      </c>
      <c r="B8794" s="1" t="s">
        <v>3657</v>
      </c>
      <c r="C8794" s="1">
        <v>9.0</v>
      </c>
      <c r="D8794" s="1" t="s">
        <v>6</v>
      </c>
      <c r="E8794" s="1"/>
    </row>
    <row r="8795" ht="14.25" hidden="1" customHeight="1">
      <c r="A8795" s="1">
        <v>100.0</v>
      </c>
      <c r="B8795" s="1" t="s">
        <v>1049</v>
      </c>
      <c r="C8795" s="1">
        <v>10.0</v>
      </c>
      <c r="D8795" s="2" t="s">
        <v>4040</v>
      </c>
      <c r="E8795" s="1"/>
    </row>
    <row r="8796" ht="14.25" hidden="1" customHeight="1">
      <c r="A8796" s="1">
        <v>66.0</v>
      </c>
      <c r="B8796" s="1" t="s">
        <v>3657</v>
      </c>
      <c r="C8796" s="1">
        <v>8.0</v>
      </c>
      <c r="D8796" s="1" t="s">
        <v>6</v>
      </c>
      <c r="E8796" s="1"/>
    </row>
    <row r="8797" ht="14.25" hidden="1" customHeight="1">
      <c r="A8797" s="1">
        <v>100.0</v>
      </c>
      <c r="B8797" s="1" t="s">
        <v>1049</v>
      </c>
      <c r="C8797" s="1">
        <v>10.0</v>
      </c>
      <c r="D8797" s="1" t="s">
        <v>4041</v>
      </c>
      <c r="E8797" s="1"/>
    </row>
    <row r="8798" ht="14.25" hidden="1" customHeight="1">
      <c r="A8798" s="1">
        <v>100.0</v>
      </c>
      <c r="B8798" s="1" t="s">
        <v>3657</v>
      </c>
      <c r="C8798" s="1">
        <v>10.0</v>
      </c>
      <c r="D8798" s="1" t="s">
        <v>6</v>
      </c>
      <c r="E8798" s="1"/>
    </row>
    <row r="8799" ht="14.25" hidden="1" customHeight="1">
      <c r="A8799" s="1">
        <v>100.0</v>
      </c>
      <c r="B8799" s="1" t="s">
        <v>3657</v>
      </c>
      <c r="C8799" s="1">
        <v>9.0</v>
      </c>
      <c r="D8799" s="1" t="s">
        <v>6</v>
      </c>
      <c r="E8799" s="1"/>
    </row>
    <row r="8800" ht="14.25" hidden="1" customHeight="1">
      <c r="A8800" s="1">
        <v>100.0</v>
      </c>
      <c r="B8800" s="1" t="s">
        <v>801</v>
      </c>
      <c r="C8800" s="1">
        <v>10.0</v>
      </c>
      <c r="D8800" s="1" t="s">
        <v>17</v>
      </c>
      <c r="E8800" s="1"/>
    </row>
    <row r="8801" ht="14.25" hidden="1" customHeight="1">
      <c r="A8801" s="1">
        <v>100.0</v>
      </c>
      <c r="B8801" s="1" t="s">
        <v>1049</v>
      </c>
      <c r="C8801" s="1">
        <v>9.0</v>
      </c>
      <c r="D8801" s="1" t="s">
        <v>6</v>
      </c>
      <c r="E8801" s="1"/>
    </row>
    <row r="8802" ht="14.25" hidden="1" customHeight="1">
      <c r="A8802" s="1">
        <v>100.0</v>
      </c>
      <c r="B8802" s="1" t="s">
        <v>1049</v>
      </c>
      <c r="C8802" s="1">
        <v>10.0</v>
      </c>
      <c r="D8802" s="2" t="s">
        <v>4042</v>
      </c>
      <c r="E8802" s="1"/>
    </row>
    <row r="8803" ht="14.25" hidden="1" customHeight="1">
      <c r="A8803" s="1">
        <v>100.0</v>
      </c>
      <c r="B8803" s="1" t="s">
        <v>3657</v>
      </c>
      <c r="C8803" s="1">
        <v>10.0</v>
      </c>
      <c r="D8803" s="1" t="s">
        <v>1405</v>
      </c>
      <c r="E8803" s="1"/>
    </row>
    <row r="8804" ht="14.25" hidden="1" customHeight="1">
      <c r="A8804" s="1">
        <v>100.0</v>
      </c>
      <c r="B8804" s="1" t="s">
        <v>1049</v>
      </c>
      <c r="C8804" s="1">
        <v>10.0</v>
      </c>
      <c r="D8804" s="1" t="s">
        <v>1273</v>
      </c>
      <c r="E8804" s="1"/>
    </row>
    <row r="8805" ht="14.25" hidden="1" customHeight="1">
      <c r="A8805" s="1">
        <v>100.0</v>
      </c>
      <c r="B8805" s="1" t="s">
        <v>1049</v>
      </c>
      <c r="C8805" s="1">
        <v>10.0</v>
      </c>
      <c r="D8805" s="1" t="s">
        <v>1405</v>
      </c>
      <c r="E8805" s="1"/>
    </row>
    <row r="8806" ht="14.25" hidden="1" customHeight="1">
      <c r="A8806" s="1">
        <v>100.0</v>
      </c>
      <c r="B8806" s="1" t="s">
        <v>3657</v>
      </c>
      <c r="C8806" s="1">
        <v>10.0</v>
      </c>
      <c r="D8806" s="1" t="s">
        <v>6</v>
      </c>
      <c r="E8806" s="1"/>
    </row>
    <row r="8807" ht="14.25" hidden="1" customHeight="1">
      <c r="A8807" s="1">
        <v>100.0</v>
      </c>
      <c r="B8807" s="1" t="s">
        <v>1049</v>
      </c>
      <c r="C8807" s="1">
        <v>10.0</v>
      </c>
      <c r="D8807" s="1" t="s">
        <v>22</v>
      </c>
      <c r="E8807" s="1"/>
    </row>
    <row r="8808" ht="14.25" hidden="1" customHeight="1">
      <c r="A8808" s="1">
        <v>100.0</v>
      </c>
      <c r="B8808" s="1" t="s">
        <v>1049</v>
      </c>
      <c r="C8808" s="1">
        <v>10.0</v>
      </c>
      <c r="D8808" s="1" t="s">
        <v>4043</v>
      </c>
      <c r="E8808" s="1"/>
    </row>
    <row r="8809" ht="14.25" hidden="1" customHeight="1">
      <c r="A8809" s="1">
        <v>100.0</v>
      </c>
      <c r="B8809" s="1" t="s">
        <v>1049</v>
      </c>
      <c r="C8809" s="1">
        <v>10.0</v>
      </c>
      <c r="D8809" s="1" t="s">
        <v>6</v>
      </c>
      <c r="E8809" s="1"/>
    </row>
    <row r="8810" ht="14.25" hidden="1" customHeight="1">
      <c r="A8810" s="1">
        <v>66.0</v>
      </c>
      <c r="B8810" s="1" t="s">
        <v>1049</v>
      </c>
      <c r="C8810" s="1">
        <v>8.0</v>
      </c>
      <c r="D8810" s="1" t="s">
        <v>6</v>
      </c>
      <c r="E8810" s="1"/>
    </row>
    <row r="8811" ht="14.25" hidden="1" customHeight="1">
      <c r="A8811" s="1">
        <v>100.0</v>
      </c>
      <c r="B8811" s="1" t="s">
        <v>3657</v>
      </c>
      <c r="C8811" s="1">
        <v>9.0</v>
      </c>
      <c r="D8811" s="1" t="s">
        <v>6</v>
      </c>
      <c r="E8811" s="1"/>
    </row>
    <row r="8812" ht="14.25" hidden="1" customHeight="1">
      <c r="A8812" s="1">
        <v>100.0</v>
      </c>
      <c r="B8812" s="1" t="s">
        <v>1049</v>
      </c>
      <c r="C8812" s="1">
        <v>10.0</v>
      </c>
      <c r="D8812" s="1" t="s">
        <v>3974</v>
      </c>
      <c r="E8812" s="1"/>
    </row>
    <row r="8813" ht="14.25" hidden="1" customHeight="1">
      <c r="A8813" s="1">
        <v>100.0</v>
      </c>
      <c r="B8813" s="1" t="s">
        <v>3657</v>
      </c>
      <c r="C8813" s="1">
        <v>10.0</v>
      </c>
      <c r="D8813" s="2" t="s">
        <v>4044</v>
      </c>
      <c r="E8813" s="1"/>
    </row>
    <row r="8814" ht="14.25" hidden="1" customHeight="1">
      <c r="A8814" s="1">
        <v>33.0</v>
      </c>
      <c r="B8814" s="1" t="s">
        <v>3657</v>
      </c>
      <c r="C8814" s="1">
        <v>6.0</v>
      </c>
      <c r="D8814" s="2" t="s">
        <v>4045</v>
      </c>
      <c r="E8814" s="1"/>
    </row>
    <row r="8815" ht="14.25" hidden="1" customHeight="1">
      <c r="A8815" s="1">
        <v>100.0</v>
      </c>
      <c r="B8815" s="1" t="s">
        <v>3657</v>
      </c>
      <c r="C8815" s="1">
        <v>10.0</v>
      </c>
      <c r="D8815" s="1" t="s">
        <v>85</v>
      </c>
      <c r="E8815" s="1"/>
    </row>
    <row r="8816" ht="14.25" hidden="1" customHeight="1">
      <c r="A8816" s="1">
        <v>100.0</v>
      </c>
      <c r="B8816" s="1" t="s">
        <v>245</v>
      </c>
      <c r="C8816" s="1">
        <v>10.0</v>
      </c>
      <c r="D8816" s="2" t="s">
        <v>4046</v>
      </c>
      <c r="E8816" s="1"/>
    </row>
    <row r="8817" ht="14.25" hidden="1" customHeight="1">
      <c r="A8817" s="1">
        <v>100.0</v>
      </c>
      <c r="B8817" s="1" t="s">
        <v>1049</v>
      </c>
      <c r="C8817" s="1">
        <v>10.0</v>
      </c>
      <c r="D8817" s="1" t="s">
        <v>4047</v>
      </c>
      <c r="E8817" s="1"/>
    </row>
    <row r="8818" ht="14.25" hidden="1" customHeight="1">
      <c r="A8818" s="1">
        <v>100.0</v>
      </c>
      <c r="B8818" s="1" t="s">
        <v>971</v>
      </c>
      <c r="C8818" s="1">
        <v>10.0</v>
      </c>
      <c r="D8818" s="2" t="s">
        <v>4048</v>
      </c>
      <c r="E8818" s="1"/>
    </row>
    <row r="8819" ht="14.25" hidden="1" customHeight="1">
      <c r="A8819" s="1">
        <v>100.0</v>
      </c>
      <c r="B8819" s="1" t="s">
        <v>3657</v>
      </c>
      <c r="C8819" s="1">
        <v>9.0</v>
      </c>
      <c r="D8819" s="1" t="s">
        <v>659</v>
      </c>
      <c r="E8819" s="1"/>
    </row>
    <row r="8820" ht="14.25" hidden="1" customHeight="1">
      <c r="A8820" s="1">
        <v>100.0</v>
      </c>
      <c r="B8820" s="1" t="s">
        <v>2412</v>
      </c>
      <c r="C8820" s="1">
        <v>10.0</v>
      </c>
      <c r="D8820" s="1" t="s">
        <v>6</v>
      </c>
      <c r="E8820" s="1"/>
    </row>
    <row r="8821" ht="14.25" hidden="1" customHeight="1">
      <c r="A8821" s="1">
        <v>33.0</v>
      </c>
      <c r="B8821" s="1" t="s">
        <v>3672</v>
      </c>
      <c r="C8821" s="1">
        <v>6.0</v>
      </c>
      <c r="D8821" s="1" t="s">
        <v>4049</v>
      </c>
      <c r="E8821" s="1"/>
    </row>
    <row r="8822" ht="14.25" hidden="1" customHeight="1">
      <c r="A8822" s="1">
        <v>33.0</v>
      </c>
      <c r="B8822" s="1" t="s">
        <v>1826</v>
      </c>
      <c r="C8822" s="1">
        <v>0.0</v>
      </c>
      <c r="D8822" s="2" t="s">
        <v>4050</v>
      </c>
      <c r="E8822" s="1"/>
    </row>
    <row r="8823" ht="14.25" hidden="1" customHeight="1">
      <c r="A8823" s="1">
        <v>100.0</v>
      </c>
      <c r="B8823" s="1" t="s">
        <v>245</v>
      </c>
      <c r="C8823" s="1">
        <v>10.0</v>
      </c>
      <c r="D8823" s="1" t="s">
        <v>6</v>
      </c>
      <c r="E8823" s="1"/>
    </row>
    <row r="8824" ht="14.25" hidden="1" customHeight="1">
      <c r="A8824" s="1">
        <v>100.0</v>
      </c>
      <c r="B8824" s="1" t="s">
        <v>3657</v>
      </c>
      <c r="C8824" s="1">
        <v>10.0</v>
      </c>
      <c r="D8824" s="1" t="s">
        <v>9</v>
      </c>
      <c r="E8824" s="1"/>
    </row>
    <row r="8825" ht="14.25" hidden="1" customHeight="1">
      <c r="A8825" s="1">
        <v>100.0</v>
      </c>
      <c r="B8825" s="1" t="s">
        <v>1826</v>
      </c>
      <c r="C8825" s="1">
        <v>10.0</v>
      </c>
      <c r="D8825" s="1" t="s">
        <v>192</v>
      </c>
      <c r="E8825" s="1"/>
    </row>
    <row r="8826" ht="14.25" hidden="1" customHeight="1">
      <c r="A8826" s="1">
        <v>100.0</v>
      </c>
      <c r="B8826" s="1" t="s">
        <v>1049</v>
      </c>
      <c r="C8826" s="1">
        <v>10.0</v>
      </c>
      <c r="D8826" s="1" t="s">
        <v>4051</v>
      </c>
      <c r="E8826" s="1"/>
    </row>
    <row r="8827" ht="14.25" hidden="1" customHeight="1">
      <c r="A8827" s="1">
        <v>66.0</v>
      </c>
      <c r="B8827" s="1" t="s">
        <v>1826</v>
      </c>
      <c r="C8827" s="1">
        <v>7.0</v>
      </c>
      <c r="D8827" s="1" t="s">
        <v>4052</v>
      </c>
      <c r="E8827" s="1"/>
    </row>
    <row r="8828" ht="14.25" hidden="1" customHeight="1">
      <c r="A8828" s="1">
        <v>100.0</v>
      </c>
      <c r="B8828" s="1" t="s">
        <v>1826</v>
      </c>
      <c r="C8828" s="1">
        <v>10.0</v>
      </c>
      <c r="D8828" s="2" t="s">
        <v>4053</v>
      </c>
      <c r="E8828" s="1"/>
    </row>
    <row r="8829" ht="14.25" hidden="1" customHeight="1">
      <c r="A8829" s="1">
        <v>66.0</v>
      </c>
      <c r="B8829" s="1" t="s">
        <v>3657</v>
      </c>
      <c r="C8829" s="1">
        <v>7.0</v>
      </c>
      <c r="D8829" s="1" t="s">
        <v>6</v>
      </c>
      <c r="E8829" s="1"/>
    </row>
    <row r="8830" ht="14.25" hidden="1" customHeight="1">
      <c r="A8830" s="1">
        <v>100.0</v>
      </c>
      <c r="B8830" s="1" t="s">
        <v>3657</v>
      </c>
      <c r="C8830" s="1">
        <v>10.0</v>
      </c>
      <c r="D8830" s="1" t="s">
        <v>6</v>
      </c>
      <c r="E8830" s="1"/>
    </row>
    <row r="8831" ht="14.25" hidden="1" customHeight="1">
      <c r="A8831" s="1">
        <v>100.0</v>
      </c>
      <c r="B8831" s="1" t="s">
        <v>3657</v>
      </c>
      <c r="C8831" s="1">
        <v>10.0</v>
      </c>
      <c r="D8831" s="1" t="s">
        <v>6</v>
      </c>
      <c r="E8831" s="1"/>
    </row>
    <row r="8832" ht="14.25" hidden="1" customHeight="1">
      <c r="A8832" s="1">
        <v>100.0</v>
      </c>
      <c r="B8832" s="1" t="s">
        <v>245</v>
      </c>
      <c r="C8832" s="1">
        <v>10.0</v>
      </c>
      <c r="D8832" s="1" t="s">
        <v>9</v>
      </c>
      <c r="E8832" s="1"/>
    </row>
    <row r="8833" ht="14.25" hidden="1" customHeight="1">
      <c r="A8833" s="1">
        <v>66.0</v>
      </c>
      <c r="B8833" s="1" t="s">
        <v>3716</v>
      </c>
      <c r="C8833" s="1">
        <v>8.0</v>
      </c>
      <c r="D8833" s="1" t="s">
        <v>6</v>
      </c>
      <c r="E8833" s="1"/>
    </row>
    <row r="8834" ht="14.25" hidden="1" customHeight="1">
      <c r="A8834" s="1">
        <v>100.0</v>
      </c>
      <c r="B8834" s="1" t="s">
        <v>245</v>
      </c>
      <c r="C8834" s="1">
        <v>10.0</v>
      </c>
      <c r="D8834" s="1" t="s">
        <v>6</v>
      </c>
      <c r="E8834" s="1"/>
    </row>
    <row r="8835" ht="14.25" hidden="1" customHeight="1">
      <c r="A8835" s="1">
        <v>33.0</v>
      </c>
      <c r="B8835" s="1" t="s">
        <v>3657</v>
      </c>
      <c r="C8835" s="1">
        <v>6.0</v>
      </c>
      <c r="D8835" s="1" t="s">
        <v>85</v>
      </c>
      <c r="E8835" s="1"/>
    </row>
    <row r="8836" ht="14.25" hidden="1" customHeight="1">
      <c r="A8836" s="1">
        <v>66.0</v>
      </c>
      <c r="B8836" s="1" t="s">
        <v>3657</v>
      </c>
      <c r="C8836" s="1">
        <v>8.0</v>
      </c>
      <c r="D8836" s="1" t="s">
        <v>6</v>
      </c>
      <c r="E8836" s="1"/>
    </row>
    <row r="8837" ht="14.25" hidden="1" customHeight="1">
      <c r="A8837" s="1">
        <v>100.0</v>
      </c>
      <c r="B8837" s="1" t="s">
        <v>1049</v>
      </c>
      <c r="C8837" s="1">
        <v>10.0</v>
      </c>
      <c r="D8837" s="1" t="s">
        <v>20</v>
      </c>
      <c r="E8837" s="1"/>
    </row>
    <row r="8838" ht="14.25" hidden="1" customHeight="1">
      <c r="A8838" s="1">
        <v>100.0</v>
      </c>
      <c r="B8838" s="1" t="s">
        <v>157</v>
      </c>
      <c r="C8838" s="1">
        <v>10.0</v>
      </c>
      <c r="D8838" s="2" t="s">
        <v>4054</v>
      </c>
      <c r="E8838" s="1"/>
    </row>
    <row r="8839" ht="14.25" hidden="1" customHeight="1">
      <c r="A8839" s="1">
        <v>100.0</v>
      </c>
      <c r="B8839" s="1" t="s">
        <v>3657</v>
      </c>
      <c r="C8839" s="1">
        <v>10.0</v>
      </c>
      <c r="D8839" s="1" t="s">
        <v>4055</v>
      </c>
      <c r="E8839" s="1"/>
    </row>
    <row r="8840" ht="14.25" hidden="1" customHeight="1">
      <c r="A8840" s="1">
        <v>100.0</v>
      </c>
      <c r="B8840" s="1" t="s">
        <v>3423</v>
      </c>
      <c r="C8840" s="1">
        <v>10.0</v>
      </c>
      <c r="D8840" s="1" t="s">
        <v>4056</v>
      </c>
      <c r="E8840" s="1"/>
    </row>
    <row r="8841" ht="14.25" hidden="1" customHeight="1">
      <c r="A8841" s="1">
        <v>100.0</v>
      </c>
      <c r="B8841" s="1" t="s">
        <v>5</v>
      </c>
      <c r="C8841" s="1">
        <v>10.0</v>
      </c>
      <c r="D8841" s="1" t="s">
        <v>746</v>
      </c>
      <c r="E8841" s="1"/>
    </row>
    <row r="8842" ht="14.25" hidden="1" customHeight="1">
      <c r="A8842" s="1">
        <v>100.0</v>
      </c>
      <c r="B8842" s="1" t="s">
        <v>3423</v>
      </c>
      <c r="C8842" s="1">
        <v>10.0</v>
      </c>
      <c r="D8842" s="2" t="s">
        <v>4057</v>
      </c>
      <c r="E8842" s="1"/>
    </row>
    <row r="8843" ht="14.25" hidden="1" customHeight="1">
      <c r="A8843" s="1">
        <v>100.0</v>
      </c>
      <c r="B8843" s="1" t="s">
        <v>5</v>
      </c>
      <c r="C8843" s="1">
        <v>10.0</v>
      </c>
      <c r="D8843" s="2" t="s">
        <v>4058</v>
      </c>
      <c r="E8843" s="1"/>
    </row>
    <row r="8844" ht="14.25" hidden="1" customHeight="1">
      <c r="A8844" s="1">
        <v>100.0</v>
      </c>
      <c r="B8844" s="1" t="s">
        <v>3657</v>
      </c>
      <c r="C8844" s="1">
        <v>9.0</v>
      </c>
      <c r="D8844" s="1" t="s">
        <v>4059</v>
      </c>
      <c r="E8844" s="1"/>
    </row>
    <row r="8845" ht="14.25" hidden="1" customHeight="1">
      <c r="A8845" s="1">
        <v>100.0</v>
      </c>
      <c r="B8845" s="1" t="s">
        <v>3657</v>
      </c>
      <c r="C8845" s="1">
        <v>10.0</v>
      </c>
      <c r="D8845" s="1" t="s">
        <v>4060</v>
      </c>
      <c r="E8845" s="1"/>
    </row>
    <row r="8846" ht="14.25" hidden="1" customHeight="1">
      <c r="A8846" s="1">
        <v>100.0</v>
      </c>
      <c r="B8846" s="1" t="s">
        <v>2412</v>
      </c>
      <c r="C8846" s="1">
        <v>10.0</v>
      </c>
      <c r="D8846" s="2" t="s">
        <v>897</v>
      </c>
      <c r="E8846" s="1"/>
    </row>
    <row r="8847" ht="14.25" hidden="1" customHeight="1">
      <c r="A8847" s="1">
        <v>100.0</v>
      </c>
      <c r="B8847" s="1" t="s">
        <v>5</v>
      </c>
      <c r="C8847" s="1">
        <v>10.0</v>
      </c>
      <c r="D8847" s="1" t="s">
        <v>37</v>
      </c>
      <c r="E8847" s="1"/>
    </row>
    <row r="8848" ht="14.25" hidden="1" customHeight="1">
      <c r="A8848" s="1">
        <v>100.0</v>
      </c>
      <c r="B8848" s="1" t="s">
        <v>5</v>
      </c>
      <c r="C8848" s="1">
        <v>10.0</v>
      </c>
      <c r="D8848" s="1" t="s">
        <v>62</v>
      </c>
      <c r="E8848" s="1"/>
    </row>
    <row r="8849" ht="14.25" hidden="1" customHeight="1">
      <c r="A8849" s="1">
        <v>100.0</v>
      </c>
      <c r="B8849" s="1" t="s">
        <v>3672</v>
      </c>
      <c r="C8849" s="1">
        <v>9.0</v>
      </c>
      <c r="D8849" s="2" t="s">
        <v>4061</v>
      </c>
      <c r="E8849" s="1"/>
    </row>
    <row r="8850" ht="14.25" hidden="1" customHeight="1">
      <c r="A8850" s="1">
        <v>33.0</v>
      </c>
      <c r="B8850" s="1" t="s">
        <v>3423</v>
      </c>
      <c r="C8850" s="1">
        <v>6.0</v>
      </c>
      <c r="D8850" s="2" t="s">
        <v>4062</v>
      </c>
      <c r="E8850" s="1"/>
    </row>
    <row r="8851" ht="14.25" hidden="1" customHeight="1">
      <c r="A8851" s="1">
        <v>33.0</v>
      </c>
      <c r="B8851" s="1" t="s">
        <v>3657</v>
      </c>
      <c r="C8851" s="1">
        <v>5.0</v>
      </c>
      <c r="D8851" s="2" t="s">
        <v>4063</v>
      </c>
      <c r="E8851" s="1"/>
    </row>
    <row r="8852" ht="14.25" hidden="1" customHeight="1">
      <c r="A8852" s="1">
        <v>100.0</v>
      </c>
      <c r="B8852" s="1" t="s">
        <v>1049</v>
      </c>
      <c r="C8852" s="1">
        <v>10.0</v>
      </c>
      <c r="D8852" s="1" t="s">
        <v>6</v>
      </c>
      <c r="E8852" s="1"/>
    </row>
    <row r="8853" ht="14.25" hidden="1" customHeight="1">
      <c r="A8853" s="1">
        <v>100.0</v>
      </c>
      <c r="B8853" s="1" t="s">
        <v>3657</v>
      </c>
      <c r="C8853" s="1">
        <v>9.0</v>
      </c>
      <c r="D8853" s="2" t="s">
        <v>4064</v>
      </c>
      <c r="E8853" s="1"/>
    </row>
    <row r="8854" ht="14.25" hidden="1" customHeight="1">
      <c r="A8854" s="1">
        <v>66.0</v>
      </c>
      <c r="B8854" s="1" t="s">
        <v>2412</v>
      </c>
      <c r="C8854" s="1">
        <v>8.0</v>
      </c>
      <c r="D8854" s="1" t="s">
        <v>6</v>
      </c>
      <c r="E8854" s="1"/>
    </row>
    <row r="8855" ht="14.25" hidden="1" customHeight="1">
      <c r="A8855" s="1">
        <v>100.0</v>
      </c>
      <c r="B8855" s="1" t="s">
        <v>3672</v>
      </c>
      <c r="C8855" s="1">
        <v>10.0</v>
      </c>
      <c r="D8855" s="1" t="s">
        <v>22</v>
      </c>
      <c r="E8855" s="1"/>
    </row>
    <row r="8856" ht="14.25" hidden="1" customHeight="1">
      <c r="A8856" s="1">
        <v>100.0</v>
      </c>
      <c r="B8856" s="1" t="s">
        <v>1049</v>
      </c>
      <c r="C8856" s="1">
        <v>10.0</v>
      </c>
      <c r="D8856" s="1" t="s">
        <v>570</v>
      </c>
      <c r="E8856" s="1"/>
    </row>
    <row r="8857" ht="14.25" hidden="1" customHeight="1">
      <c r="A8857" s="1">
        <v>100.0</v>
      </c>
      <c r="B8857" s="1" t="s">
        <v>3657</v>
      </c>
      <c r="C8857" s="1">
        <v>10.0</v>
      </c>
      <c r="D8857" s="1" t="s">
        <v>6</v>
      </c>
      <c r="E8857" s="1"/>
    </row>
    <row r="8858" ht="14.25" hidden="1" customHeight="1">
      <c r="A8858" s="1">
        <v>66.0</v>
      </c>
      <c r="B8858" s="1" t="s">
        <v>1245</v>
      </c>
      <c r="C8858" s="1">
        <v>8.0</v>
      </c>
      <c r="D8858" s="2" t="s">
        <v>4065</v>
      </c>
      <c r="E8858" s="1"/>
    </row>
    <row r="8859" ht="14.25" hidden="1" customHeight="1">
      <c r="A8859" s="1">
        <v>33.0</v>
      </c>
      <c r="B8859" s="1" t="s">
        <v>1340</v>
      </c>
      <c r="C8859" s="1">
        <v>4.0</v>
      </c>
      <c r="D8859" s="1" t="s">
        <v>4066</v>
      </c>
      <c r="E8859" s="1"/>
    </row>
    <row r="8860" ht="14.25" hidden="1" customHeight="1">
      <c r="A8860" s="1">
        <v>66.0</v>
      </c>
      <c r="B8860" s="1" t="s">
        <v>3657</v>
      </c>
      <c r="C8860" s="1">
        <v>8.0</v>
      </c>
      <c r="D8860" s="1" t="s">
        <v>4067</v>
      </c>
      <c r="E8860" s="1"/>
    </row>
    <row r="8861" ht="14.25" hidden="1" customHeight="1">
      <c r="A8861" s="1">
        <v>66.0</v>
      </c>
      <c r="B8861" s="1" t="s">
        <v>3672</v>
      </c>
      <c r="C8861" s="1">
        <v>8.0</v>
      </c>
      <c r="D8861" s="1" t="s">
        <v>6</v>
      </c>
      <c r="E8861" s="1"/>
    </row>
    <row r="8862" ht="14.25" hidden="1" customHeight="1">
      <c r="A8862" s="1">
        <v>100.0</v>
      </c>
      <c r="B8862" s="1" t="s">
        <v>3657</v>
      </c>
      <c r="C8862" s="1">
        <v>10.0</v>
      </c>
      <c r="D8862" s="1" t="s">
        <v>4068</v>
      </c>
      <c r="E8862" s="1"/>
    </row>
    <row r="8863" ht="14.25" hidden="1" customHeight="1">
      <c r="A8863" s="1">
        <v>33.0</v>
      </c>
      <c r="B8863" s="1" t="s">
        <v>157</v>
      </c>
      <c r="C8863" s="1">
        <v>5.0</v>
      </c>
      <c r="D8863" s="2" t="s">
        <v>4069</v>
      </c>
      <c r="E8863" s="1"/>
    </row>
    <row r="8864" ht="14.25" hidden="1" customHeight="1">
      <c r="A8864" s="1">
        <v>100.0</v>
      </c>
      <c r="B8864" s="1" t="s">
        <v>3423</v>
      </c>
      <c r="C8864" s="1">
        <v>10.0</v>
      </c>
      <c r="D8864" s="1" t="s">
        <v>4070</v>
      </c>
      <c r="E8864" s="1"/>
    </row>
    <row r="8865" ht="14.25" hidden="1" customHeight="1">
      <c r="A8865" s="1">
        <v>100.0</v>
      </c>
      <c r="B8865" s="1" t="s">
        <v>2412</v>
      </c>
      <c r="C8865" s="1">
        <v>10.0</v>
      </c>
      <c r="D8865" s="1" t="s">
        <v>20</v>
      </c>
      <c r="E8865" s="1"/>
    </row>
    <row r="8866" ht="14.25" hidden="1" customHeight="1">
      <c r="A8866" s="1">
        <v>100.0</v>
      </c>
      <c r="B8866" s="1" t="s">
        <v>1666</v>
      </c>
      <c r="C8866" s="1">
        <v>10.0</v>
      </c>
      <c r="D8866" s="1" t="s">
        <v>9</v>
      </c>
      <c r="E8866" s="1"/>
    </row>
    <row r="8867" ht="14.25" hidden="1" customHeight="1">
      <c r="A8867" s="1">
        <v>100.0</v>
      </c>
      <c r="B8867" s="1" t="s">
        <v>1049</v>
      </c>
      <c r="C8867" s="1">
        <v>10.0</v>
      </c>
      <c r="D8867" s="1" t="s">
        <v>4071</v>
      </c>
      <c r="E8867" s="1"/>
    </row>
    <row r="8868" ht="14.25" hidden="1" customHeight="1">
      <c r="A8868" s="1">
        <v>100.0</v>
      </c>
      <c r="B8868" s="1" t="s">
        <v>1826</v>
      </c>
      <c r="C8868" s="1">
        <v>9.0</v>
      </c>
      <c r="D8868" s="1" t="s">
        <v>6</v>
      </c>
      <c r="E8868" s="1"/>
    </row>
    <row r="8869" ht="14.25" hidden="1" customHeight="1">
      <c r="A8869" s="1">
        <v>100.0</v>
      </c>
      <c r="B8869" s="1" t="s">
        <v>3657</v>
      </c>
      <c r="C8869" s="1">
        <v>10.0</v>
      </c>
      <c r="D8869" s="1" t="s">
        <v>6</v>
      </c>
      <c r="E8869" s="1"/>
    </row>
    <row r="8870" ht="14.25" hidden="1" customHeight="1">
      <c r="A8870" s="1">
        <v>100.0</v>
      </c>
      <c r="B8870" s="1" t="s">
        <v>1826</v>
      </c>
      <c r="C8870" s="1">
        <v>10.0</v>
      </c>
      <c r="D8870" s="2" t="s">
        <v>4072</v>
      </c>
      <c r="E8870" s="1"/>
    </row>
    <row r="8871" ht="14.25" hidden="1" customHeight="1">
      <c r="A8871" s="1">
        <v>100.0</v>
      </c>
      <c r="B8871" s="1" t="s">
        <v>3657</v>
      </c>
      <c r="C8871" s="1">
        <v>9.0</v>
      </c>
      <c r="D8871" s="1" t="s">
        <v>6</v>
      </c>
      <c r="E8871" s="1"/>
    </row>
    <row r="8872" ht="14.25" hidden="1" customHeight="1">
      <c r="A8872" s="1">
        <v>100.0</v>
      </c>
      <c r="B8872" s="1" t="s">
        <v>157</v>
      </c>
      <c r="C8872" s="1">
        <v>9.0</v>
      </c>
      <c r="D8872" s="1" t="s">
        <v>4073</v>
      </c>
      <c r="E8872" s="1"/>
    </row>
    <row r="8873" ht="14.25" hidden="1" customHeight="1">
      <c r="A8873" s="1">
        <v>100.0</v>
      </c>
      <c r="B8873" s="1" t="s">
        <v>3657</v>
      </c>
      <c r="C8873" s="1">
        <v>10.0</v>
      </c>
      <c r="D8873" s="1" t="s">
        <v>6</v>
      </c>
      <c r="E8873" s="1"/>
    </row>
    <row r="8874" ht="14.25" hidden="1" customHeight="1">
      <c r="A8874" s="1">
        <v>100.0</v>
      </c>
      <c r="B8874" s="1" t="s">
        <v>2669</v>
      </c>
      <c r="C8874" s="1">
        <v>10.0</v>
      </c>
      <c r="D8874" s="1" t="s">
        <v>37</v>
      </c>
      <c r="E8874" s="1"/>
    </row>
    <row r="8875" ht="14.25" hidden="1" customHeight="1">
      <c r="A8875" s="1">
        <v>100.0</v>
      </c>
      <c r="B8875" s="1" t="s">
        <v>1049</v>
      </c>
      <c r="C8875" s="1">
        <v>10.0</v>
      </c>
      <c r="D8875" s="1" t="s">
        <v>4074</v>
      </c>
      <c r="E8875" s="1"/>
    </row>
    <row r="8876" ht="14.25" hidden="1" customHeight="1">
      <c r="A8876" s="1">
        <v>100.0</v>
      </c>
      <c r="B8876" s="1" t="s">
        <v>3657</v>
      </c>
      <c r="C8876" s="1">
        <v>10.0</v>
      </c>
      <c r="D8876" s="1" t="s">
        <v>6</v>
      </c>
      <c r="E8876" s="1"/>
    </row>
    <row r="8877" ht="14.25" hidden="1" customHeight="1">
      <c r="A8877" s="1">
        <v>100.0</v>
      </c>
      <c r="B8877" s="1" t="s">
        <v>5</v>
      </c>
      <c r="C8877" s="1">
        <v>10.0</v>
      </c>
      <c r="D8877" s="1" t="s">
        <v>3805</v>
      </c>
      <c r="E8877" s="1"/>
    </row>
    <row r="8878" ht="14.25" hidden="1" customHeight="1">
      <c r="A8878" s="1">
        <v>100.0</v>
      </c>
      <c r="B8878" s="1" t="s">
        <v>3657</v>
      </c>
      <c r="C8878" s="1">
        <v>10.0</v>
      </c>
      <c r="D8878" s="1" t="s">
        <v>4075</v>
      </c>
      <c r="E8878" s="1"/>
    </row>
    <row r="8879" ht="14.25" hidden="1" customHeight="1">
      <c r="A8879" s="1">
        <v>33.0</v>
      </c>
      <c r="B8879" s="1" t="s">
        <v>1826</v>
      </c>
      <c r="C8879" s="1">
        <v>0.0</v>
      </c>
      <c r="D8879" s="1" t="s">
        <v>4076</v>
      </c>
      <c r="E8879" s="1"/>
    </row>
    <row r="8880" ht="14.25" hidden="1" customHeight="1">
      <c r="A8880" s="1">
        <v>33.0</v>
      </c>
      <c r="B8880" s="1" t="s">
        <v>3657</v>
      </c>
      <c r="C8880" s="1">
        <v>5.0</v>
      </c>
      <c r="D8880" s="2" t="s">
        <v>4077</v>
      </c>
      <c r="E8880" s="1"/>
    </row>
  </sheetData>
  <printOptions/>
  <pageMargins bottom="0.787401575" footer="0.0" header="0.0" left="0.511811024" right="0.511811024" top="0.787401575"/>
  <pageSetup orientation="landscape"/>
  <drawing r:id="rId1"/>
  <tableParts count="1">
    <tablePart r:id="rId3"/>
  </tableParts>
</worksheet>
</file>