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3600" windowHeight="19440" tabRatio="500" activeTab="4"/>
  </bookViews>
  <sheets>
    <sheet name="Positions - Heated" sheetId="4" r:id="rId1"/>
    <sheet name="Positions - No Heat" sheetId="1" r:id="rId2"/>
    <sheet name="Commands" sheetId="3" r:id="rId3"/>
    <sheet name="Parameters" sheetId="2" r:id="rId4"/>
    <sheet name="Smoothie" sheetId="5" r:id="rId5"/>
  </sheets>
  <definedNames>
    <definedName name="COS_60">Parameters!$C$10</definedName>
    <definedName name="DELTA_CARRIAGE_OFFSET">Parameters!$C$7</definedName>
    <definedName name="DELTA_DIAGONAL_ROD">Parameters!$C$4</definedName>
    <definedName name="DELTA_EFFECTOR_OFFSET">Parameters!$C$6</definedName>
    <definedName name="DELTA_RADIUS">Parameters!$C$8</definedName>
    <definedName name="DELTA_RADIUS_ROUNDED">Parameters!$I$10</definedName>
    <definedName name="DELTA_SEGMENTS_PER_SECOND">Parameters!$C$3</definedName>
    <definedName name="DELTA_SMOOTH_ROD_OFFSET">Parameters!$C$5</definedName>
    <definedName name="DELTA_TOWER1_X">Parameters!$C$11</definedName>
    <definedName name="DELTA_TOWER1_Y">Parameters!$C$12</definedName>
    <definedName name="DELTA_TOWER2_X">Parameters!$C$15</definedName>
    <definedName name="DELTA_TOWER2_Y">Parameters!$C$16</definedName>
    <definedName name="DELTA_TOWER3_X">Parameters!$C$13</definedName>
    <definedName name="DELTA_TOWER3_Y">Parameters!$C$14</definedName>
    <definedName name="Height">Parameters!$E$7</definedName>
    <definedName name="SIN_60">Parameters!$C$9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2" l="1"/>
  <c r="I14" i="2"/>
  <c r="I13" i="2"/>
  <c r="I12" i="2"/>
  <c r="I11" i="2"/>
  <c r="I10" i="2"/>
  <c r="C11" i="2"/>
  <c r="C12" i="2"/>
  <c r="C13" i="2"/>
  <c r="C14" i="2"/>
  <c r="C16" i="2"/>
  <c r="N28" i="4"/>
  <c r="N20" i="4"/>
  <c r="N9" i="4"/>
  <c r="N10" i="4"/>
  <c r="N11" i="4"/>
  <c r="N12" i="4"/>
  <c r="G28" i="4"/>
  <c r="G20" i="4"/>
  <c r="G12" i="4"/>
  <c r="N27" i="4"/>
  <c r="N26" i="4"/>
  <c r="N25" i="4"/>
  <c r="G26" i="4"/>
  <c r="G27" i="4"/>
  <c r="G25" i="4"/>
  <c r="G11" i="4"/>
  <c r="G10" i="4"/>
  <c r="G9" i="4"/>
  <c r="E15" i="2"/>
  <c r="E13" i="2"/>
  <c r="E11" i="2"/>
  <c r="E9" i="2"/>
  <c r="M27" i="4"/>
  <c r="F27" i="4"/>
  <c r="M26" i="4"/>
  <c r="F26" i="4"/>
  <c r="M25" i="4"/>
  <c r="F25" i="4"/>
  <c r="M24" i="4"/>
  <c r="F24" i="4"/>
  <c r="N23" i="4"/>
  <c r="G23" i="4"/>
  <c r="N17" i="4"/>
  <c r="N18" i="4"/>
  <c r="N19" i="4"/>
  <c r="G17" i="4"/>
  <c r="G18" i="4"/>
  <c r="G19" i="4"/>
  <c r="M19" i="4"/>
  <c r="F19" i="4"/>
  <c r="M18" i="4"/>
  <c r="F18" i="4"/>
  <c r="M17" i="4"/>
  <c r="F17" i="4"/>
  <c r="M16" i="4"/>
  <c r="F16" i="4"/>
  <c r="N15" i="4"/>
  <c r="G15" i="4"/>
  <c r="M11" i="4"/>
  <c r="F11" i="4"/>
  <c r="M10" i="4"/>
  <c r="F10" i="4"/>
  <c r="M9" i="4"/>
  <c r="F9" i="4"/>
  <c r="M8" i="4"/>
  <c r="F8" i="4"/>
  <c r="N7" i="4"/>
  <c r="G7" i="4"/>
  <c r="C8" i="2"/>
  <c r="J4" i="4"/>
  <c r="C4" i="4"/>
  <c r="J3" i="4"/>
  <c r="C3" i="4"/>
  <c r="J2" i="4"/>
  <c r="C2" i="4"/>
  <c r="J1" i="4"/>
  <c r="C1" i="4"/>
  <c r="N25" i="1"/>
  <c r="N26" i="1"/>
  <c r="N27" i="1"/>
  <c r="N28" i="1"/>
  <c r="M27" i="1"/>
  <c r="M26" i="1"/>
  <c r="M25" i="1"/>
  <c r="M24" i="1"/>
  <c r="N23" i="1"/>
  <c r="F25" i="1"/>
  <c r="F26" i="1"/>
  <c r="F27" i="1"/>
  <c r="F24" i="1"/>
  <c r="M17" i="1"/>
  <c r="M18" i="1"/>
  <c r="M19" i="1"/>
  <c r="N15" i="1"/>
  <c r="M9" i="1"/>
  <c r="M10" i="1"/>
  <c r="M11" i="1"/>
  <c r="N7" i="1"/>
  <c r="F9" i="1"/>
  <c r="F10" i="1"/>
  <c r="F11" i="1"/>
  <c r="G7" i="1"/>
  <c r="F17" i="1"/>
  <c r="F18" i="1"/>
  <c r="F19" i="1"/>
  <c r="G15" i="1"/>
  <c r="G23" i="1"/>
  <c r="G9" i="1"/>
  <c r="G26" i="1"/>
  <c r="G27" i="1"/>
  <c r="G25" i="1"/>
  <c r="C11" i="3"/>
  <c r="C10" i="3"/>
  <c r="C9" i="3"/>
  <c r="C8" i="3"/>
  <c r="G28" i="1"/>
  <c r="G10" i="1"/>
  <c r="G11" i="1"/>
  <c r="N10" i="1"/>
  <c r="N11" i="1"/>
  <c r="N9" i="1"/>
  <c r="N18" i="1"/>
  <c r="N19" i="1"/>
  <c r="N17" i="1"/>
  <c r="G18" i="1"/>
  <c r="G19" i="1"/>
  <c r="G17" i="1"/>
  <c r="M16" i="1"/>
  <c r="M8" i="1"/>
  <c r="F16" i="1"/>
  <c r="J4" i="1"/>
  <c r="J3" i="1"/>
  <c r="J2" i="1"/>
  <c r="J1" i="1"/>
  <c r="N20" i="1"/>
  <c r="N12" i="1"/>
  <c r="G20" i="1"/>
  <c r="C1" i="1"/>
  <c r="F8" i="1"/>
  <c r="C4" i="1"/>
  <c r="C3" i="1"/>
  <c r="C2" i="1"/>
  <c r="G12" i="1"/>
</calcChain>
</file>

<file path=xl/comments1.xml><?xml version="1.0" encoding="utf-8"?>
<comments xmlns="http://schemas.openxmlformats.org/spreadsheetml/2006/main">
  <authors>
    <author>Jim Harry</author>
  </authors>
  <commentList>
    <comment ref="B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</commentList>
</comments>
</file>

<file path=xl/comments2.xml><?xml version="1.0" encoding="utf-8"?>
<comments xmlns="http://schemas.openxmlformats.org/spreadsheetml/2006/main">
  <authors>
    <author>Jim Harry</author>
  </authors>
  <commentList>
    <comment ref="B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</commentList>
</comments>
</file>

<file path=xl/sharedStrings.xml><?xml version="1.0" encoding="utf-8"?>
<sst xmlns="http://schemas.openxmlformats.org/spreadsheetml/2006/main" count="218" uniqueCount="78">
  <si>
    <t>DELTA_DIAGONAL_ROD</t>
  </si>
  <si>
    <t>215.5</t>
  </si>
  <si>
    <t>X</t>
  </si>
  <si>
    <t>Y</t>
  </si>
  <si>
    <t>Z</t>
  </si>
  <si>
    <t>Max Stop Value</t>
  </si>
  <si>
    <t>Bed at center</t>
  </si>
  <si>
    <t>Tower X</t>
  </si>
  <si>
    <t>Tower Y</t>
  </si>
  <si>
    <t>Tower Z</t>
  </si>
  <si>
    <t>DELTA_SEGMENTS_PER_SECOND</t>
  </si>
  <si>
    <t>Parameter</t>
  </si>
  <si>
    <t>Value</t>
  </si>
  <si>
    <t>DELTA_SMOOTH_ROD_OFFSET</t>
  </si>
  <si>
    <t>DELTA_EFFECTOR_OFFSET</t>
  </si>
  <si>
    <t>DELTA_CARRIAGE_OFFSET</t>
  </si>
  <si>
    <t>#define DELTA_TOWER1_Y -COS_60*DELTA_RADIUS</t>
  </si>
  <si>
    <t>SIN_60</t>
  </si>
  <si>
    <t>COS_60</t>
  </si>
  <si>
    <t>DELTA_TOWER1_X</t>
  </si>
  <si>
    <t>DELTA_TOWER1_Y</t>
  </si>
  <si>
    <t>DELTA_TOWER3_X</t>
  </si>
  <si>
    <t>DELTA_TOWER3_Y</t>
  </si>
  <si>
    <t>DELTA_TOWER2_Y</t>
  </si>
  <si>
    <t>DELTA_RADIUS</t>
  </si>
  <si>
    <t>DELTA_TOWER2_X</t>
  </si>
  <si>
    <t xml:space="preserve"> (DELTA_SMOOTH_ROD_OFFSET-DELTA_EFFECTOR_OFFSET-DELTA_CARRIAGE_OFFSET)</t>
  </si>
  <si>
    <t>Offset</t>
  </si>
  <si>
    <t>#define DELTA_TOWER1_X -SIN_60*DELTA_RADIUS // front left tower</t>
  </si>
  <si>
    <t>#define DELTA_TOWER2_X SIN_60*DELTA_RADIUS // front right tower</t>
  </si>
  <si>
    <t>#define DELTA_TOWER2_Y -COS_60*DELTA_RADIUS</t>
  </si>
  <si>
    <t>#define DELTA_TOWER3_X 0.0 // back middle tower</t>
  </si>
  <si>
    <t>#define DELTA_TOWER3_Y DELTA_RADIUS</t>
  </si>
  <si>
    <t>C</t>
  </si>
  <si>
    <t>216.0</t>
  </si>
  <si>
    <t>216.5</t>
  </si>
  <si>
    <t>217.0</t>
  </si>
  <si>
    <t>217.5</t>
  </si>
  <si>
    <t>; Pull in filament fast</t>
  </si>
  <si>
    <t>G1 E400 F3000</t>
  </si>
  <si>
    <t>; Pull it out fast</t>
  </si>
  <si>
    <t>G1 E-400 F3000</t>
  </si>
  <si>
    <t>Goto 10mm above Center</t>
  </si>
  <si>
    <t>Goto 10mm above X</t>
  </si>
  <si>
    <t>Goto 10mm above Y</t>
  </si>
  <si>
    <t>Goto 10mm above Z</t>
  </si>
  <si>
    <t>M302 ; allow cold extruder movement</t>
  </si>
  <si>
    <t>M42 P7 S255</t>
  </si>
  <si>
    <t>; Start LED light power</t>
  </si>
  <si>
    <t>M42 P7 S0</t>
  </si>
  <si>
    <t>; Turn off LED light power</t>
  </si>
  <si>
    <t xml:space="preserve">; Procedure to heat up the extruder and wipe prior to printing </t>
  </si>
  <si>
    <t>G90 ; use absolute coordinates</t>
  </si>
  <si>
    <t>M82 ; absolute extrusion distances</t>
  </si>
  <si>
    <t>G21 ; set units to millimeters</t>
  </si>
  <si>
    <t>G28 ; home all axes</t>
  </si>
  <si>
    <t>G0 X-30 Y-100.0 Z0.1 ; move to front left</t>
  </si>
  <si>
    <t>M106 S255 ; start the fan</t>
  </si>
  <si>
    <t>M104 S215 T0 ; start to heat up the extruder</t>
  </si>
  <si>
    <t>M109 S215 T0 ; set hot end to 215 and wait to reach the temp</t>
  </si>
  <si>
    <t>G4 60000 ; wait for another 2 minutes for full heat</t>
  </si>
  <si>
    <t>G1 E10 ; extrude 10</t>
  </si>
  <si>
    <t>G4 200 ; pause to catch up</t>
  </si>
  <si>
    <t>G1 X30 Y-98.0 Z0.1 E2 ; move to right side to perform wipe</t>
  </si>
  <si>
    <t>G1 Z1 ; go to up to 1mm and ready for print</t>
  </si>
  <si>
    <t>M42 P7 S1 ; turn on the LEDs to low</t>
  </si>
  <si>
    <t>M42 P7 S255 ; turn on the LEDs to high</t>
  </si>
  <si>
    <t>Height</t>
  </si>
  <si>
    <t xml:space="preserve"> </t>
  </si>
  <si>
    <t>Script 1: Center of bed</t>
  </si>
  <si>
    <t>G28</t>
  </si>
  <si>
    <t>Script 2: Alpha tower</t>
  </si>
  <si>
    <t>Script 3: Beta tower</t>
  </si>
  <si>
    <t>Script 4: Gamma tower</t>
  </si>
  <si>
    <t>G0 Z0 X0 Y90 F3500</t>
  </si>
  <si>
    <t>G0 Z10 F3500</t>
  </si>
  <si>
    <t>G0 Z10 X-77.94 Y-45 F3500</t>
  </si>
  <si>
    <t>G0 Z10 X77.94 Y-45 F3500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</si>
</sst>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#,##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79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5" fontId="0" fillId="0" borderId="0" xfId="1" applyNumberFormat="1" applyFont="1"/>
    <xf numFmtId="165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2" fontId="0" fillId="0" borderId="0" xfId="0" quotePrefix="1" applyNumberFormat="1"/>
    <xf numFmtId="166" fontId="0" fillId="0" borderId="0" xfId="0" applyNumberFormat="1" applyAlignment="1">
      <alignment horizontal="right"/>
    </xf>
    <xf numFmtId="0" fontId="0" fillId="2" borderId="0" xfId="0" applyFill="1" applyBorder="1"/>
    <xf numFmtId="165" fontId="0" fillId="2" borderId="0" xfId="0" applyNumberFormat="1" applyFill="1" applyBorder="1"/>
    <xf numFmtId="165" fontId="0" fillId="2" borderId="0" xfId="0" applyNumberFormat="1" applyFill="1" applyBorder="1" applyAlignment="1">
      <alignment horizontal="right"/>
    </xf>
    <xf numFmtId="0" fontId="0" fillId="2" borderId="0" xfId="0" applyFill="1" applyAlignment="1">
      <alignment horizontal="right"/>
    </xf>
    <xf numFmtId="165" fontId="0" fillId="2" borderId="0" xfId="0" applyNumberFormat="1" applyFont="1" applyFill="1" applyBorder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/>
    <xf numFmtId="0" fontId="0" fillId="4" borderId="0" xfId="0" applyFill="1"/>
    <xf numFmtId="2" fontId="0" fillId="0" borderId="1" xfId="0" applyNumberFormat="1" applyFont="1" applyBorder="1"/>
    <xf numFmtId="2" fontId="0" fillId="0" borderId="2" xfId="0" applyNumberFormat="1" applyFont="1" applyBorder="1"/>
    <xf numFmtId="0" fontId="5" fillId="0" borderId="0" xfId="0" applyFont="1"/>
    <xf numFmtId="0" fontId="0" fillId="0" borderId="0" xfId="0" applyFont="1"/>
  </cellXfs>
  <cellStyles count="79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Normal" xfId="0" builtinId="0"/>
  </cellStyles>
  <dxfs count="109">
    <dxf>
      <numFmt numFmtId="2" formatCode="0.00"/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5" name="Table146" displayName="Table146" ref="B6:G12" totalsRowCount="1">
  <tableColumns count="6">
    <tableColumn id="1" name="DELTA_DIAGONAL_ROD" totalsRowDxfId="108"/>
    <tableColumn id="3" name="X" totalsRowDxfId="107"/>
    <tableColumn id="4" name="Y" totalsRowDxfId="106"/>
    <tableColumn id="6" name="Z" dataDxfId="105" totalsRowDxfId="104" dataCellStyle="Comma"/>
    <tableColumn id="7" name="215.5" dataDxfId="103" totalsRowDxfId="102"/>
    <tableColumn id="8" name="Offset" totalsRowFunction="custom" dataDxfId="101" totalsRowDxfId="100">
      <totalsRowFormula>"M666 X-"&amp;ROUND(G9,2)&amp;" Y-"&amp;ROUND(G10,2)&amp;" Z-"&amp;ROUND(G11,2)</totalsRowFormula>
    </tableColumn>
  </tableColumns>
  <tableStyleInfo name="TableStyleLight9" showFirstColumn="0" showLastColumn="0" showRowStripes="1" showColumnStripes="1"/>
</table>
</file>

<file path=xl/tables/table10.xml><?xml version="1.0" encoding="utf-8"?>
<table xmlns="http://schemas.openxmlformats.org/spreadsheetml/2006/main" id="7" name="Table14258" displayName="Table14258" ref="I14:N20" totalsRowCount="1">
  <tableColumns count="6">
    <tableColumn id="1" name="DELTA_DIAGONAL_ROD" totalsRowDxfId="27"/>
    <tableColumn id="3" name="X" totalsRowDxfId="26"/>
    <tableColumn id="4" name="Y" totalsRowDxfId="25"/>
    <tableColumn id="6" name="Z" dataDxfId="24" totalsRowDxfId="23" dataCellStyle="Comma"/>
    <tableColumn id="7" name="217.0" dataDxfId="22" totalsRowDxfId="21"/>
    <tableColumn id="8" name="Offset" totalsRowFunction="custom" dataDxfId="20" totalsRowDxfId="19">
      <totalsRowFormula>"M666 X-"&amp;N17&amp;" Y-"&amp;N18&amp;" Z-"&amp;N19</totalsRowFormula>
    </tableColumn>
  </tableColumns>
  <tableStyleInfo name="TableStyleLight9" showFirstColumn="0" showLastColumn="0" showRowStripes="1" showColumnStripes="1"/>
</table>
</file>

<file path=xl/tables/table11.xml><?xml version="1.0" encoding="utf-8"?>
<table xmlns="http://schemas.openxmlformats.org/spreadsheetml/2006/main" id="8" name="Table142589" displayName="Table142589" ref="B22:G28" totalsRowCount="1">
  <tableColumns count="6">
    <tableColumn id="1" name="DELTA_DIAGONAL_ROD" totalsRowDxfId="18"/>
    <tableColumn id="3" name="X" totalsRowDxfId="17"/>
    <tableColumn id="4" name="Y" totalsRowDxfId="16"/>
    <tableColumn id="6" name="Z" dataDxfId="15" totalsRowDxfId="14" dataCellStyle="Comma"/>
    <tableColumn id="7" name="217.5" dataDxfId="13" totalsRowDxfId="12"/>
    <tableColumn id="8" name="Offset" totalsRowFunction="custom" dataDxfId="11" totalsRowDxfId="10">
      <totalsRowFormula>"M666 X-"&amp;G25&amp;" Y-"&amp;G26&amp;" Z-"&amp;G27</totalsRowFormula>
    </tableColumn>
  </tableColumns>
  <tableStyleInfo name="TableStyleLight9" showFirstColumn="0" showLastColumn="0" showRowStripes="1" showColumnStripes="1"/>
</table>
</file>

<file path=xl/tables/table12.xml><?xml version="1.0" encoding="utf-8"?>
<table xmlns="http://schemas.openxmlformats.org/spreadsheetml/2006/main" id="1" name="Table1425892" displayName="Table1425892" ref="I22:N28" totalsRowCount="1">
  <tableColumns count="6">
    <tableColumn id="1" name="DELTA_DIAGONAL_ROD" totalsRowDxfId="9"/>
    <tableColumn id="3" name="X" totalsRowDxfId="8"/>
    <tableColumn id="4" name="Y" totalsRowDxfId="7"/>
    <tableColumn id="6" name="Z" dataDxfId="6" totalsRowDxfId="5" dataCellStyle="Comma"/>
    <tableColumn id="7" name="217.5" dataDxfId="4" totalsRowDxfId="3"/>
    <tableColumn id="8" name="Offset" totalsRowFunction="custom" dataDxfId="2" totalsRowDxfId="1">
      <totalsRowFormula>"M666 X-"&amp;N25&amp;" Y-"&amp;N26&amp;" Z-"&amp;N27</totalsRowFormula>
    </tableColumn>
  </tableColumns>
  <tableStyleInfo name="TableStyleLight9" showFirstColumn="0" showLastColumn="0" showRowStripes="1" showColumnStripes="1"/>
</table>
</file>

<file path=xl/tables/table13.xml><?xml version="1.0" encoding="utf-8"?>
<table xmlns="http://schemas.openxmlformats.org/spreadsheetml/2006/main" id="2" name="Table2" displayName="Table2" ref="B2:C16" totalsRowShown="0">
  <tableColumns count="2">
    <tableColumn id="1" name="Parameter"/>
    <tableColumn id="2" name="Value" dataDxfId="0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9" name="Table142510" displayName="Table142510" ref="B14:G20" totalsRowCount="1">
  <tableColumns count="6">
    <tableColumn id="1" name="DELTA_DIAGONAL_ROD" totalsRowDxfId="99"/>
    <tableColumn id="3" name="X" totalsRowDxfId="98"/>
    <tableColumn id="4" name="Y" totalsRowDxfId="97"/>
    <tableColumn id="6" name="Z" dataDxfId="96" totalsRowDxfId="95" dataCellStyle="Comma"/>
    <tableColumn id="7" name=" " dataDxfId="94" totalsRowDxfId="93"/>
    <tableColumn id="8" name="Offset" totalsRowFunction="custom" dataDxfId="92" totalsRowDxfId="91">
      <totalsRowFormula>"M666 X-"&amp;ROUND(G17,2)&amp;" Y-"&amp;ROUND(G18,2)&amp;" Z-"&amp;ROUND(G19,2)</totalsRowFormula>
    </tableColumn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10" name="Table142711" displayName="Table142711" ref="I6:N12" totalsRowCount="1">
  <tableColumns count="6">
    <tableColumn id="1" name="DELTA_DIAGONAL_ROD" totalsRowDxfId="90"/>
    <tableColumn id="3" name="X" totalsRowDxfId="89"/>
    <tableColumn id="4" name="Y" totalsRowDxfId="88"/>
    <tableColumn id="6" name="Z" dataDxfId="87" totalsRowDxfId="86" dataCellStyle="Comma"/>
    <tableColumn id="7" name=" " dataDxfId="85" totalsRowDxfId="84"/>
    <tableColumn id="8" name="Offset" totalsRowFunction="custom" dataDxfId="83" totalsRowDxfId="82">
      <totalsRowFormula>"M666 X-"&amp;ROUND(N9,2)&amp;" Y-"&amp;ROUND(N10,2)&amp;" Z-"&amp;ROUND(N11,2)</totalsRowFormula>
    </tableColumn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11" name="Table1425812" displayName="Table1425812" ref="I14:N20" totalsRowCount="1">
  <tableColumns count="6">
    <tableColumn id="1" name="DELTA_DIAGONAL_ROD" totalsRowDxfId="81"/>
    <tableColumn id="3" name="X" totalsRowDxfId="80"/>
    <tableColumn id="4" name="Y" totalsRowDxfId="79"/>
    <tableColumn id="6" name="Z" dataDxfId="78" totalsRowDxfId="77" dataCellStyle="Comma"/>
    <tableColumn id="7" name=" " dataDxfId="76" totalsRowDxfId="75"/>
    <tableColumn id="8" name="Offset" totalsRowFunction="custom" dataDxfId="74" totalsRowDxfId="73">
      <totalsRowFormula>"M666 X-"&amp;ROUND(N17,2)&amp;" Y-"&amp;ROUND(N18,2)&amp;" Z-"&amp;ROUND(N19,2)</totalsRowFormula>
    </tableColumn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12" name="Table14258913" displayName="Table14258913" ref="B22:G28" totalsRowCount="1">
  <tableColumns count="6">
    <tableColumn id="1" name="DELTA_DIAGONAL_ROD" totalsRowDxfId="72"/>
    <tableColumn id="3" name="X" totalsRowDxfId="71"/>
    <tableColumn id="4" name="Y" totalsRowDxfId="70"/>
    <tableColumn id="6" name="Z" dataDxfId="69" totalsRowDxfId="68" dataCellStyle="Comma"/>
    <tableColumn id="7" name=" " dataDxfId="67" totalsRowDxfId="66"/>
    <tableColumn id="8" name="Offset" totalsRowFunction="custom" dataDxfId="65" totalsRowDxfId="64">
      <totalsRowFormula>"M666 X-"&amp;ROUND(G25,2)&amp;" Y-"&amp;ROUND(G26,2)&amp;" Z-"&amp;ROUND(G27,2)</totalsRowFormula>
    </tableColumn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13" name="Table142589214" displayName="Table142589214" ref="I22:N28" totalsRowCount="1">
  <tableColumns count="6">
    <tableColumn id="1" name="DELTA_DIAGONAL_ROD" totalsRowDxfId="63"/>
    <tableColumn id="3" name="X" totalsRowDxfId="62"/>
    <tableColumn id="4" name="Y" totalsRowDxfId="61"/>
    <tableColumn id="6" name="Z" dataDxfId="60" totalsRowDxfId="59" dataCellStyle="Comma"/>
    <tableColumn id="7" name=" " dataDxfId="58" totalsRowDxfId="57"/>
    <tableColumn id="8" name="Offset" totalsRowFunction="custom" dataDxfId="56" totalsRowDxfId="55">
      <totalsRowFormula>"M666 X-"&amp;ROUND(N25,2)&amp;" Y-"&amp;ROUND(N26,2)&amp;" Z-"&amp;ROUND(N27,2)</totalsRowFormula>
    </tableColumn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3" name="Table14" displayName="Table14" ref="B6:G12" totalsRowCount="1">
  <tableColumns count="6">
    <tableColumn id="1" name="DELTA_DIAGONAL_ROD" totalsRowDxfId="54"/>
    <tableColumn id="3" name="X" totalsRowDxfId="53"/>
    <tableColumn id="4" name="Y" totalsRowDxfId="52"/>
    <tableColumn id="6" name="Z" dataDxfId="51" totalsRowDxfId="50" dataCellStyle="Comma"/>
    <tableColumn id="7" name="215.5" dataDxfId="49" totalsRowDxfId="48"/>
    <tableColumn id="8" name="Offset" totalsRowFunction="custom" dataDxfId="47" totalsRowDxfId="46">
      <totalsRowFormula>"M666 X-"&amp;G9&amp;" Y-"&amp;G10&amp;" Z-"&amp;G11</totalsRowFormula>
    </tableColumn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4" name="Table1425" displayName="Table1425" ref="B14:G20" totalsRowCount="1">
  <tableColumns count="6">
    <tableColumn id="1" name="DELTA_DIAGONAL_ROD" totalsRowDxfId="45"/>
    <tableColumn id="3" name="X" totalsRowDxfId="44"/>
    <tableColumn id="4" name="Y" totalsRowDxfId="43"/>
    <tableColumn id="6" name="Z" dataDxfId="42" totalsRowDxfId="41" dataCellStyle="Comma"/>
    <tableColumn id="7" name="216.5" dataDxfId="40" totalsRowDxfId="39"/>
    <tableColumn id="8" name="Offset" totalsRowFunction="custom" dataDxfId="38" totalsRowDxfId="37">
      <totalsRowFormula>"M666 X-"&amp;G17&amp;" Y-"&amp;G18&amp;" Z-"&amp;G19</totalsRowFormula>
    </tableColumn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6" name="Table1427" displayName="Table1427" ref="I6:N12" totalsRowCount="1">
  <tableColumns count="6">
    <tableColumn id="1" name="DELTA_DIAGONAL_ROD" totalsRowDxfId="36"/>
    <tableColumn id="3" name="X" totalsRowDxfId="35"/>
    <tableColumn id="4" name="Y" totalsRowDxfId="34"/>
    <tableColumn id="6" name="Z" dataDxfId="33" totalsRowDxfId="32" dataCellStyle="Comma"/>
    <tableColumn id="7" name="216.0" dataDxfId="31" totalsRowDxfId="30"/>
    <tableColumn id="8" name="Offset" totalsRowFunction="custom" dataDxfId="29" totalsRowDxfId="28">
      <totalsRowFormula>"M666 X-"&amp;N9&amp;" Y-"&amp;N10&amp;" Z-"&amp;N11</totalsRowFormula>
    </tableColumn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<Relationship Id="rId8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8"/>
  <sheetViews>
    <sheetView showGridLines="0" zoomScale="150" zoomScaleNormal="150" zoomScalePageLayoutView="150" workbookViewId="0">
      <selection activeCell="C1" sqref="C1"/>
    </sheetView>
  </sheetViews>
  <sheetFormatPr baseColWidth="10" defaultRowHeight="15" x14ac:dyDescent="0"/>
  <cols>
    <col min="1" max="1" width="2" style="3" customWidth="1"/>
    <col min="2" max="2" width="21.33203125" style="3" bestFit="1" customWidth="1"/>
    <col min="3" max="5" width="7.83203125" style="3" customWidth="1"/>
    <col min="6" max="7" width="10.83203125" style="3"/>
    <col min="8" max="8" width="1.33203125" style="3" customWidth="1"/>
    <col min="9" max="9" width="21.33203125" style="3" bestFit="1" customWidth="1"/>
    <col min="10" max="12" width="7.83203125" style="3" customWidth="1"/>
    <col min="13" max="16384" width="10.83203125" style="3"/>
  </cols>
  <sheetData>
    <row r="1" spans="2:14">
      <c r="B1" s="15" t="s">
        <v>33</v>
      </c>
      <c r="C1" s="3" t="str">
        <f>Parameters!E9</f>
        <v>G0 X0 Y0 Z50 E0</v>
      </c>
      <c r="I1" s="15" t="s">
        <v>33</v>
      </c>
      <c r="J1" s="3" t="str">
        <f>Parameters!E9</f>
        <v>G0 X0 Y0 Z50 E0</v>
      </c>
    </row>
    <row r="2" spans="2:14">
      <c r="B2" s="15" t="s">
        <v>2</v>
      </c>
      <c r="C2" s="3" t="str">
        <f>Parameters!E11</f>
        <v>G0 X-99.46 Y-57.43 Z50 E0</v>
      </c>
      <c r="I2" s="15" t="s">
        <v>2</v>
      </c>
      <c r="J2" s="3" t="str">
        <f>Parameters!E11</f>
        <v>G0 X-99.46 Y-57.43 Z50 E0</v>
      </c>
    </row>
    <row r="3" spans="2:14">
      <c r="B3" s="15" t="s">
        <v>3</v>
      </c>
      <c r="C3" s="3" t="str">
        <f>Parameters!E13</f>
        <v>G0 X99.46 Y-57.43 Z50 E0</v>
      </c>
      <c r="I3" s="15" t="s">
        <v>3</v>
      </c>
      <c r="J3" s="3" t="str">
        <f>Parameters!E13</f>
        <v>G0 X99.46 Y-57.43 Z50 E0</v>
      </c>
    </row>
    <row r="4" spans="2:14">
      <c r="B4" s="15" t="s">
        <v>4</v>
      </c>
      <c r="C4" s="3" t="str">
        <f>Parameters!E15</f>
        <v>G0 X0 Y114.85 Z50 E0</v>
      </c>
      <c r="I4" s="15" t="s">
        <v>4</v>
      </c>
      <c r="J4" s="3" t="str">
        <f>Parameters!E15</f>
        <v>G0 X0 Y114.85 Z50 E0</v>
      </c>
    </row>
    <row r="6" spans="2:14">
      <c r="B6" t="s">
        <v>0</v>
      </c>
      <c r="C6" s="2" t="s">
        <v>2</v>
      </c>
      <c r="D6" s="2" t="s">
        <v>3</v>
      </c>
      <c r="E6" s="2" t="s">
        <v>4</v>
      </c>
      <c r="F6" s="11" t="s">
        <v>1</v>
      </c>
      <c r="G6" s="1" t="s">
        <v>27</v>
      </c>
      <c r="I6" t="s">
        <v>0</v>
      </c>
      <c r="J6" s="2" t="s">
        <v>2</v>
      </c>
      <c r="K6" s="2" t="s">
        <v>3</v>
      </c>
      <c r="L6" s="2" t="s">
        <v>4</v>
      </c>
      <c r="M6" s="11" t="s">
        <v>68</v>
      </c>
      <c r="N6" s="1" t="s">
        <v>27</v>
      </c>
    </row>
    <row r="7" spans="2:14">
      <c r="B7" t="s">
        <v>5</v>
      </c>
      <c r="C7" s="4"/>
      <c r="D7" s="4"/>
      <c r="E7" s="4"/>
      <c r="F7" s="6">
        <v>120</v>
      </c>
      <c r="G7" s="6">
        <f>MIN(F9:F11)</f>
        <v>113.4</v>
      </c>
      <c r="I7" t="s">
        <v>5</v>
      </c>
      <c r="J7" s="4"/>
      <c r="K7" s="4"/>
      <c r="L7" s="4"/>
      <c r="M7" s="6">
        <v>113.4</v>
      </c>
      <c r="N7" s="6">
        <f>MIN(M9:M11)</f>
        <v>113.4</v>
      </c>
    </row>
    <row r="8" spans="2:14">
      <c r="B8" t="s">
        <v>6</v>
      </c>
      <c r="C8" s="5">
        <v>0</v>
      </c>
      <c r="D8" s="5">
        <v>0</v>
      </c>
      <c r="E8" s="5">
        <v>6.7</v>
      </c>
      <c r="F8" s="6">
        <f>F$7-Table146[[#This Row],[Z]]</f>
        <v>113.3</v>
      </c>
      <c r="G8"/>
      <c r="I8" t="s">
        <v>6</v>
      </c>
      <c r="J8" s="5">
        <v>0</v>
      </c>
      <c r="K8" s="5">
        <v>0</v>
      </c>
      <c r="L8" s="5"/>
      <c r="M8" s="6">
        <f>M$7-Table142711[[#This Row],[Z]]</f>
        <v>113.4</v>
      </c>
      <c r="N8"/>
    </row>
    <row r="9" spans="2:14">
      <c r="B9" t="s">
        <v>7</v>
      </c>
      <c r="C9" s="5">
        <v>-99.4</v>
      </c>
      <c r="D9" s="5">
        <v>-57.4</v>
      </c>
      <c r="E9" s="5">
        <v>6.5</v>
      </c>
      <c r="F9" s="6">
        <f>F$7-Table146[[#This Row],[Z]]</f>
        <v>113.5</v>
      </c>
      <c r="G9" s="6">
        <f>ROUNDUP(MAX(E$9:E$11),1)-Table146[[#This Row],[Z]]</f>
        <v>9.9999999999999645E-2</v>
      </c>
      <c r="I9" t="s">
        <v>7</v>
      </c>
      <c r="J9" s="5">
        <v>-99.4</v>
      </c>
      <c r="K9" s="5">
        <v>-57.4</v>
      </c>
      <c r="L9" s="5"/>
      <c r="M9" s="6">
        <f>M$7-Table142711[[#This Row],[Z]]</f>
        <v>113.4</v>
      </c>
      <c r="N9" s="6">
        <f>ROUNDUP(MAX(L$9:L$11),1)-Table142711[[#This Row],[Z]]</f>
        <v>0</v>
      </c>
    </row>
    <row r="10" spans="2:14">
      <c r="B10" t="s">
        <v>8</v>
      </c>
      <c r="C10" s="5">
        <v>99.4</v>
      </c>
      <c r="D10" s="5">
        <v>-57.4</v>
      </c>
      <c r="E10" s="5">
        <v>6.6</v>
      </c>
      <c r="F10" s="6">
        <f>F$7-Table146[[#This Row],[Z]]</f>
        <v>113.4</v>
      </c>
      <c r="G10" s="6">
        <f>ROUNDUP(MAX(E$9:E$11),1)-Table146[[#This Row],[Z]]</f>
        <v>0</v>
      </c>
      <c r="I10" t="s">
        <v>8</v>
      </c>
      <c r="J10" s="5">
        <v>99.4</v>
      </c>
      <c r="K10" s="5">
        <v>-57.4</v>
      </c>
      <c r="L10" s="5"/>
      <c r="M10" s="6">
        <f>M$7-Table142711[[#This Row],[Z]]</f>
        <v>113.4</v>
      </c>
      <c r="N10" s="6">
        <f>ROUNDUP(MAX(L$9:L$11),1)-Table142711[[#This Row],[Z]]</f>
        <v>0</v>
      </c>
    </row>
    <row r="11" spans="2:14">
      <c r="B11" t="s">
        <v>9</v>
      </c>
      <c r="C11" s="5">
        <v>0</v>
      </c>
      <c r="D11" s="5">
        <v>114.8</v>
      </c>
      <c r="E11" s="5">
        <v>6.5</v>
      </c>
      <c r="F11" s="6">
        <f>F$7-Table146[[#This Row],[Z]]</f>
        <v>113.5</v>
      </c>
      <c r="G11" s="6">
        <f>ROUNDUP(MAX(E$9:E$11),1)-Table146[[#This Row],[Z]]</f>
        <v>9.9999999999999645E-2</v>
      </c>
      <c r="I11" t="s">
        <v>9</v>
      </c>
      <c r="J11" s="5">
        <v>0</v>
      </c>
      <c r="K11" s="5">
        <v>114.8</v>
      </c>
      <c r="L11" s="5"/>
      <c r="M11" s="6">
        <f>M$7-Table142711[[#This Row],[Z]]</f>
        <v>113.4</v>
      </c>
      <c r="N11" s="6">
        <f>ROUNDUP(MAX(L$9:L$11),1)-Table142711[[#This Row],[Z]]</f>
        <v>0</v>
      </c>
    </row>
    <row r="12" spans="2:14">
      <c r="B12" s="12"/>
      <c r="C12" s="12"/>
      <c r="D12" s="12"/>
      <c r="E12" s="16"/>
      <c r="F12" s="13"/>
      <c r="G12" s="14" t="str">
        <f>"M666 X-"&amp;ROUND(G9,2)&amp;" Y-"&amp;ROUND(G10,2)&amp;" Z-"&amp;ROUND(G11,2)</f>
        <v>M666 X-0.1 Y-0 Z-0.1</v>
      </c>
      <c r="I12" s="12"/>
      <c r="J12" s="12"/>
      <c r="K12" s="12"/>
      <c r="L12" s="16"/>
      <c r="M12" s="13"/>
      <c r="N12" s="14" t="str">
        <f>"M666 X-"&amp;ROUND(N9,2)&amp;" Y-"&amp;ROUND(N10,2)&amp;" Z-"&amp;ROUND(N11,2)</f>
        <v>M666 X-0 Y-0 Z-0</v>
      </c>
    </row>
    <row r="14" spans="2:14">
      <c r="B14" t="s">
        <v>0</v>
      </c>
      <c r="C14" s="2" t="s">
        <v>2</v>
      </c>
      <c r="D14" s="2" t="s">
        <v>3</v>
      </c>
      <c r="E14" s="2" t="s">
        <v>4</v>
      </c>
      <c r="F14" s="11" t="s">
        <v>68</v>
      </c>
      <c r="G14" s="1" t="s">
        <v>27</v>
      </c>
      <c r="I14" t="s">
        <v>0</v>
      </c>
      <c r="J14" s="2" t="s">
        <v>2</v>
      </c>
      <c r="K14" s="2" t="s">
        <v>3</v>
      </c>
      <c r="L14" s="2" t="s">
        <v>4</v>
      </c>
      <c r="M14" s="11" t="s">
        <v>68</v>
      </c>
      <c r="N14" s="1" t="s">
        <v>27</v>
      </c>
    </row>
    <row r="15" spans="2:14">
      <c r="B15" t="s">
        <v>5</v>
      </c>
      <c r="C15" s="4"/>
      <c r="D15" s="4"/>
      <c r="E15" s="4"/>
      <c r="F15" s="6">
        <v>120</v>
      </c>
      <c r="G15" s="6">
        <f>MIN(F17:F19)</f>
        <v>120</v>
      </c>
      <c r="I15" t="s">
        <v>5</v>
      </c>
      <c r="J15" s="4"/>
      <c r="K15" s="4"/>
      <c r="L15" s="4"/>
      <c r="M15" s="6"/>
      <c r="N15" s="6">
        <f>MIN(M17:M19)</f>
        <v>0</v>
      </c>
    </row>
    <row r="16" spans="2:14">
      <c r="B16" t="s">
        <v>6</v>
      </c>
      <c r="C16" s="5">
        <v>0</v>
      </c>
      <c r="D16" s="5">
        <v>0</v>
      </c>
      <c r="E16" s="5"/>
      <c r="F16" s="6">
        <f>F$15-Table142510[[#This Row],[Z]]</f>
        <v>120</v>
      </c>
      <c r="G16"/>
      <c r="I16" t="s">
        <v>6</v>
      </c>
      <c r="J16" s="5">
        <v>0</v>
      </c>
      <c r="K16" s="5">
        <v>0</v>
      </c>
      <c r="L16" s="5"/>
      <c r="M16" s="6">
        <f>M$15-Table1425812[[#This Row],[Z]]</f>
        <v>0</v>
      </c>
      <c r="N16"/>
    </row>
    <row r="17" spans="2:14">
      <c r="B17" t="s">
        <v>7</v>
      </c>
      <c r="C17" s="5">
        <v>-99.4</v>
      </c>
      <c r="D17" s="5">
        <v>-57.4</v>
      </c>
      <c r="E17" s="5"/>
      <c r="F17" s="6">
        <f>F$15-Table142510[[#This Row],[Z]]</f>
        <v>120</v>
      </c>
      <c r="G17" s="6">
        <f>ROUNDUP(MAX(E$17:E$19),1)-Table142510[[#This Row],[Z]]</f>
        <v>0</v>
      </c>
      <c r="I17" t="s">
        <v>7</v>
      </c>
      <c r="J17" s="5">
        <v>-99.4</v>
      </c>
      <c r="K17" s="5">
        <v>-57.4</v>
      </c>
      <c r="L17" s="5"/>
      <c r="M17" s="6">
        <f>M$15-Table1425812[[#This Row],[Z]]</f>
        <v>0</v>
      </c>
      <c r="N17" s="6">
        <f>ROUNDUP(MAX(L$17:L$19),1)-Table1425812[[#This Row],[Z]]</f>
        <v>0</v>
      </c>
    </row>
    <row r="18" spans="2:14">
      <c r="B18" t="s">
        <v>8</v>
      </c>
      <c r="C18" s="5">
        <v>99.4</v>
      </c>
      <c r="D18" s="5">
        <v>-57.4</v>
      </c>
      <c r="E18" s="5"/>
      <c r="F18" s="6">
        <f>F$15-Table142510[[#This Row],[Z]]</f>
        <v>120</v>
      </c>
      <c r="G18" s="6">
        <f>ROUNDUP(MAX(E$17:E$19),1)-Table142510[[#This Row],[Z]]</f>
        <v>0</v>
      </c>
      <c r="I18" t="s">
        <v>8</v>
      </c>
      <c r="J18" s="5">
        <v>99.4</v>
      </c>
      <c r="K18" s="5">
        <v>-57.4</v>
      </c>
      <c r="L18" s="5"/>
      <c r="M18" s="6">
        <f>M$15-Table1425812[[#This Row],[Z]]</f>
        <v>0</v>
      </c>
      <c r="N18" s="6">
        <f>ROUNDUP(MAX(L$17:L$19),1)-Table1425812[[#This Row],[Z]]</f>
        <v>0</v>
      </c>
    </row>
    <row r="19" spans="2:14">
      <c r="B19" t="s">
        <v>9</v>
      </c>
      <c r="C19" s="5">
        <v>0</v>
      </c>
      <c r="D19" s="5">
        <v>114.8</v>
      </c>
      <c r="E19" s="5"/>
      <c r="F19" s="6">
        <f>F$15-Table142510[[#This Row],[Z]]</f>
        <v>120</v>
      </c>
      <c r="G19" s="6">
        <f>ROUNDUP(MAX(E$17:E$19),1)-Table142510[[#This Row],[Z]]</f>
        <v>0</v>
      </c>
      <c r="I19" t="s">
        <v>9</v>
      </c>
      <c r="J19" s="5">
        <v>0</v>
      </c>
      <c r="K19" s="5">
        <v>114.8</v>
      </c>
      <c r="L19" s="5"/>
      <c r="M19" s="6">
        <f>M$15-Table1425812[[#This Row],[Z]]</f>
        <v>0</v>
      </c>
      <c r="N19" s="6">
        <f>ROUNDUP(MAX(L$17:L$19),1)-Table1425812[[#This Row],[Z]]</f>
        <v>0</v>
      </c>
    </row>
    <row r="20" spans="2:14">
      <c r="B20" s="12"/>
      <c r="C20" s="12"/>
      <c r="D20" s="12"/>
      <c r="E20" s="16"/>
      <c r="F20" s="13"/>
      <c r="G20" s="14" t="str">
        <f>"M666 X-"&amp;ROUND(G17,2)&amp;" Y-"&amp;ROUND(G18,2)&amp;" Z-"&amp;ROUND(G19,2)</f>
        <v>M666 X-0 Y-0 Z-0</v>
      </c>
      <c r="I20" s="12"/>
      <c r="J20" s="12"/>
      <c r="K20" s="12"/>
      <c r="L20" s="16"/>
      <c r="M20" s="13"/>
      <c r="N20" s="14" t="str">
        <f>"M666 X-"&amp;ROUND(N17,2)&amp;" Y-"&amp;ROUND(N18,2)&amp;" Z-"&amp;ROUND(N19,2)</f>
        <v>M666 X-0 Y-0 Z-0</v>
      </c>
    </row>
    <row r="22" spans="2:14">
      <c r="B22" t="s">
        <v>0</v>
      </c>
      <c r="C22" s="2" t="s">
        <v>2</v>
      </c>
      <c r="D22" s="2" t="s">
        <v>3</v>
      </c>
      <c r="E22" s="2" t="s">
        <v>4</v>
      </c>
      <c r="F22" s="11" t="s">
        <v>68</v>
      </c>
      <c r="G22" s="1" t="s">
        <v>27</v>
      </c>
      <c r="I22" t="s">
        <v>0</v>
      </c>
      <c r="J22" s="2" t="s">
        <v>2</v>
      </c>
      <c r="K22" s="2" t="s">
        <v>3</v>
      </c>
      <c r="L22" s="2" t="s">
        <v>4</v>
      </c>
      <c r="M22" s="11" t="s">
        <v>68</v>
      </c>
      <c r="N22" s="1" t="s">
        <v>27</v>
      </c>
    </row>
    <row r="23" spans="2:14">
      <c r="B23" t="s">
        <v>5</v>
      </c>
      <c r="C23" s="4"/>
      <c r="D23" s="4"/>
      <c r="E23" s="4"/>
      <c r="F23" s="6"/>
      <c r="G23" s="6">
        <f>MIN(F25:F27)</f>
        <v>0</v>
      </c>
      <c r="I23" t="s">
        <v>5</v>
      </c>
      <c r="J23" s="4"/>
      <c r="K23" s="4"/>
      <c r="L23" s="4"/>
      <c r="M23" s="6"/>
      <c r="N23" s="6">
        <f>MIN(M25:M27)</f>
        <v>0</v>
      </c>
    </row>
    <row r="24" spans="2:14">
      <c r="B24" t="s">
        <v>6</v>
      </c>
      <c r="C24" s="5">
        <v>0</v>
      </c>
      <c r="D24" s="5">
        <v>0</v>
      </c>
      <c r="E24" s="5"/>
      <c r="F24" s="6">
        <f>F$23-Table14258913[[#This Row],[Z]]</f>
        <v>0</v>
      </c>
      <c r="G24"/>
      <c r="I24" t="s">
        <v>6</v>
      </c>
      <c r="J24" s="5">
        <v>0</v>
      </c>
      <c r="K24" s="5">
        <v>0</v>
      </c>
      <c r="L24" s="5"/>
      <c r="M24" s="6">
        <f>M$23-Table142589214[[#This Row],[Z]]</f>
        <v>0</v>
      </c>
      <c r="N24"/>
    </row>
    <row r="25" spans="2:14">
      <c r="B25" t="s">
        <v>7</v>
      </c>
      <c r="C25" s="5">
        <v>-99.4</v>
      </c>
      <c r="D25" s="5">
        <v>-57.4</v>
      </c>
      <c r="E25" s="5"/>
      <c r="F25" s="6">
        <f>F$23-Table14258913[[#This Row],[Z]]</f>
        <v>0</v>
      </c>
      <c r="G25" s="6">
        <f>ROUNDUP(MAX(E$25:E$27),1)-Table14258913[[#This Row],[Z]]</f>
        <v>0</v>
      </c>
      <c r="I25" t="s">
        <v>7</v>
      </c>
      <c r="J25" s="5">
        <v>-99.4</v>
      </c>
      <c r="K25" s="5">
        <v>-57.4</v>
      </c>
      <c r="L25" s="5"/>
      <c r="M25" s="6">
        <f>M$23-Table142589214[[#This Row],[Z]]</f>
        <v>0</v>
      </c>
      <c r="N25" s="6">
        <f>ROUNDUP(MAX(L$25:L$27),1)-Table14258913[[#This Row],[Z]]</f>
        <v>0</v>
      </c>
    </row>
    <row r="26" spans="2:14">
      <c r="B26" t="s">
        <v>8</v>
      </c>
      <c r="C26" s="5">
        <v>99.4</v>
      </c>
      <c r="D26" s="5">
        <v>-57.4</v>
      </c>
      <c r="E26" s="5"/>
      <c r="F26" s="6">
        <f>F$23-Table14258913[[#This Row],[Z]]</f>
        <v>0</v>
      </c>
      <c r="G26" s="6">
        <f>ROUNDUP(MAX(E$25:E$27),1)-Table14258913[[#This Row],[Z]]</f>
        <v>0</v>
      </c>
      <c r="I26" t="s">
        <v>8</v>
      </c>
      <c r="J26" s="5">
        <v>99.4</v>
      </c>
      <c r="K26" s="5">
        <v>-57.4</v>
      </c>
      <c r="L26" s="5"/>
      <c r="M26" s="6">
        <f>M$23-Table142589214[[#This Row],[Z]]</f>
        <v>0</v>
      </c>
      <c r="N26" s="6">
        <f>ROUNDUP(MAX(L$25:L$27),1)-Table14258913[[#This Row],[Z]]</f>
        <v>0</v>
      </c>
    </row>
    <row r="27" spans="2:14">
      <c r="B27" t="s">
        <v>9</v>
      </c>
      <c r="C27" s="5">
        <v>0</v>
      </c>
      <c r="D27" s="5">
        <v>114.8</v>
      </c>
      <c r="E27" s="5"/>
      <c r="F27" s="6">
        <f>F$23-Table14258913[[#This Row],[Z]]</f>
        <v>0</v>
      </c>
      <c r="G27" s="6">
        <f>ROUNDUP(MAX(E$25:E$27),1)-Table14258913[[#This Row],[Z]]</f>
        <v>0</v>
      </c>
      <c r="I27" t="s">
        <v>9</v>
      </c>
      <c r="J27" s="5">
        <v>0</v>
      </c>
      <c r="K27" s="5">
        <v>114.8</v>
      </c>
      <c r="L27" s="5"/>
      <c r="M27" s="6">
        <f>M$23-Table142589214[[#This Row],[Z]]</f>
        <v>0</v>
      </c>
      <c r="N27" s="6">
        <f>ROUNDUP(MAX(L$25:L$27),1)-Table14258913[[#This Row],[Z]]</f>
        <v>0</v>
      </c>
    </row>
    <row r="28" spans="2:14">
      <c r="B28" s="12"/>
      <c r="C28" s="12"/>
      <c r="D28" s="12"/>
      <c r="E28" s="16"/>
      <c r="F28" s="13"/>
      <c r="G28" s="14" t="str">
        <f>"M666 X-"&amp;ROUND(G25,2)&amp;" Y-"&amp;ROUND(G26,2)&amp;" Z-"&amp;ROUND(G27,2)</f>
        <v>M666 X-0 Y-0 Z-0</v>
      </c>
      <c r="I28" s="12"/>
      <c r="J28" s="12"/>
      <c r="K28" s="12"/>
      <c r="L28" s="16"/>
      <c r="M28" s="13"/>
      <c r="N28" s="14" t="str">
        <f>"M666 X-"&amp;ROUND(N25,2)&amp;" Y-"&amp;ROUND(N26,2)&amp;" Z-"&amp;ROUND(N27,2)</f>
        <v>M666 X-0 Y-0 Z-0</v>
      </c>
    </row>
  </sheetData>
  <pageMargins left="0.75" right="0.75" top="1" bottom="1" header="0.5" footer="0.5"/>
  <pageSetup orientation="portrait" horizontalDpi="4294967292" verticalDpi="4294967292"/>
  <legacy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8"/>
  <sheetViews>
    <sheetView showGridLines="0" zoomScale="150" zoomScaleNormal="150" zoomScalePageLayoutView="150" workbookViewId="0">
      <selection activeCell="E12" sqref="E12"/>
    </sheetView>
  </sheetViews>
  <sheetFormatPr baseColWidth="10" defaultRowHeight="15" x14ac:dyDescent="0"/>
  <cols>
    <col min="1" max="1" width="2" style="3" customWidth="1"/>
    <col min="2" max="2" width="21.33203125" style="3" bestFit="1" customWidth="1"/>
    <col min="3" max="5" width="7.83203125" style="3" customWidth="1"/>
    <col min="6" max="7" width="10.83203125" style="3"/>
    <col min="8" max="8" width="1.33203125" style="3" customWidth="1"/>
    <col min="9" max="9" width="21.33203125" style="3" bestFit="1" customWidth="1"/>
    <col min="10" max="12" width="7.83203125" style="3" customWidth="1"/>
    <col min="13" max="16384" width="10.83203125" style="3"/>
  </cols>
  <sheetData>
    <row r="1" spans="2:14">
      <c r="B1" s="15" t="s">
        <v>33</v>
      </c>
      <c r="C1" s="3" t="str">
        <f>Parameters!E9</f>
        <v>G0 X0 Y0 Z50 E0</v>
      </c>
      <c r="I1" s="15" t="s">
        <v>33</v>
      </c>
      <c r="J1" s="3" t="str">
        <f>Parameters!E9</f>
        <v>G0 X0 Y0 Z50 E0</v>
      </c>
    </row>
    <row r="2" spans="2:14">
      <c r="B2" s="15" t="s">
        <v>2</v>
      </c>
      <c r="C2" s="3" t="str">
        <f>Parameters!E11</f>
        <v>G0 X-99.46 Y-57.43 Z50 E0</v>
      </c>
      <c r="I2" s="15" t="s">
        <v>2</v>
      </c>
      <c r="J2" s="3" t="str">
        <f>Parameters!E11</f>
        <v>G0 X-99.46 Y-57.43 Z50 E0</v>
      </c>
    </row>
    <row r="3" spans="2:14">
      <c r="B3" s="15" t="s">
        <v>3</v>
      </c>
      <c r="C3" s="3" t="str">
        <f>Parameters!E13</f>
        <v>G0 X99.46 Y-57.43 Z50 E0</v>
      </c>
      <c r="I3" s="15" t="s">
        <v>3</v>
      </c>
      <c r="J3" s="3" t="str">
        <f>Parameters!E13</f>
        <v>G0 X99.46 Y-57.43 Z50 E0</v>
      </c>
    </row>
    <row r="4" spans="2:14">
      <c r="B4" s="15" t="s">
        <v>4</v>
      </c>
      <c r="C4" s="3" t="str">
        <f>Parameters!E15</f>
        <v>G0 X0 Y114.85 Z50 E0</v>
      </c>
      <c r="I4" s="15" t="s">
        <v>4</v>
      </c>
      <c r="J4" s="3" t="str">
        <f>Parameters!E15</f>
        <v>G0 X0 Y114.85 Z50 E0</v>
      </c>
    </row>
    <row r="6" spans="2:14">
      <c r="B6" t="s">
        <v>0</v>
      </c>
      <c r="C6" s="2" t="s">
        <v>2</v>
      </c>
      <c r="D6" s="2" t="s">
        <v>3</v>
      </c>
      <c r="E6" s="2" t="s">
        <v>4</v>
      </c>
      <c r="F6" s="11" t="s">
        <v>1</v>
      </c>
      <c r="G6" s="1" t="s">
        <v>27</v>
      </c>
      <c r="I6" t="s">
        <v>0</v>
      </c>
      <c r="J6" s="2" t="s">
        <v>2</v>
      </c>
      <c r="K6" s="2" t="s">
        <v>3</v>
      </c>
      <c r="L6" s="2" t="s">
        <v>4</v>
      </c>
      <c r="M6" s="11" t="s">
        <v>34</v>
      </c>
      <c r="N6" s="1" t="s">
        <v>27</v>
      </c>
    </row>
    <row r="7" spans="2:14">
      <c r="B7" t="s">
        <v>5</v>
      </c>
      <c r="C7" s="4"/>
      <c r="D7" s="4"/>
      <c r="E7" s="4"/>
      <c r="F7" s="6">
        <v>120</v>
      </c>
      <c r="G7" s="6">
        <f>MIN(F9:F11)</f>
        <v>116.1</v>
      </c>
      <c r="I7" t="s">
        <v>5</v>
      </c>
      <c r="J7" s="4"/>
      <c r="K7" s="4"/>
      <c r="L7" s="4"/>
      <c r="M7" s="6"/>
      <c r="N7" s="6">
        <f>MIN(M9:M11)</f>
        <v>0</v>
      </c>
    </row>
    <row r="8" spans="2:14">
      <c r="B8" t="s">
        <v>6</v>
      </c>
      <c r="C8" s="5">
        <v>0</v>
      </c>
      <c r="D8" s="5">
        <v>0</v>
      </c>
      <c r="E8" s="5">
        <v>3.2</v>
      </c>
      <c r="F8" s="6">
        <f>F$7-Table14[[#This Row],[Z]]</f>
        <v>116.8</v>
      </c>
      <c r="G8"/>
      <c r="I8" t="s">
        <v>6</v>
      </c>
      <c r="J8" s="5">
        <v>0</v>
      </c>
      <c r="K8" s="5">
        <v>0</v>
      </c>
      <c r="L8" s="5"/>
      <c r="M8" s="6">
        <f>M$7-Table1427[[#This Row],[Z]]</f>
        <v>0</v>
      </c>
      <c r="N8"/>
    </row>
    <row r="9" spans="2:14">
      <c r="B9" t="s">
        <v>7</v>
      </c>
      <c r="C9" s="5">
        <v>-99.4</v>
      </c>
      <c r="D9" s="5">
        <v>-57.4</v>
      </c>
      <c r="E9" s="5">
        <v>3.2</v>
      </c>
      <c r="F9" s="6">
        <f>F$7-Table14[[#This Row],[Z]]</f>
        <v>116.8</v>
      </c>
      <c r="G9" s="6">
        <f>ROUNDUP(MAX(E$9:E$11),1)-Table14[[#This Row],[Z]]</f>
        <v>0.69999999999999973</v>
      </c>
      <c r="I9" t="s">
        <v>7</v>
      </c>
      <c r="J9" s="5">
        <v>-99.4</v>
      </c>
      <c r="K9" s="5">
        <v>-57.4</v>
      </c>
      <c r="L9" s="5"/>
      <c r="M9" s="6">
        <f>M$7-Table1427[[#This Row],[Z]]</f>
        <v>0</v>
      </c>
      <c r="N9" s="6">
        <f>ROUNDUP(MAX(L$9:L$11),1)-Table1427[[#This Row],[Z]]</f>
        <v>0</v>
      </c>
    </row>
    <row r="10" spans="2:14">
      <c r="B10" t="s">
        <v>8</v>
      </c>
      <c r="C10" s="5">
        <v>99.4</v>
      </c>
      <c r="D10" s="5">
        <v>-57.4</v>
      </c>
      <c r="E10" s="5">
        <v>3.9</v>
      </c>
      <c r="F10" s="6">
        <f>F$7-Table14[[#This Row],[Z]]</f>
        <v>116.1</v>
      </c>
      <c r="G10" s="6">
        <f>ROUNDUP(MAX(E$17:E$19),1)-Table14[[#This Row],[Z]]</f>
        <v>-3.9</v>
      </c>
      <c r="I10" t="s">
        <v>8</v>
      </c>
      <c r="J10" s="5">
        <v>99.4</v>
      </c>
      <c r="K10" s="5">
        <v>-57.4</v>
      </c>
      <c r="L10" s="5"/>
      <c r="M10" s="6">
        <f>M$7-Table1427[[#This Row],[Z]]</f>
        <v>0</v>
      </c>
      <c r="N10" s="6">
        <f>ROUNDUP(MAX(L$9:L$11),1)-Table1427[[#This Row],[Z]]</f>
        <v>0</v>
      </c>
    </row>
    <row r="11" spans="2:14">
      <c r="B11" t="s">
        <v>9</v>
      </c>
      <c r="C11" s="5">
        <v>0</v>
      </c>
      <c r="D11" s="5">
        <v>114.8</v>
      </c>
      <c r="E11" s="5">
        <v>1.4</v>
      </c>
      <c r="F11" s="6">
        <f>F$7-Table14[[#This Row],[Z]]</f>
        <v>118.6</v>
      </c>
      <c r="G11" s="6">
        <f>ROUNDUP(MAX(E$17:E$19),1)-Table14[[#This Row],[Z]]</f>
        <v>-1.4</v>
      </c>
      <c r="I11" t="s">
        <v>9</v>
      </c>
      <c r="J11" s="5">
        <v>0</v>
      </c>
      <c r="K11" s="5">
        <v>114.8</v>
      </c>
      <c r="L11" s="5"/>
      <c r="M11" s="6">
        <f>M$7-Table1427[[#This Row],[Z]]</f>
        <v>0</v>
      </c>
      <c r="N11" s="6">
        <f>ROUNDUP(MAX(L$9:L$11),1)-Table1427[[#This Row],[Z]]</f>
        <v>0</v>
      </c>
    </row>
    <row r="12" spans="2:14">
      <c r="B12" s="12"/>
      <c r="C12" s="12"/>
      <c r="D12" s="12"/>
      <c r="E12" s="16"/>
      <c r="F12" s="13"/>
      <c r="G12" s="14" t="str">
        <f>"M666 X-"&amp;G9&amp;" Y-"&amp;G10&amp;" Z-"&amp;G11</f>
        <v>M666 X-0.7 Y--3.9 Z--1.4</v>
      </c>
      <c r="I12" s="12"/>
      <c r="J12" s="12"/>
      <c r="K12" s="12"/>
      <c r="L12" s="16"/>
      <c r="M12" s="13"/>
      <c r="N12" s="14" t="str">
        <f>"M666 X-"&amp;N9&amp;" Y-"&amp;N10&amp;" Z-"&amp;N11</f>
        <v>M666 X-0 Y-0 Z-0</v>
      </c>
    </row>
    <row r="14" spans="2:14">
      <c r="B14" t="s">
        <v>0</v>
      </c>
      <c r="C14" s="2" t="s">
        <v>2</v>
      </c>
      <c r="D14" s="2" t="s">
        <v>3</v>
      </c>
      <c r="E14" s="2" t="s">
        <v>4</v>
      </c>
      <c r="F14" s="11" t="s">
        <v>35</v>
      </c>
      <c r="G14" s="1" t="s">
        <v>27</v>
      </c>
      <c r="I14" t="s">
        <v>0</v>
      </c>
      <c r="J14" s="2" t="s">
        <v>2</v>
      </c>
      <c r="K14" s="2" t="s">
        <v>3</v>
      </c>
      <c r="L14" s="2" t="s">
        <v>4</v>
      </c>
      <c r="M14" s="11" t="s">
        <v>36</v>
      </c>
      <c r="N14" s="1" t="s">
        <v>27</v>
      </c>
    </row>
    <row r="15" spans="2:14">
      <c r="B15" t="s">
        <v>5</v>
      </c>
      <c r="C15" s="4"/>
      <c r="D15" s="4"/>
      <c r="E15" s="4"/>
      <c r="F15" s="6"/>
      <c r="G15" s="6">
        <f>MIN(F17:F19)</f>
        <v>0</v>
      </c>
      <c r="I15" t="s">
        <v>5</v>
      </c>
      <c r="J15" s="4"/>
      <c r="K15" s="4"/>
      <c r="L15" s="4"/>
      <c r="M15" s="6"/>
      <c r="N15" s="6">
        <f>MIN(M17:M19)</f>
        <v>0</v>
      </c>
    </row>
    <row r="16" spans="2:14">
      <c r="B16" t="s">
        <v>6</v>
      </c>
      <c r="C16" s="5">
        <v>0</v>
      </c>
      <c r="D16" s="5">
        <v>0</v>
      </c>
      <c r="E16" s="5"/>
      <c r="F16" s="6">
        <f>F$15-Table1425[[#This Row],[Z]]</f>
        <v>0</v>
      </c>
      <c r="G16"/>
      <c r="I16" t="s">
        <v>6</v>
      </c>
      <c r="J16" s="5">
        <v>0</v>
      </c>
      <c r="K16" s="5">
        <v>0</v>
      </c>
      <c r="L16" s="5"/>
      <c r="M16" s="6">
        <f>M$15-Table14258[[#This Row],[Z]]</f>
        <v>0</v>
      </c>
      <c r="N16"/>
    </row>
    <row r="17" spans="2:14">
      <c r="B17" t="s">
        <v>7</v>
      </c>
      <c r="C17" s="5">
        <v>-99.4</v>
      </c>
      <c r="D17" s="5">
        <v>-57.4</v>
      </c>
      <c r="E17" s="5"/>
      <c r="F17" s="6">
        <f>F$15-Table1425[[#This Row],[Z]]</f>
        <v>0</v>
      </c>
      <c r="G17" s="6">
        <f>ROUNDUP(MAX(E$17:E$19),1)-Table1425[[#This Row],[Z]]</f>
        <v>0</v>
      </c>
      <c r="I17" t="s">
        <v>7</v>
      </c>
      <c r="J17" s="5">
        <v>-99.4</v>
      </c>
      <c r="K17" s="5">
        <v>-57.4</v>
      </c>
      <c r="L17" s="5"/>
      <c r="M17" s="6">
        <f>M$15-Table14258[[#This Row],[Z]]</f>
        <v>0</v>
      </c>
      <c r="N17" s="6">
        <f>ROUNDUP(MAX(L$17:L$19),1)-Table14258[[#This Row],[Z]]</f>
        <v>0</v>
      </c>
    </row>
    <row r="18" spans="2:14">
      <c r="B18" t="s">
        <v>8</v>
      </c>
      <c r="C18" s="5">
        <v>99.4</v>
      </c>
      <c r="D18" s="5">
        <v>-57.4</v>
      </c>
      <c r="E18" s="5"/>
      <c r="F18" s="6">
        <f>F$15-Table1425[[#This Row],[Z]]</f>
        <v>0</v>
      </c>
      <c r="G18" s="6">
        <f>ROUNDUP(MAX(E$17:E$19),1)-Table1425[[#This Row],[Z]]</f>
        <v>0</v>
      </c>
      <c r="I18" t="s">
        <v>8</v>
      </c>
      <c r="J18" s="5">
        <v>99.4</v>
      </c>
      <c r="K18" s="5">
        <v>-57.4</v>
      </c>
      <c r="L18" s="5"/>
      <c r="M18" s="6">
        <f>M$15-Table14258[[#This Row],[Z]]</f>
        <v>0</v>
      </c>
      <c r="N18" s="6">
        <f>ROUNDUP(MAX(L$17:L$19),1)-Table14258[[#This Row],[Z]]</f>
        <v>0</v>
      </c>
    </row>
    <row r="19" spans="2:14">
      <c r="B19" t="s">
        <v>9</v>
      </c>
      <c r="C19" s="5">
        <v>0</v>
      </c>
      <c r="D19" s="5">
        <v>114.8</v>
      </c>
      <c r="E19" s="5"/>
      <c r="F19" s="6">
        <f>F$15-Table1425[[#This Row],[Z]]</f>
        <v>0</v>
      </c>
      <c r="G19" s="6">
        <f>ROUNDUP(MAX(E$17:E$19),1)-Table1425[[#This Row],[Z]]</f>
        <v>0</v>
      </c>
      <c r="I19" t="s">
        <v>9</v>
      </c>
      <c r="J19" s="5">
        <v>0</v>
      </c>
      <c r="K19" s="5">
        <v>114.8</v>
      </c>
      <c r="L19" s="5"/>
      <c r="M19" s="6">
        <f>M$15-Table14258[[#This Row],[Z]]</f>
        <v>0</v>
      </c>
      <c r="N19" s="6">
        <f>ROUNDUP(MAX(L$17:L$19),1)-Table14258[[#This Row],[Z]]</f>
        <v>0</v>
      </c>
    </row>
    <row r="20" spans="2:14">
      <c r="B20" s="12"/>
      <c r="C20" s="12"/>
      <c r="D20" s="12"/>
      <c r="E20" s="16"/>
      <c r="F20" s="13"/>
      <c r="G20" s="14" t="str">
        <f>"M666 X-"&amp;G17&amp;" Y-"&amp;G18&amp;" Z-"&amp;G19</f>
        <v>M666 X-0 Y-0 Z-0</v>
      </c>
      <c r="I20" s="12"/>
      <c r="J20" s="12"/>
      <c r="K20" s="12"/>
      <c r="L20" s="16"/>
      <c r="M20" s="13"/>
      <c r="N20" s="14" t="str">
        <f>"M666 X-"&amp;N17&amp;" Y-"&amp;N18&amp;" Z-"&amp;N19</f>
        <v>M666 X-0 Y-0 Z-0</v>
      </c>
    </row>
    <row r="22" spans="2:14">
      <c r="B22" t="s">
        <v>0</v>
      </c>
      <c r="C22" s="2" t="s">
        <v>2</v>
      </c>
      <c r="D22" s="2" t="s">
        <v>3</v>
      </c>
      <c r="E22" s="2" t="s">
        <v>4</v>
      </c>
      <c r="F22" s="11" t="s">
        <v>37</v>
      </c>
      <c r="G22" s="1" t="s">
        <v>27</v>
      </c>
      <c r="I22" t="s">
        <v>0</v>
      </c>
      <c r="J22" s="2" t="s">
        <v>2</v>
      </c>
      <c r="K22" s="2" t="s">
        <v>3</v>
      </c>
      <c r="L22" s="2" t="s">
        <v>4</v>
      </c>
      <c r="M22" s="11" t="s">
        <v>37</v>
      </c>
      <c r="N22" s="1" t="s">
        <v>27</v>
      </c>
    </row>
    <row r="23" spans="2:14">
      <c r="B23" t="s">
        <v>5</v>
      </c>
      <c r="C23" s="4"/>
      <c r="D23" s="4"/>
      <c r="E23" s="4"/>
      <c r="F23" s="6"/>
      <c r="G23" s="6">
        <f>MIN(F25:F27)</f>
        <v>0</v>
      </c>
      <c r="I23" t="s">
        <v>5</v>
      </c>
      <c r="J23" s="4"/>
      <c r="K23" s="4"/>
      <c r="L23" s="4"/>
      <c r="M23" s="6"/>
      <c r="N23" s="6">
        <f>MIN(M25:M27)</f>
        <v>0</v>
      </c>
    </row>
    <row r="24" spans="2:14">
      <c r="B24" t="s">
        <v>6</v>
      </c>
      <c r="C24" s="5">
        <v>0</v>
      </c>
      <c r="D24" s="5">
        <v>0</v>
      </c>
      <c r="E24" s="5"/>
      <c r="F24" s="6">
        <f>F$23-Table142589[[#This Row],[Z]]</f>
        <v>0</v>
      </c>
      <c r="G24"/>
      <c r="I24" t="s">
        <v>6</v>
      </c>
      <c r="J24" s="5">
        <v>0</v>
      </c>
      <c r="K24" s="5">
        <v>0</v>
      </c>
      <c r="L24" s="5"/>
      <c r="M24" s="6">
        <f>M$23-Table1425892[[#This Row],[Z]]</f>
        <v>0</v>
      </c>
      <c r="N24"/>
    </row>
    <row r="25" spans="2:14">
      <c r="B25" t="s">
        <v>7</v>
      </c>
      <c r="C25" s="5">
        <v>-99.4</v>
      </c>
      <c r="D25" s="5">
        <v>-57.4</v>
      </c>
      <c r="E25" s="5"/>
      <c r="F25" s="6">
        <f>F$23-Table142589[[#This Row],[Z]]</f>
        <v>0</v>
      </c>
      <c r="G25" s="6">
        <f>MAX(E$25:E$27)-Table142589[[#This Row],[Z]]</f>
        <v>0</v>
      </c>
      <c r="I25" t="s">
        <v>7</v>
      </c>
      <c r="J25" s="5">
        <v>-99.4</v>
      </c>
      <c r="K25" s="5">
        <v>-57.4</v>
      </c>
      <c r="L25" s="5"/>
      <c r="M25" s="6">
        <f>M$23-Table1425892[[#This Row],[Z]]</f>
        <v>0</v>
      </c>
      <c r="N25" s="6">
        <f>MAX(L$25:L$27)-Table1425892[[#This Row],[Z]]</f>
        <v>0</v>
      </c>
    </row>
    <row r="26" spans="2:14">
      <c r="B26" t="s">
        <v>8</v>
      </c>
      <c r="C26" s="5">
        <v>99.4</v>
      </c>
      <c r="D26" s="5">
        <v>-57.4</v>
      </c>
      <c r="E26" s="5"/>
      <c r="F26" s="6">
        <f>F$23-Table142589[[#This Row],[Z]]</f>
        <v>0</v>
      </c>
      <c r="G26" s="6">
        <f>MAX(E$25:E$27)-Table142589[[#This Row],[Z]]</f>
        <v>0</v>
      </c>
      <c r="I26" t="s">
        <v>8</v>
      </c>
      <c r="J26" s="5">
        <v>99.4</v>
      </c>
      <c r="K26" s="5">
        <v>-57.4</v>
      </c>
      <c r="L26" s="5"/>
      <c r="M26" s="6">
        <f>M$23-Table1425892[[#This Row],[Z]]</f>
        <v>0</v>
      </c>
      <c r="N26" s="6">
        <f>MAX(L$25:L$27)-Table1425892[[#This Row],[Z]]</f>
        <v>0</v>
      </c>
    </row>
    <row r="27" spans="2:14">
      <c r="B27" t="s">
        <v>9</v>
      </c>
      <c r="C27" s="5">
        <v>0</v>
      </c>
      <c r="D27" s="5">
        <v>114.8</v>
      </c>
      <c r="E27" s="5"/>
      <c r="F27" s="6">
        <f>F$23-Table142589[[#This Row],[Z]]</f>
        <v>0</v>
      </c>
      <c r="G27" s="6">
        <f>MAX(E$25:E$27)-Table142589[[#This Row],[Z]]</f>
        <v>0</v>
      </c>
      <c r="I27" t="s">
        <v>9</v>
      </c>
      <c r="J27" s="5">
        <v>0</v>
      </c>
      <c r="K27" s="5">
        <v>114.8</v>
      </c>
      <c r="L27" s="5"/>
      <c r="M27" s="6">
        <f>M$23-Table1425892[[#This Row],[Z]]</f>
        <v>0</v>
      </c>
      <c r="N27" s="6">
        <f>MAX(L$25:L$27)-Table1425892[[#This Row],[Z]]</f>
        <v>0</v>
      </c>
    </row>
    <row r="28" spans="2:14">
      <c r="B28" s="12"/>
      <c r="C28" s="12"/>
      <c r="D28" s="12"/>
      <c r="E28" s="16"/>
      <c r="F28" s="13"/>
      <c r="G28" s="14" t="str">
        <f>"M666 X-"&amp;G25&amp;" Y-"&amp;G26&amp;" Z-"&amp;G27</f>
        <v>M666 X-0 Y-0 Z-0</v>
      </c>
      <c r="I28" s="12"/>
      <c r="J28" s="12"/>
      <c r="K28" s="12"/>
      <c r="L28" s="16"/>
      <c r="M28" s="13"/>
      <c r="N28" s="14" t="str">
        <f>"M666 X-"&amp;N25&amp;" Y-"&amp;N26&amp;" Z-"&amp;N27</f>
        <v>M666 X-0 Y-0 Z-0</v>
      </c>
    </row>
  </sheetData>
  <pageMargins left="0.75" right="0.75" top="1" bottom="1" header="0.5" footer="0.5"/>
  <pageSetup orientation="portrait" horizontalDpi="4294967292" verticalDpi="4294967292"/>
  <legacy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showGridLines="0" zoomScale="150" zoomScaleNormal="150" zoomScalePageLayoutView="150" workbookViewId="0">
      <selection activeCell="E6" sqref="E6"/>
    </sheetView>
  </sheetViews>
  <sheetFormatPr baseColWidth="10" defaultRowHeight="15" x14ac:dyDescent="0"/>
  <cols>
    <col min="1" max="1" width="4.83203125" customWidth="1"/>
    <col min="2" max="2" width="20.6640625" bestFit="1" customWidth="1"/>
    <col min="7" max="7" width="11.83203125" bestFit="1" customWidth="1"/>
  </cols>
  <sheetData>
    <row r="2" spans="1:8">
      <c r="B2" t="s">
        <v>38</v>
      </c>
    </row>
    <row r="3" spans="1:8">
      <c r="B3" t="s">
        <v>39</v>
      </c>
      <c r="G3" t="s">
        <v>47</v>
      </c>
      <c r="H3" t="s">
        <v>48</v>
      </c>
    </row>
    <row r="4" spans="1:8">
      <c r="G4" t="s">
        <v>49</v>
      </c>
      <c r="H4" t="s">
        <v>50</v>
      </c>
    </row>
    <row r="5" spans="1:8">
      <c r="B5" t="s">
        <v>40</v>
      </c>
    </row>
    <row r="6" spans="1:8">
      <c r="B6" t="s">
        <v>41</v>
      </c>
    </row>
    <row r="8" spans="1:8">
      <c r="B8" s="17" t="s">
        <v>42</v>
      </c>
      <c r="C8" s="18" t="str">
        <f>Parameters!E9</f>
        <v>G0 X0 Y0 Z50 E0</v>
      </c>
    </row>
    <row r="9" spans="1:8">
      <c r="B9" s="17" t="s">
        <v>43</v>
      </c>
      <c r="C9" s="18" t="str">
        <f>Parameters!E11</f>
        <v>G0 X-99.46 Y-57.43 Z50 E0</v>
      </c>
    </row>
    <row r="10" spans="1:8">
      <c r="B10" s="17" t="s">
        <v>44</v>
      </c>
      <c r="C10" s="18" t="str">
        <f>Parameters!E13</f>
        <v>G0 X99.46 Y-57.43 Z50 E0</v>
      </c>
    </row>
    <row r="11" spans="1:8">
      <c r="B11" s="17" t="s">
        <v>45</v>
      </c>
      <c r="C11" s="18" t="str">
        <f>Parameters!E15</f>
        <v>G0 X0 Y114.85 Z50 E0</v>
      </c>
    </row>
    <row r="13" spans="1:8">
      <c r="B13" s="19" t="s">
        <v>46</v>
      </c>
    </row>
    <row r="16" spans="1:8">
      <c r="A16" s="20"/>
      <c r="B16" t="s">
        <v>51</v>
      </c>
    </row>
    <row r="17" spans="1:2">
      <c r="A17" s="20"/>
      <c r="B17" t="s">
        <v>52</v>
      </c>
    </row>
    <row r="18" spans="1:2">
      <c r="A18" s="20"/>
      <c r="B18" t="s">
        <v>53</v>
      </c>
    </row>
    <row r="19" spans="1:2">
      <c r="A19" s="20"/>
      <c r="B19" t="s">
        <v>54</v>
      </c>
    </row>
    <row r="20" spans="1:2">
      <c r="A20" s="20"/>
      <c r="B20" t="s">
        <v>55</v>
      </c>
    </row>
    <row r="21" spans="1:2">
      <c r="A21" s="20"/>
      <c r="B21" t="s">
        <v>65</v>
      </c>
    </row>
    <row r="22" spans="1:2">
      <c r="A22" s="20"/>
      <c r="B22" t="s">
        <v>56</v>
      </c>
    </row>
    <row r="23" spans="1:2">
      <c r="A23" s="20"/>
      <c r="B23" t="s">
        <v>57</v>
      </c>
    </row>
    <row r="24" spans="1:2">
      <c r="A24" s="20"/>
      <c r="B24" t="s">
        <v>58</v>
      </c>
    </row>
    <row r="25" spans="1:2">
      <c r="A25" s="20"/>
      <c r="B25" t="s">
        <v>59</v>
      </c>
    </row>
    <row r="26" spans="1:2">
      <c r="A26" s="20"/>
      <c r="B26" t="s">
        <v>60</v>
      </c>
    </row>
    <row r="27" spans="1:2">
      <c r="A27" s="20"/>
      <c r="B27" t="s">
        <v>66</v>
      </c>
    </row>
    <row r="28" spans="1:2">
      <c r="A28" s="20"/>
      <c r="B28" t="s">
        <v>61</v>
      </c>
    </row>
    <row r="29" spans="1:2">
      <c r="A29" s="20"/>
      <c r="B29" t="s">
        <v>62</v>
      </c>
    </row>
    <row r="30" spans="1:2">
      <c r="A30" s="20"/>
      <c r="B30" t="s">
        <v>63</v>
      </c>
    </row>
    <row r="31" spans="1:2">
      <c r="A31" s="20"/>
      <c r="B31" t="s">
        <v>62</v>
      </c>
    </row>
    <row r="32" spans="1:2">
      <c r="A32" s="20"/>
      <c r="B32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showGridLines="0" zoomScale="150" zoomScaleNormal="150" zoomScalePageLayoutView="150" workbookViewId="0">
      <selection activeCell="F11" sqref="F11"/>
    </sheetView>
  </sheetViews>
  <sheetFormatPr baseColWidth="10" defaultRowHeight="15" x14ac:dyDescent="0"/>
  <cols>
    <col min="1" max="1" width="2.6640625" customWidth="1"/>
    <col min="2" max="2" width="53.6640625" bestFit="1" customWidth="1"/>
  </cols>
  <sheetData>
    <row r="2" spans="2:9">
      <c r="B2" t="s">
        <v>11</v>
      </c>
      <c r="C2" t="s">
        <v>12</v>
      </c>
    </row>
    <row r="3" spans="2:9">
      <c r="B3" t="s">
        <v>10</v>
      </c>
      <c r="C3" s="8">
        <v>200</v>
      </c>
      <c r="E3" t="s">
        <v>26</v>
      </c>
    </row>
    <row r="4" spans="2:9">
      <c r="B4" s="7" t="s">
        <v>0</v>
      </c>
      <c r="C4" s="9">
        <v>215.5</v>
      </c>
    </row>
    <row r="5" spans="2:9">
      <c r="B5" s="7" t="s">
        <v>13</v>
      </c>
      <c r="C5" s="9">
        <v>156.6</v>
      </c>
    </row>
    <row r="6" spans="2:9">
      <c r="B6" s="7" t="s">
        <v>14</v>
      </c>
      <c r="C6" s="9">
        <v>24.75</v>
      </c>
    </row>
    <row r="7" spans="2:9">
      <c r="B7" s="7" t="s">
        <v>15</v>
      </c>
      <c r="C7" s="9">
        <v>17</v>
      </c>
      <c r="D7" s="1" t="s">
        <v>67</v>
      </c>
      <c r="E7">
        <v>50</v>
      </c>
    </row>
    <row r="8" spans="2:9">
      <c r="B8" s="7" t="s">
        <v>24</v>
      </c>
      <c r="C8" s="9">
        <f>ROUND(DELTA_SMOOTH_ROD_OFFSET-DELTA_EFFECTOR_OFFSET-DELTA_CARRIAGE_OFFSET,2)</f>
        <v>114.85</v>
      </c>
    </row>
    <row r="9" spans="2:9">
      <c r="B9" t="s">
        <v>17</v>
      </c>
      <c r="C9" s="8">
        <v>0.86602540378443804</v>
      </c>
      <c r="D9" s="2" t="s">
        <v>33</v>
      </c>
      <c r="E9" t="str">
        <f>"G0 X0 Y0 Z"&amp;Height&amp;" E0"</f>
        <v>G0 X0 Y0 Z50 E0</v>
      </c>
    </row>
    <row r="10" spans="2:9">
      <c r="B10" t="s">
        <v>18</v>
      </c>
      <c r="C10" s="8">
        <v>0.5</v>
      </c>
      <c r="I10">
        <f>ROUNDDOWN(DELTA_RADIUS,0)</f>
        <v>114</v>
      </c>
    </row>
    <row r="11" spans="2:9">
      <c r="B11" t="s">
        <v>19</v>
      </c>
      <c r="C11" s="10">
        <f>ROUND(-SIN_60*DELTA_RADIUS,2)</f>
        <v>-99.46</v>
      </c>
      <c r="D11" s="2" t="s">
        <v>2</v>
      </c>
      <c r="E11" t="str">
        <f>"G0 X"&amp;DELTA_TOWER1_X&amp;" Y"&amp;DELTA_TOWER1_Y&amp;" Z"&amp;Height&amp;" E0"</f>
        <v>G0 X-99.46 Y-57.43 Z50 E0</v>
      </c>
      <c r="I11" s="21">
        <f>ROUND(-SIN_60*DELTA_RADIUS_ROUNDED,2)</f>
        <v>-98.73</v>
      </c>
    </row>
    <row r="12" spans="2:9">
      <c r="B12" t="s">
        <v>20</v>
      </c>
      <c r="C12" s="10">
        <f>ROUND(-COS_60*DELTA_RADIUS,2)</f>
        <v>-57.43</v>
      </c>
      <c r="D12" s="2"/>
      <c r="I12" s="21">
        <f>ROUND(-COS_60*DELTA_RADIUS_ROUNDED,2)</f>
        <v>-57</v>
      </c>
    </row>
    <row r="13" spans="2:9">
      <c r="B13" t="s">
        <v>25</v>
      </c>
      <c r="C13" s="10">
        <f>ROUND(SIN_60*DELTA_RADIUS,2)</f>
        <v>99.46</v>
      </c>
      <c r="D13" s="2" t="s">
        <v>3</v>
      </c>
      <c r="E13" t="str">
        <f>"G0 X"&amp;DELTA_TOWER3_X&amp;" Y"&amp;DELTA_TOWER3_Y&amp;" Z"&amp;Height&amp;" E0"</f>
        <v>G0 X99.46 Y-57.43 Z50 E0</v>
      </c>
      <c r="I13" s="21">
        <f>ROUND(SIN_60*DELTA_RADIUS_ROUNDED,2)</f>
        <v>98.73</v>
      </c>
    </row>
    <row r="14" spans="2:9">
      <c r="B14" t="s">
        <v>23</v>
      </c>
      <c r="C14" s="10">
        <f>ROUND(-COS_60*DELTA_RADIUS,2)</f>
        <v>-57.43</v>
      </c>
      <c r="D14" s="2"/>
      <c r="I14" s="21">
        <f>ROUND(-COS_60*DELTA_RADIUS_ROUNDED,2)</f>
        <v>-57</v>
      </c>
    </row>
    <row r="15" spans="2:9">
      <c r="B15" t="s">
        <v>21</v>
      </c>
      <c r="C15" s="8">
        <v>0</v>
      </c>
      <c r="D15" s="2" t="s">
        <v>4</v>
      </c>
      <c r="E15" t="str">
        <f>"G0 X"&amp;DELTA_TOWER2_X&amp;" Y"&amp;DELTA_TOWER2_Y&amp;" Z"&amp;Height&amp;" E0"</f>
        <v>G0 X0 Y114.85 Z50 E0</v>
      </c>
      <c r="I15" s="21">
        <v>0</v>
      </c>
    </row>
    <row r="16" spans="2:9">
      <c r="B16" s="7" t="s">
        <v>22</v>
      </c>
      <c r="C16" s="9">
        <f>ROUND(DELTA_RADIUS,2)</f>
        <v>114.85</v>
      </c>
      <c r="I16" s="22">
        <f>ROUND(DELTA_RADIUS_ROUNDED,2)</f>
        <v>114</v>
      </c>
    </row>
    <row r="18" spans="2:2">
      <c r="B18" t="s">
        <v>28</v>
      </c>
    </row>
    <row r="19" spans="2:2">
      <c r="B19" t="s">
        <v>16</v>
      </c>
    </row>
    <row r="20" spans="2:2">
      <c r="B20" t="s">
        <v>29</v>
      </c>
    </row>
    <row r="21" spans="2:2">
      <c r="B21" t="s">
        <v>30</v>
      </c>
    </row>
    <row r="22" spans="2:2">
      <c r="B22" t="s">
        <v>31</v>
      </c>
    </row>
    <row r="23" spans="2:2">
      <c r="B23" t="s">
        <v>32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7"/>
  <sheetViews>
    <sheetView tabSelected="1" zoomScale="125" zoomScaleNormal="125" zoomScalePageLayoutView="125" workbookViewId="0">
      <selection activeCell="C24" sqref="C24"/>
    </sheetView>
  </sheetViews>
  <sheetFormatPr baseColWidth="10" defaultRowHeight="15" x14ac:dyDescent="0"/>
  <cols>
    <col min="1" max="1" width="4.6640625" customWidth="1"/>
    <col min="2" max="2" width="22" bestFit="1" customWidth="1"/>
  </cols>
  <sheetData>
    <row r="3" spans="2:2">
      <c r="B3" s="23" t="s">
        <v>69</v>
      </c>
    </row>
    <row r="4" spans="2:2">
      <c r="B4" t="s">
        <v>70</v>
      </c>
    </row>
    <row r="5" spans="2:2">
      <c r="B5" t="s">
        <v>75</v>
      </c>
    </row>
    <row r="7" spans="2:2">
      <c r="B7" s="23" t="s">
        <v>71</v>
      </c>
    </row>
    <row r="8" spans="2:2">
      <c r="B8" t="s">
        <v>70</v>
      </c>
    </row>
    <row r="9" spans="2:2">
      <c r="B9" t="s">
        <v>76</v>
      </c>
    </row>
    <row r="11" spans="2:2">
      <c r="B11" s="23" t="s">
        <v>72</v>
      </c>
    </row>
    <row r="12" spans="2:2">
      <c r="B12" s="24" t="s">
        <v>70</v>
      </c>
    </row>
    <row r="13" spans="2:2">
      <c r="B13" t="s">
        <v>77</v>
      </c>
    </row>
    <row r="15" spans="2:2">
      <c r="B15" s="23" t="s">
        <v>73</v>
      </c>
    </row>
    <row r="16" spans="2:2">
      <c r="B16" t="s">
        <v>70</v>
      </c>
    </row>
    <row r="17" spans="2:2">
      <c r="B17" t="s">
        <v>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Positions - Heated</vt:lpstr>
      <vt:lpstr>Positions - No Heat</vt:lpstr>
      <vt:lpstr>Commands</vt:lpstr>
      <vt:lpstr>Parameters</vt:lpstr>
      <vt:lpstr>Smoothie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Harry</dc:creator>
  <cp:lastModifiedBy>Jim Harry</cp:lastModifiedBy>
  <dcterms:created xsi:type="dcterms:W3CDTF">2014-06-14T14:18:12Z</dcterms:created>
  <dcterms:modified xsi:type="dcterms:W3CDTF">2014-12-15T04:45:22Z</dcterms:modified>
</cp:coreProperties>
</file>