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ozhe\OneDrive\Рабочий стол\study\CMF\macro-time-series-2022\data\"/>
    </mc:Choice>
  </mc:AlternateContent>
  <xr:revisionPtr revIDLastSave="0" documentId="13_ncr:1_{E1869C52-1D79-45E8-9385-94696388A7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crp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5" i="1" l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C125" i="1"/>
  <c r="B125" i="1"/>
  <c r="M125" i="1" s="1"/>
  <c r="C124" i="1"/>
  <c r="B124" i="1"/>
  <c r="M124" i="1" s="1"/>
  <c r="C123" i="1"/>
  <c r="M123" i="1" s="1"/>
  <c r="B123" i="1"/>
  <c r="C122" i="1"/>
  <c r="B122" i="1"/>
  <c r="C121" i="1"/>
  <c r="B121" i="1"/>
  <c r="M121" i="1" s="1"/>
  <c r="C120" i="1"/>
  <c r="B120" i="1"/>
  <c r="C119" i="1"/>
  <c r="B119" i="1"/>
  <c r="C118" i="1"/>
  <c r="B118" i="1"/>
  <c r="C117" i="1"/>
  <c r="B117" i="1"/>
  <c r="C116" i="1"/>
  <c r="B116" i="1"/>
  <c r="M116" i="1" s="1"/>
  <c r="C115" i="1"/>
  <c r="B115" i="1"/>
  <c r="M115" i="1" s="1"/>
  <c r="C114" i="1"/>
  <c r="M114" i="1" s="1"/>
  <c r="B114" i="1"/>
  <c r="C113" i="1"/>
  <c r="B113" i="1"/>
  <c r="M113" i="1" s="1"/>
  <c r="C112" i="1"/>
  <c r="B112" i="1"/>
  <c r="M112" i="1" s="1"/>
  <c r="C111" i="1"/>
  <c r="B111" i="1"/>
  <c r="C110" i="1"/>
  <c r="B110" i="1"/>
  <c r="C109" i="1"/>
  <c r="B109" i="1"/>
  <c r="M109" i="1" s="1"/>
  <c r="C108" i="1"/>
  <c r="B108" i="1"/>
  <c r="C107" i="1"/>
  <c r="B107" i="1"/>
  <c r="M107" i="1" s="1"/>
  <c r="C106" i="1"/>
  <c r="B106" i="1"/>
  <c r="C105" i="1"/>
  <c r="B105" i="1"/>
  <c r="C104" i="1"/>
  <c r="B104" i="1"/>
  <c r="M104" i="1" s="1"/>
  <c r="C103" i="1"/>
  <c r="B103" i="1"/>
  <c r="M103" i="1" s="1"/>
  <c r="C102" i="1"/>
  <c r="M102" i="1" s="1"/>
  <c r="B102" i="1"/>
  <c r="C101" i="1"/>
  <c r="B101" i="1"/>
  <c r="M101" i="1" s="1"/>
  <c r="C100" i="1"/>
  <c r="B100" i="1"/>
  <c r="M100" i="1" s="1"/>
  <c r="C99" i="1"/>
  <c r="B99" i="1"/>
  <c r="C98" i="1"/>
  <c r="B98" i="1"/>
  <c r="C97" i="1"/>
  <c r="B97" i="1"/>
  <c r="M97" i="1" s="1"/>
  <c r="C96" i="1"/>
  <c r="B96" i="1"/>
  <c r="C95" i="1"/>
  <c r="B95" i="1"/>
  <c r="M95" i="1" s="1"/>
  <c r="C94" i="1"/>
  <c r="B94" i="1"/>
  <c r="C93" i="1"/>
  <c r="B93" i="1"/>
  <c r="C92" i="1"/>
  <c r="B92" i="1"/>
  <c r="M92" i="1" s="1"/>
  <c r="C91" i="1"/>
  <c r="B91" i="1"/>
  <c r="M91" i="1" s="1"/>
  <c r="C90" i="1"/>
  <c r="M90" i="1" s="1"/>
  <c r="B90" i="1"/>
  <c r="C89" i="1"/>
  <c r="B89" i="1"/>
  <c r="M89" i="1" s="1"/>
  <c r="C88" i="1"/>
  <c r="B88" i="1"/>
  <c r="M88" i="1" s="1"/>
  <c r="C87" i="1"/>
  <c r="B87" i="1"/>
  <c r="C86" i="1"/>
  <c r="B86" i="1"/>
  <c r="C85" i="1"/>
  <c r="B85" i="1"/>
  <c r="M85" i="1" s="1"/>
  <c r="C84" i="1"/>
  <c r="B84" i="1"/>
  <c r="C83" i="1"/>
  <c r="B83" i="1"/>
  <c r="M83" i="1" s="1"/>
  <c r="C82" i="1"/>
  <c r="B82" i="1"/>
  <c r="C81" i="1"/>
  <c r="B81" i="1"/>
  <c r="C80" i="1"/>
  <c r="B80" i="1"/>
  <c r="M80" i="1" s="1"/>
  <c r="C79" i="1"/>
  <c r="B79" i="1"/>
  <c r="M79" i="1" s="1"/>
  <c r="C78" i="1"/>
  <c r="M78" i="1" s="1"/>
  <c r="B78" i="1"/>
  <c r="C77" i="1"/>
  <c r="B77" i="1"/>
  <c r="M77" i="1" s="1"/>
  <c r="C76" i="1"/>
  <c r="B76" i="1"/>
  <c r="M76" i="1" s="1"/>
  <c r="C75" i="1"/>
  <c r="B75" i="1"/>
  <c r="C74" i="1"/>
  <c r="B74" i="1"/>
  <c r="C73" i="1"/>
  <c r="B73" i="1"/>
  <c r="M73" i="1" s="1"/>
  <c r="C72" i="1"/>
  <c r="B72" i="1"/>
  <c r="C71" i="1"/>
  <c r="B71" i="1"/>
  <c r="M71" i="1" s="1"/>
  <c r="C70" i="1"/>
  <c r="B70" i="1"/>
  <c r="C69" i="1"/>
  <c r="B69" i="1"/>
  <c r="C68" i="1"/>
  <c r="B68" i="1"/>
  <c r="M68" i="1" s="1"/>
  <c r="C67" i="1"/>
  <c r="B67" i="1"/>
  <c r="M67" i="1" s="1"/>
  <c r="C66" i="1"/>
  <c r="M66" i="1" s="1"/>
  <c r="B66" i="1"/>
  <c r="C65" i="1"/>
  <c r="B65" i="1"/>
  <c r="M65" i="1" s="1"/>
  <c r="C64" i="1"/>
  <c r="B64" i="1"/>
  <c r="M64" i="1" s="1"/>
  <c r="C63" i="1"/>
  <c r="B63" i="1"/>
  <c r="C62" i="1"/>
  <c r="B62" i="1"/>
  <c r="C61" i="1"/>
  <c r="B61" i="1"/>
  <c r="M61" i="1" s="1"/>
  <c r="C60" i="1"/>
  <c r="B60" i="1"/>
  <c r="C59" i="1"/>
  <c r="B59" i="1"/>
  <c r="M59" i="1" s="1"/>
  <c r="C58" i="1"/>
  <c r="B58" i="1"/>
  <c r="C57" i="1"/>
  <c r="B57" i="1"/>
  <c r="C56" i="1"/>
  <c r="B56" i="1"/>
  <c r="M56" i="1" s="1"/>
  <c r="C55" i="1"/>
  <c r="B55" i="1"/>
  <c r="M55" i="1" s="1"/>
  <c r="C54" i="1"/>
  <c r="M54" i="1" s="1"/>
  <c r="B54" i="1"/>
  <c r="C53" i="1"/>
  <c r="B53" i="1"/>
  <c r="M53" i="1" s="1"/>
  <c r="C52" i="1"/>
  <c r="B52" i="1"/>
  <c r="M52" i="1" s="1"/>
  <c r="C51" i="1"/>
  <c r="B51" i="1"/>
  <c r="C50" i="1"/>
  <c r="B50" i="1"/>
  <c r="C49" i="1"/>
  <c r="B49" i="1"/>
  <c r="M49" i="1" s="1"/>
  <c r="C48" i="1"/>
  <c r="B48" i="1"/>
  <c r="C47" i="1"/>
  <c r="B47" i="1"/>
  <c r="M47" i="1" s="1"/>
  <c r="C46" i="1"/>
  <c r="B46" i="1"/>
  <c r="C45" i="1"/>
  <c r="B45" i="1"/>
  <c r="C44" i="1"/>
  <c r="B44" i="1"/>
  <c r="M44" i="1" s="1"/>
  <c r="C43" i="1"/>
  <c r="B43" i="1"/>
  <c r="M43" i="1" s="1"/>
  <c r="C42" i="1"/>
  <c r="M42" i="1" s="1"/>
  <c r="B42" i="1"/>
  <c r="C41" i="1"/>
  <c r="B41" i="1"/>
  <c r="M41" i="1" s="1"/>
  <c r="C40" i="1"/>
  <c r="B40" i="1"/>
  <c r="M40" i="1" s="1"/>
  <c r="C39" i="1"/>
  <c r="B39" i="1"/>
  <c r="C38" i="1"/>
  <c r="B38" i="1"/>
  <c r="C37" i="1"/>
  <c r="B37" i="1"/>
  <c r="M37" i="1" s="1"/>
  <c r="C36" i="1"/>
  <c r="B36" i="1"/>
  <c r="C35" i="1"/>
  <c r="B35" i="1"/>
  <c r="M35" i="1" s="1"/>
  <c r="C34" i="1"/>
  <c r="B34" i="1"/>
  <c r="C33" i="1"/>
  <c r="B33" i="1"/>
  <c r="C32" i="1"/>
  <c r="B32" i="1"/>
  <c r="M32" i="1" s="1"/>
  <c r="C31" i="1"/>
  <c r="B31" i="1"/>
  <c r="M31" i="1" s="1"/>
  <c r="C30" i="1"/>
  <c r="M30" i="1" s="1"/>
  <c r="B30" i="1"/>
  <c r="C29" i="1"/>
  <c r="B29" i="1"/>
  <c r="M29" i="1" s="1"/>
  <c r="C28" i="1"/>
  <c r="B28" i="1"/>
  <c r="M28" i="1" s="1"/>
  <c r="C27" i="1"/>
  <c r="B27" i="1"/>
  <c r="C26" i="1"/>
  <c r="B26" i="1"/>
  <c r="C25" i="1"/>
  <c r="B25" i="1"/>
  <c r="M25" i="1" s="1"/>
  <c r="C24" i="1"/>
  <c r="B24" i="1"/>
  <c r="C23" i="1"/>
  <c r="B23" i="1"/>
  <c r="M23" i="1" s="1"/>
  <c r="C22" i="1"/>
  <c r="B22" i="1"/>
  <c r="C21" i="1"/>
  <c r="B21" i="1"/>
  <c r="C20" i="1"/>
  <c r="B20" i="1"/>
  <c r="M20" i="1" s="1"/>
  <c r="C19" i="1"/>
  <c r="B19" i="1"/>
  <c r="M19" i="1" s="1"/>
  <c r="C18" i="1"/>
  <c r="M18" i="1" s="1"/>
  <c r="B18" i="1"/>
  <c r="C17" i="1"/>
  <c r="B17" i="1"/>
  <c r="M17" i="1" s="1"/>
  <c r="C16" i="1"/>
  <c r="B16" i="1"/>
  <c r="M16" i="1" s="1"/>
  <c r="C15" i="1"/>
  <c r="B15" i="1"/>
  <c r="C14" i="1"/>
  <c r="B14" i="1"/>
  <c r="C13" i="1"/>
  <c r="B13" i="1"/>
  <c r="M13" i="1" s="1"/>
  <c r="C12" i="1"/>
  <c r="B12" i="1"/>
  <c r="C11" i="1"/>
  <c r="B11" i="1"/>
  <c r="M11" i="1" s="1"/>
  <c r="C10" i="1"/>
  <c r="B10" i="1"/>
  <c r="C9" i="1"/>
  <c r="B9" i="1"/>
  <c r="C8" i="1"/>
  <c r="B8" i="1"/>
  <c r="M8" i="1" s="1"/>
  <c r="C7" i="1"/>
  <c r="B7" i="1"/>
  <c r="M7" i="1" s="1"/>
  <c r="C6" i="1"/>
  <c r="M6" i="1" s="1"/>
  <c r="B6" i="1"/>
  <c r="C5" i="1"/>
  <c r="B5" i="1"/>
  <c r="M5" i="1" s="1"/>
  <c r="C4" i="1"/>
  <c r="B4" i="1"/>
  <c r="M4" i="1" s="1"/>
  <c r="C3" i="1"/>
  <c r="B3" i="1"/>
  <c r="C2" i="1"/>
  <c r="B2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" i="1" s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M2" i="1"/>
  <c r="M10" i="1"/>
  <c r="M14" i="1"/>
  <c r="M22" i="1"/>
  <c r="M26" i="1"/>
  <c r="M34" i="1"/>
  <c r="M38" i="1"/>
  <c r="M46" i="1"/>
  <c r="M50" i="1"/>
  <c r="M58" i="1"/>
  <c r="M62" i="1"/>
  <c r="M70" i="1"/>
  <c r="M74" i="1"/>
  <c r="M82" i="1"/>
  <c r="M86" i="1"/>
  <c r="M94" i="1"/>
  <c r="M98" i="1"/>
  <c r="M106" i="1"/>
  <c r="M110" i="1"/>
  <c r="M118" i="1"/>
  <c r="M122" i="1"/>
  <c r="M119" i="1"/>
  <c r="M3" i="1"/>
  <c r="M15" i="1"/>
  <c r="M27" i="1"/>
  <c r="M39" i="1"/>
  <c r="M51" i="1"/>
  <c r="M63" i="1"/>
  <c r="M75" i="1"/>
  <c r="M87" i="1"/>
  <c r="M99" i="1"/>
  <c r="M111" i="1"/>
  <c r="M12" i="1"/>
  <c r="M24" i="1"/>
  <c r="M36" i="1"/>
  <c r="M48" i="1"/>
  <c r="M60" i="1"/>
  <c r="M72" i="1"/>
  <c r="M84" i="1"/>
  <c r="M96" i="1"/>
  <c r="M108" i="1"/>
  <c r="M120" i="1"/>
  <c r="M9" i="1"/>
  <c r="M21" i="1"/>
  <c r="M33" i="1"/>
  <c r="M45" i="1"/>
  <c r="M57" i="1"/>
  <c r="M69" i="1"/>
  <c r="M81" i="1"/>
  <c r="M93" i="1"/>
  <c r="M105" i="1"/>
  <c r="M117" i="1"/>
</calcChain>
</file>

<file path=xl/sharedStrings.xml><?xml version="1.0" encoding="utf-8"?>
<sst xmlns="http://schemas.openxmlformats.org/spreadsheetml/2006/main" count="143" uniqueCount="143">
  <si>
    <t>TIME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</si>
  <si>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</si>
  <si>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</si>
  <si>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</si>
  <si>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</si>
  <si>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</si>
  <si>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</si>
  <si>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</si>
  <si>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</si>
  <si>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</si>
  <si>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</si>
  <si>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</si>
  <si>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</si>
  <si>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</si>
  <si>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</si>
  <si>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</si>
  <si>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</si>
  <si>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</si>
  <si>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</si>
  <si>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</si>
  <si>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</si>
  <si>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</si>
  <si>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</si>
  <si>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</si>
  <si>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</si>
  <si>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</si>
  <si>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</si>
  <si>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</si>
  <si>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</si>
  <si>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</si>
  <si>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</si>
  <si>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</si>
  <si>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</si>
  <si>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</si>
  <si>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</si>
  <si>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</si>
  <si>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</si>
  <si>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</si>
  <si>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</si>
  <si>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</si>
  <si>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</si>
  <si>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</si>
  <si>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</si>
  <si>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</si>
  <si>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</si>
  <si>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</si>
  <si>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</si>
  <si>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</si>
  <si>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</si>
  <si>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</si>
  <si>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</si>
  <si>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</si>
  <si>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</si>
  <si>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</si>
  <si>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</si>
  <si>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</si>
  <si>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</si>
  <si>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</si>
  <si>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</si>
  <si>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</si>
  <si>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</si>
  <si>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</si>
  <si>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</si>
  <si>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</si>
  <si>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</si>
  <si>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</si>
  <si>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</si>
  <si>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</si>
  <si>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</si>
  <si>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</si>
  <si>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</si>
  <si>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</si>
  <si>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</si>
  <si>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</si>
  <si>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</si>
  <si>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</si>
  <si>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</si>
  <si>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</si>
  <si>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</si>
  <si>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</si>
  <si>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</si>
  <si>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</si>
  <si>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</si>
  <si>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</si>
  <si>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</si>
  <si>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</si>
  <si>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</si>
  <si>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</si>
  <si>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</si>
  <si>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</si>
  <si>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</si>
  <si>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</si>
  <si>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</si>
  <si>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</si>
  <si>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</si>
  <si>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</si>
  <si>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</si>
  <si>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</si>
  <si>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</si>
  <si>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</si>
  <si>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</si>
  <si>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</si>
  <si>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</si>
  <si>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</si>
  <si>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</si>
  <si>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</si>
  <si>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</si>
  <si>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</si>
  <si>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</si>
  <si>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</si>
  <si>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</si>
  <si>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</si>
  <si>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</si>
  <si>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</si>
  <si>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</si>
  <si>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</si>
  <si>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</si>
  <si>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</si>
  <si>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</si>
  <si>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</si>
  <si>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</si>
  <si>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</si>
  <si>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</si>
  <si>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</si>
  <si>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</si>
  <si>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Private Consumtion</t>
  </si>
  <si>
    <t>Investments</t>
  </si>
  <si>
    <t>Changes in inventories</t>
  </si>
  <si>
    <t>Cumulated Chnge in iventories</t>
  </si>
  <si>
    <t>Total export</t>
  </si>
  <si>
    <t>Total import</t>
  </si>
  <si>
    <t>Government Consumption Expenditures</t>
  </si>
  <si>
    <t>GDP Deflator</t>
  </si>
  <si>
    <t>GDP Real</t>
  </si>
  <si>
    <t>GDP Nominal</t>
  </si>
  <si>
    <t>Consumption Deflator</t>
  </si>
  <si>
    <t>Industrial production Index</t>
  </si>
  <si>
    <t>CPI, Index</t>
  </si>
  <si>
    <t>Residential</t>
  </si>
  <si>
    <t>Non-Residential</t>
  </si>
  <si>
    <t>Share prices</t>
  </si>
  <si>
    <t>Unemployment</t>
  </si>
  <si>
    <t xml:space="preserve">Personal Consumprion Expenditure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</si>
</sst>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"/>
    <numFmt numFmtId="166" formatCode="0.000"/>
    <numFmt numFmtId="167" formatCode="0.00000000000000"/>
    <numFmt numFmtId="168" formatCode="0.0%"/>
    <numFmt numFmtId="169" formatCode="0.0000"/>
  </numFmts>
  <fonts count="18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color rgb="FF9C0006"/>
      <name val="Times New Roman"/>
      <family val="2"/>
      <charset val="204"/>
    </font>
    <font>
      <sz val="12"/>
      <color rgb="FF9C6500"/>
      <name val="Times New Roman"/>
      <family val="2"/>
      <charset val="204"/>
    </font>
    <font>
      <sz val="12"/>
      <color rgb="FF3F3F76"/>
      <name val="Times New Roman"/>
      <family val="2"/>
      <charset val="204"/>
    </font>
    <font>
      <b/>
      <sz val="12"/>
      <color rgb="FF3F3F3F"/>
      <name val="Times New Roman"/>
      <family val="2"/>
      <charset val="204"/>
    </font>
    <font>
      <b/>
      <sz val="12"/>
      <color rgb="FFFA7D00"/>
      <name val="Times New Roman"/>
      <family val="2"/>
      <charset val="204"/>
    </font>
    <font>
      <sz val="12"/>
      <color rgb="FFFA7D00"/>
      <name val="Times New Roman"/>
      <family val="2"/>
      <charset val="204"/>
    </font>
    <font>
      <b/>
      <sz val="12"/>
      <color theme="0"/>
      <name val="Times New Roman"/>
      <family val="2"/>
      <charset val="204"/>
    </font>
    <font>
      <sz val="12"/>
      <color rgb="FFFF0000"/>
      <name val="Times New Roman"/>
      <family val="2"/>
      <charset val="204"/>
    </font>
    <font>
      <i/>
      <sz val="12"/>
      <color rgb="FF7F7F7F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sz val="12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9" fontId="0" fillId="0" borderId="0" xfId="1" applyFont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C2B6365D377DA5786C95AAF237FAA5AB.dms.sberbank.ru/C2B6365D377DA5786C95AAF237FAA5AB-FDDE958C770C69B182C8F7419786BFAD-66F957BEECFB341777085A69E083D19A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4" name="Рисунок 3" descr="http://C2B6365D377DA5786C95AAF237FAA5AB.dms.sberbank.ru/C2B6365D377DA5786C95AAF237FAA5AB-FDDE958C770C69B182C8F7419786BFAD-66F957BEECFB341777085A69E083D19A/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3"/>
  <sheetViews>
    <sheetView tabSelected="1" topLeftCell="M1" workbookViewId="0">
      <selection activeCell="T1" sqref="T1:T1048576"/>
    </sheetView>
  </sheetViews>
  <sheetFormatPr defaultRowHeight="15.5" x14ac:dyDescent="0.35"/>
  <cols>
    <col min="1" max="1" width="10.83203125" bestFit="1" customWidth="1"/>
    <col min="2" max="3" width="17.08203125" bestFit="1" customWidth="1"/>
    <col min="4" max="5" width="19.58203125" bestFit="1" customWidth="1"/>
    <col min="6" max="7" width="19.58203125" customWidth="1"/>
    <col min="8" max="8" width="18.58203125" bestFit="1" customWidth="1"/>
    <col min="9" max="9" width="24.08203125" bestFit="1" customWidth="1"/>
    <col min="10" max="11" width="16" bestFit="1" customWidth="1"/>
    <col min="12" max="12" width="31.5" bestFit="1" customWidth="1"/>
    <col min="13" max="13" width="11.33203125" bestFit="1" customWidth="1"/>
    <col min="14" max="14" width="17.75" bestFit="1" customWidth="1"/>
    <col min="15" max="15" width="20" bestFit="1" customWidth="1"/>
    <col min="16" max="16" width="21.5" bestFit="1" customWidth="1"/>
    <col min="18" max="18" width="12.25" bestFit="1" customWidth="1"/>
    <col min="19" max="19" width="30.1640625" bestFit="1" customWidth="1"/>
    <col min="22" max="22" width="12.25" bestFit="1" customWidth="1"/>
  </cols>
  <sheetData>
    <row r="1" spans="1:19" x14ac:dyDescent="0.35">
      <c r="A1" t="s">
        <v>0</v>
      </c>
      <c r="B1" t="s">
        <v>134</v>
      </c>
      <c r="C1" t="s">
        <v>133</v>
      </c>
      <c r="D1" t="s">
        <v>125</v>
      </c>
      <c r="E1" t="s">
        <v>126</v>
      </c>
      <c r="F1" t="s">
        <v>138</v>
      </c>
      <c r="G1" t="s">
        <v>139</v>
      </c>
      <c r="H1" s="1" t="s">
        <v>127</v>
      </c>
      <c r="I1" s="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135</v>
      </c>
      <c r="O1" t="s">
        <v>137</v>
      </c>
      <c r="P1" t="s">
        <v>136</v>
      </c>
      <c r="Q1" t="s">
        <v>140</v>
      </c>
      <c r="R1" t="s">
        <v>141</v>
      </c>
      <c r="S1" t="s">
        <v>142</v>
      </c>
    </row>
    <row r="2" spans="1:19" s="4" customFormat="1" x14ac:dyDescent="0.35">
      <c r="A2" t="s">
        <v>1</v>
      </c>
      <c r="B2" s="4">
        <f>1051.2*(10^9)</f>
        <v>1051200000000</v>
      </c>
      <c r="C2" s="4">
        <f>4939.759*(10^9)</f>
        <v>4939759000000</v>
      </c>
      <c r="D2" s="4">
        <v>157921250000</v>
      </c>
      <c r="E2" s="4">
        <f>575.953*(10^9)</f>
        <v>575953000000</v>
      </c>
      <c r="F2" s="4">
        <f>42.493*(10^9)</f>
        <v>42493000000</v>
      </c>
      <c r="G2" s="4">
        <f>123.796*(10^9)</f>
        <v>123796000000</v>
      </c>
      <c r="H2" s="4">
        <f>1.823*(10^9)</f>
        <v>1823000000</v>
      </c>
      <c r="I2" s="4">
        <f>H2</f>
        <v>1823000000</v>
      </c>
      <c r="J2" s="4">
        <f>57.031*(10^9)</f>
        <v>57031000000</v>
      </c>
      <c r="K2" s="4">
        <f>53.517*(10^9)</f>
        <v>53517000000</v>
      </c>
      <c r="L2" s="4">
        <f>247.889*(10^9)</f>
        <v>247889000000</v>
      </c>
      <c r="M2" s="5">
        <f>B2/C2</f>
        <v>0.21280390399612611</v>
      </c>
      <c r="N2" s="6">
        <v>17.416414920836701</v>
      </c>
      <c r="O2" s="3">
        <v>38.1</v>
      </c>
      <c r="P2" s="8">
        <v>37.946899999999999</v>
      </c>
      <c r="Q2" s="2">
        <v>6.3452599999999997</v>
      </c>
      <c r="R2" s="7">
        <v>4.4000000000000004E-2</v>
      </c>
      <c r="S2" s="4">
        <f>1895*(10^9)</f>
        <v>1895000000000</v>
      </c>
    </row>
    <row r="3" spans="1:19" s="4" customFormat="1" x14ac:dyDescent="0.35">
      <c r="A3" t="s">
        <v>2</v>
      </c>
      <c r="B3" s="4">
        <f>1067.375*(10^9)</f>
        <v>1067375000000</v>
      </c>
      <c r="C3" s="4">
        <f>4946.77*(10^9)</f>
        <v>4946770000000</v>
      </c>
      <c r="D3" s="4">
        <v>160392500000</v>
      </c>
      <c r="E3" s="4">
        <f>577.205*(10^9)</f>
        <v>577205000000</v>
      </c>
      <c r="F3" s="4">
        <f>41.365*(10^9)</f>
        <v>41365000000</v>
      </c>
      <c r="G3" s="4">
        <f>125.008*(10^9)</f>
        <v>125008000000</v>
      </c>
      <c r="H3" s="4">
        <f>5.081*(10^9)</f>
        <v>5081000000</v>
      </c>
      <c r="I3" s="4">
        <f>H3+I2</f>
        <v>6904000000</v>
      </c>
      <c r="J3" s="4">
        <f>60.411*(10^9)</f>
        <v>60411000000</v>
      </c>
      <c r="K3" s="4">
        <f>55.204*(10^9)</f>
        <v>55204000000</v>
      </c>
      <c r="L3" s="4">
        <f>249.143*(10^9)</f>
        <v>249143000000</v>
      </c>
      <c r="M3" s="5">
        <f t="shared" ref="M3:M66" si="0">B3/C3</f>
        <v>0.21577210988180165</v>
      </c>
      <c r="N3" s="6">
        <v>17.6298369433534</v>
      </c>
      <c r="O3" s="3">
        <v>38.633333333333333</v>
      </c>
      <c r="P3" s="8">
        <v>37.683</v>
      </c>
      <c r="Q3" s="2">
        <v>5.5643900000000004</v>
      </c>
      <c r="R3" s="7">
        <v>4.9000000000000002E-2</v>
      </c>
      <c r="S3" s="4">
        <f>1924.7*(10^9)</f>
        <v>1924700000000</v>
      </c>
    </row>
    <row r="4" spans="1:19" s="4" customFormat="1" x14ac:dyDescent="0.35">
      <c r="A4" t="s">
        <v>3</v>
      </c>
      <c r="B4" s="4">
        <f>1086.059*(10^9)</f>
        <v>1086059000000</v>
      </c>
      <c r="C4" s="4">
        <f>4992.357*(10^9)</f>
        <v>4992357000000</v>
      </c>
      <c r="D4" s="4">
        <v>163370500000</v>
      </c>
      <c r="E4" s="4">
        <f>586.598*(10^9)</f>
        <v>586598000000</v>
      </c>
      <c r="F4" s="4">
        <f>42.566*(10^9)</f>
        <v>42566000000</v>
      </c>
      <c r="G4" s="4">
        <f>126.255*(10^9)</f>
        <v>126255000000</v>
      </c>
      <c r="H4" s="4">
        <f>5.083*(10^9)</f>
        <v>5083000000</v>
      </c>
      <c r="I4" s="4">
        <f t="shared" ref="I4:I67" si="1">H4+I3</f>
        <v>11987000000</v>
      </c>
      <c r="J4" s="4">
        <f>60.519*(10^9)</f>
        <v>60519000000</v>
      </c>
      <c r="K4" s="4">
        <f>56.431*(10^9)</f>
        <v>56431000000</v>
      </c>
      <c r="L4" s="4">
        <f>254.584*(10^9)</f>
        <v>254584000000</v>
      </c>
      <c r="M4" s="5">
        <f t="shared" si="0"/>
        <v>0.21754433827548791</v>
      </c>
      <c r="N4" s="6">
        <v>17.806946314981499</v>
      </c>
      <c r="O4" s="3">
        <v>39.033333333333331</v>
      </c>
      <c r="P4" s="8">
        <v>37.4482</v>
      </c>
      <c r="Q4" s="2">
        <v>5.4828299999999999</v>
      </c>
      <c r="R4" s="7">
        <v>5.4000000000000006E-2</v>
      </c>
      <c r="S4" s="4">
        <f>1960.5*(10^9)</f>
        <v>1960500000000</v>
      </c>
    </row>
    <row r="5" spans="1:19" s="4" customFormat="1" x14ac:dyDescent="0.35">
      <c r="A5" t="s">
        <v>4</v>
      </c>
      <c r="B5" s="4">
        <f>1088.608*(10^9)</f>
        <v>1088608000000</v>
      </c>
      <c r="C5" s="4">
        <f>4938.857*(10^9)</f>
        <v>4938857000000</v>
      </c>
      <c r="D5" s="4">
        <v>165040250000</v>
      </c>
      <c r="E5" s="4">
        <f>555.454*(10^9)</f>
        <v>555454000000</v>
      </c>
      <c r="F5" s="4">
        <f>47.218*(10^9)</f>
        <v>47218000000</v>
      </c>
      <c r="G5" s="4">
        <f>123.52*(10^9)</f>
        <v>123520000000</v>
      </c>
      <c r="H5" s="4">
        <f>-3.984*(10^9)</f>
        <v>-3984000000</v>
      </c>
      <c r="I5" s="4">
        <f t="shared" si="1"/>
        <v>8003000000</v>
      </c>
      <c r="J5" s="4">
        <f>60.873*(10^9)</f>
        <v>60873000000</v>
      </c>
      <c r="K5" s="4">
        <f>57.888*(10^9)</f>
        <v>57888000000</v>
      </c>
      <c r="L5" s="4">
        <f>258.708*(10^9)</f>
        <v>258708000000.00003</v>
      </c>
      <c r="M5" s="5">
        <f t="shared" si="0"/>
        <v>0.22041699121881844</v>
      </c>
      <c r="N5" s="6">
        <v>18.027467336265399</v>
      </c>
      <c r="O5" s="3">
        <v>39.6</v>
      </c>
      <c r="P5" s="8">
        <v>37.314500000000002</v>
      </c>
      <c r="Q5" s="2">
        <v>6.0106200000000003</v>
      </c>
      <c r="R5" s="7">
        <v>6.0999999999999999E-2</v>
      </c>
      <c r="S5" s="4">
        <f>1980.5*(10^9)</f>
        <v>1980500000000</v>
      </c>
    </row>
    <row r="6" spans="1:19" s="4" customFormat="1" x14ac:dyDescent="0.35">
      <c r="A6" t="s">
        <v>5</v>
      </c>
      <c r="B6" s="4">
        <f>1135.156*(10^9)</f>
        <v>1135156000000</v>
      </c>
      <c r="C6" s="4">
        <f>5072.996*(10^9)</f>
        <v>5072996000000</v>
      </c>
      <c r="D6" s="4">
        <v>169796500000</v>
      </c>
      <c r="E6" s="4">
        <f>620.212*(10^9)</f>
        <v>620212000000</v>
      </c>
      <c r="F6" s="4">
        <f>50.961*(10^9)</f>
        <v>50961000000</v>
      </c>
      <c r="G6" s="4">
        <f>126.281*(10^9)</f>
        <v>126281000000</v>
      </c>
      <c r="H6" s="4">
        <f>12.254*(10^9)</f>
        <v>12254000000</v>
      </c>
      <c r="I6" s="4">
        <f t="shared" si="1"/>
        <v>20257000000</v>
      </c>
      <c r="J6" s="4">
        <f>63.221*(10^9)</f>
        <v>63221000000</v>
      </c>
      <c r="K6" s="4">
        <f>58.651*(10^9)</f>
        <v>58651000000</v>
      </c>
      <c r="L6" s="4">
        <f>261.905*(10^9)</f>
        <v>261904999999.99997</v>
      </c>
      <c r="M6" s="5">
        <f t="shared" si="0"/>
        <v>0.22376441850141415</v>
      </c>
      <c r="N6" s="6">
        <v>18.182825188572799</v>
      </c>
      <c r="O6" s="3">
        <v>39.93333333333333</v>
      </c>
      <c r="P6" s="8">
        <v>37.489199999999997</v>
      </c>
      <c r="Q6" s="2">
        <v>6.8085899999999997</v>
      </c>
      <c r="R6" s="7">
        <v>0.06</v>
      </c>
      <c r="S6" s="4">
        <f>2037.5*(10^9)</f>
        <v>2037500000000</v>
      </c>
    </row>
    <row r="7" spans="1:19" s="4" customFormat="1" x14ac:dyDescent="0.35">
      <c r="A7" t="s">
        <v>6</v>
      </c>
      <c r="B7" s="4">
        <f>1156.271*(10^9)</f>
        <v>1156271000000</v>
      </c>
      <c r="C7" s="4">
        <f>5100.447*(10^9)</f>
        <v>5100447000000</v>
      </c>
      <c r="D7" s="4">
        <v>173306250000</v>
      </c>
      <c r="E7" s="4">
        <f>637.811*(10^9)</f>
        <v>637811000000</v>
      </c>
      <c r="F7" s="4">
        <f>56.974*(10^9)</f>
        <v>56974000000</v>
      </c>
      <c r="G7" s="4">
        <f>129.481*(10^9)</f>
        <v>129481000000</v>
      </c>
      <c r="H7" s="4">
        <f>10.875*(10^9)</f>
        <v>10875000000</v>
      </c>
      <c r="I7" s="4">
        <f t="shared" si="1"/>
        <v>31132000000</v>
      </c>
      <c r="J7" s="4">
        <f>62.894*(10^9)</f>
        <v>62894000000</v>
      </c>
      <c r="K7" s="4">
        <f>63.296*(10^9)</f>
        <v>63296000000</v>
      </c>
      <c r="L7" s="4">
        <f>266.118*(10^9)</f>
        <v>266118000000</v>
      </c>
      <c r="M7" s="5">
        <f t="shared" si="0"/>
        <v>0.22669993433908833</v>
      </c>
      <c r="N7" s="6">
        <v>18.402810935847501</v>
      </c>
      <c r="O7" s="3">
        <v>40.299999999999997</v>
      </c>
      <c r="P7" s="8">
        <v>38.049999999999997</v>
      </c>
      <c r="Q7" s="2">
        <v>7.16127</v>
      </c>
      <c r="R7" s="7">
        <v>5.9000000000000004E-2</v>
      </c>
      <c r="S7" s="4">
        <f>2079.7*(10^9)</f>
        <v>2079699999999.9998</v>
      </c>
    </row>
    <row r="8" spans="1:19" s="4" customFormat="1" x14ac:dyDescent="0.35">
      <c r="A8" t="s">
        <v>7</v>
      </c>
      <c r="B8" s="4">
        <f>1177.675*(10^9)</f>
        <v>1177675000000</v>
      </c>
      <c r="C8" s="4">
        <f>5142.422*(10^9)</f>
        <v>5142422000000</v>
      </c>
      <c r="D8" s="4">
        <v>176399750000</v>
      </c>
      <c r="E8" s="4">
        <f>645.549*(10^9)</f>
        <v>645549000000</v>
      </c>
      <c r="F8" s="4">
        <f>60.68*(10^9)</f>
        <v>60680000000</v>
      </c>
      <c r="G8" s="4">
        <f>131.19*(10^9)</f>
        <v>131190000000</v>
      </c>
      <c r="H8" s="4">
        <f>10.188*(10^9)</f>
        <v>10188000000</v>
      </c>
      <c r="I8" s="4">
        <f t="shared" si="1"/>
        <v>41320000000</v>
      </c>
      <c r="J8" s="4">
        <f>65.717*(10^9)</f>
        <v>65717000000</v>
      </c>
      <c r="K8" s="4">
        <f>65.482*(10^9)</f>
        <v>65482000000</v>
      </c>
      <c r="L8" s="4">
        <f>269.783*(10^9)</f>
        <v>269783000000.00003</v>
      </c>
      <c r="M8" s="5">
        <f t="shared" si="0"/>
        <v>0.22901173804872491</v>
      </c>
      <c r="N8" s="6">
        <v>18.621660165869699</v>
      </c>
      <c r="O8" s="3">
        <v>40.700000000000003</v>
      </c>
      <c r="P8" s="8">
        <v>38.3324</v>
      </c>
      <c r="Q8" s="2">
        <v>6.9752900000000002</v>
      </c>
      <c r="R8" s="7">
        <v>0.06</v>
      </c>
      <c r="S8" s="4">
        <f>2116.8*(10^9)</f>
        <v>2116800000000.0002</v>
      </c>
    </row>
    <row r="9" spans="1:19" s="4" customFormat="1" x14ac:dyDescent="0.35">
      <c r="A9" t="s">
        <v>8</v>
      </c>
      <c r="B9" s="4">
        <f>1190.297*(10^9)</f>
        <v>1190297000000</v>
      </c>
      <c r="C9" s="4">
        <f>5154.547*(10^9)</f>
        <v>5154547000000</v>
      </c>
      <c r="D9" s="4">
        <v>180434750000</v>
      </c>
      <c r="E9" s="4">
        <f>628.165*(10^9)</f>
        <v>628165000000</v>
      </c>
      <c r="F9" s="4">
        <f>63.995*(10^9)</f>
        <v>63995000000</v>
      </c>
      <c r="G9" s="4">
        <f>134.711*(10^9)</f>
        <v>134711000000.00002</v>
      </c>
      <c r="H9" s="4">
        <f>-0.295*(10^9)</f>
        <v>-295000000</v>
      </c>
      <c r="I9" s="4">
        <f t="shared" si="1"/>
        <v>41025000000</v>
      </c>
      <c r="J9" s="4">
        <f>60.019*(10^9)</f>
        <v>60019000000</v>
      </c>
      <c r="K9" s="4">
        <f>61.939*(10^9)</f>
        <v>61939000000</v>
      </c>
      <c r="L9" s="4">
        <f>272.067*(10^9)</f>
        <v>272067000000</v>
      </c>
      <c r="M9" s="5">
        <f t="shared" si="0"/>
        <v>0.23092174734268597</v>
      </c>
      <c r="N9" s="6">
        <v>18.7747103427075</v>
      </c>
      <c r="O9" s="3">
        <v>41</v>
      </c>
      <c r="P9" s="8">
        <v>39.230899999999998</v>
      </c>
      <c r="Q9" s="2">
        <v>6.8123399999999998</v>
      </c>
      <c r="R9" s="7">
        <v>0.06</v>
      </c>
      <c r="S9" s="4">
        <f>2165.1*(10^9)</f>
        <v>2165100000000</v>
      </c>
    </row>
    <row r="10" spans="1:19" s="4" customFormat="1" x14ac:dyDescent="0.35">
      <c r="A10" t="s">
        <v>9</v>
      </c>
      <c r="B10" s="4">
        <f>1230.609*(10^9)</f>
        <v>1230609000000</v>
      </c>
      <c r="C10" s="4">
        <f>5249.337*(10^9)</f>
        <v>5249337000000</v>
      </c>
      <c r="D10" s="4">
        <v>184737000000</v>
      </c>
      <c r="E10" s="4">
        <f>669.558*(10^9)</f>
        <v>669558000000</v>
      </c>
      <c r="F10" s="4">
        <f>69.156*(10^9)</f>
        <v>69156000000</v>
      </c>
      <c r="G10" s="4">
        <f>140.585*(10^9)</f>
        <v>140585000000</v>
      </c>
      <c r="H10" s="4">
        <f>3.227*(10^9)</f>
        <v>3227000000</v>
      </c>
      <c r="I10" s="4">
        <f t="shared" si="1"/>
        <v>44252000000</v>
      </c>
      <c r="J10" s="4">
        <f>68.639*(10^9)</f>
        <v>68638999999.999992</v>
      </c>
      <c r="K10" s="4">
        <f>72.173*(10^9)</f>
        <v>72173000000</v>
      </c>
      <c r="L10" s="4">
        <f>282.228*(10^9)</f>
        <v>282228000000</v>
      </c>
      <c r="M10" s="5">
        <f t="shared" si="0"/>
        <v>0.23443131961236247</v>
      </c>
      <c r="N10" s="6">
        <v>18.979738039217199</v>
      </c>
      <c r="O10" s="3">
        <v>41.333333333333336</v>
      </c>
      <c r="P10" s="8">
        <v>40.865499999999997</v>
      </c>
      <c r="Q10" s="2">
        <v>7.4910100000000002</v>
      </c>
      <c r="R10" s="7">
        <v>5.7999999999999996E-2</v>
      </c>
      <c r="S10" s="4">
        <f>2216.9*(10^9)</f>
        <v>2216900000000</v>
      </c>
    </row>
    <row r="11" spans="1:19" s="4" customFormat="1" x14ac:dyDescent="0.35">
      <c r="A11" t="s">
        <v>10</v>
      </c>
      <c r="B11" s="4">
        <f>1266.369*(10^9)</f>
        <v>1266369000000</v>
      </c>
      <c r="C11" s="4">
        <f>5368.485*(10^9)</f>
        <v>5368485000000</v>
      </c>
      <c r="D11" s="4">
        <v>189341000000</v>
      </c>
      <c r="E11" s="4">
        <f>707.589*(10^9)</f>
        <v>707589000000</v>
      </c>
      <c r="F11" s="4">
        <f>70.824*(10^9)</f>
        <v>70824000000</v>
      </c>
      <c r="G11" s="4">
        <f>143.976*(10^9)</f>
        <v>143976000000</v>
      </c>
      <c r="H11" s="4">
        <f>11.998*(10^9)</f>
        <v>11998000000</v>
      </c>
      <c r="I11" s="4">
        <f t="shared" si="1"/>
        <v>56250000000</v>
      </c>
      <c r="J11" s="4">
        <f>67.152*(10^9)</f>
        <v>67152000000</v>
      </c>
      <c r="K11" s="4">
        <f>71.409*(10^9)</f>
        <v>71409000000</v>
      </c>
      <c r="L11" s="4">
        <f>286.464*(10^9)</f>
        <v>286464000000</v>
      </c>
      <c r="M11" s="5">
        <f t="shared" si="0"/>
        <v>0.23588945484619964</v>
      </c>
      <c r="N11" s="6">
        <v>19.091875859975399</v>
      </c>
      <c r="O11" s="3">
        <v>41.6</v>
      </c>
      <c r="P11" s="8">
        <v>41.378599999999999</v>
      </c>
      <c r="Q11" s="2">
        <v>7.6937800000000003</v>
      </c>
      <c r="R11" s="7">
        <v>5.7000000000000002E-2</v>
      </c>
      <c r="S11" s="4">
        <f>2272.1*(10^9)</f>
        <v>2272100000000</v>
      </c>
    </row>
    <row r="12" spans="1:19" s="4" customFormat="1" x14ac:dyDescent="0.35">
      <c r="A12" t="s">
        <v>11</v>
      </c>
      <c r="B12" s="4">
        <f>1290.566*(10^9)</f>
        <v>1290566000000</v>
      </c>
      <c r="C12" s="4">
        <f>5419.184*(10^9)</f>
        <v>5419184000000</v>
      </c>
      <c r="D12" s="4">
        <v>193949750000</v>
      </c>
      <c r="E12" s="4">
        <f>717.638*(10^9)</f>
        <v>717638000000</v>
      </c>
      <c r="F12" s="4">
        <f>72.36*(10^9)</f>
        <v>72360000000</v>
      </c>
      <c r="G12" s="4">
        <f>147.015*(10^9)</f>
        <v>147015000000</v>
      </c>
      <c r="H12" s="4">
        <f>13.715*(10^9)</f>
        <v>13715000000</v>
      </c>
      <c r="I12" s="4">
        <f t="shared" si="1"/>
        <v>69965000000</v>
      </c>
      <c r="J12" s="4">
        <f>71.453*(10^9)</f>
        <v>71453000000</v>
      </c>
      <c r="K12" s="4">
        <f>74.09*(10^9)</f>
        <v>74090000000</v>
      </c>
      <c r="L12" s="4">
        <f>284.316*(10^9)</f>
        <v>284316000000</v>
      </c>
      <c r="M12" s="5">
        <f t="shared" si="0"/>
        <v>0.23814766208344282</v>
      </c>
      <c r="N12" s="6">
        <v>19.271655230329898</v>
      </c>
      <c r="O12" s="3">
        <v>41.93333333333333</v>
      </c>
      <c r="P12" s="8">
        <v>42.228400000000001</v>
      </c>
      <c r="Q12" s="2">
        <v>7.6929699999999999</v>
      </c>
      <c r="R12" s="7">
        <v>5.5E-2</v>
      </c>
      <c r="S12" s="4">
        <f>2327.3*(10^9)</f>
        <v>2327300000000</v>
      </c>
    </row>
    <row r="13" spans="1:19" s="4" customFormat="1" x14ac:dyDescent="0.35">
      <c r="A13" t="s">
        <v>12</v>
      </c>
      <c r="B13" s="4">
        <f>1328.904*(10^9)</f>
        <v>1328904000000</v>
      </c>
      <c r="C13" s="4">
        <f>5509.926*(10^9)</f>
        <v>5509926000000</v>
      </c>
      <c r="D13" s="4">
        <v>200125500000</v>
      </c>
      <c r="E13" s="4">
        <f>722.138*(10^9)</f>
        <v>722138000000</v>
      </c>
      <c r="F13" s="4">
        <f>77.257*(10^9)</f>
        <v>77257000000</v>
      </c>
      <c r="G13" s="4">
        <f>154.967*(10^9)</f>
        <v>154967000000</v>
      </c>
      <c r="H13" s="4">
        <f>7.491*(10^9)</f>
        <v>7491000000</v>
      </c>
      <c r="I13" s="4">
        <f t="shared" si="1"/>
        <v>77456000000</v>
      </c>
      <c r="J13" s="4">
        <f>76.129*(10^9)</f>
        <v>76129000000</v>
      </c>
      <c r="K13" s="4">
        <f>79.19*(10^9)</f>
        <v>79190000000</v>
      </c>
      <c r="L13" s="4">
        <f>291.749*(10^9)</f>
        <v>291749000000</v>
      </c>
      <c r="M13" s="5">
        <f t="shared" si="0"/>
        <v>0.24118363840095131</v>
      </c>
      <c r="N13" s="6">
        <v>19.4677381155945</v>
      </c>
      <c r="O13" s="3">
        <v>42.366666666666667</v>
      </c>
      <c r="P13" s="8">
        <v>43.769500000000001</v>
      </c>
      <c r="Q13" s="2">
        <v>7.9877599999999997</v>
      </c>
      <c r="R13" s="7">
        <v>5.2000000000000005E-2</v>
      </c>
      <c r="S13" s="4">
        <f>2401.5*(10^9)</f>
        <v>2401500000000</v>
      </c>
    </row>
    <row r="14" spans="1:19" s="4" customFormat="1" x14ac:dyDescent="0.35">
      <c r="A14" t="s">
        <v>13</v>
      </c>
      <c r="B14" s="4">
        <f>1377.49*(10^9)</f>
        <v>1377490000000</v>
      </c>
      <c r="C14" s="4">
        <f>5646.286*(10^9)</f>
        <v>5646286000000</v>
      </c>
      <c r="D14" s="4">
        <v>206251750000</v>
      </c>
      <c r="E14" s="4">
        <f>764.458*(10^9)</f>
        <v>764458000000</v>
      </c>
      <c r="F14" s="4">
        <f>80.925*(10^9)</f>
        <v>80925000000</v>
      </c>
      <c r="G14" s="4">
        <f>162.839*(10^9)</f>
        <v>162839000000</v>
      </c>
      <c r="H14" s="4">
        <f>10.55*(10^9)</f>
        <v>10550000000</v>
      </c>
      <c r="I14" s="4">
        <f t="shared" si="1"/>
        <v>88006000000</v>
      </c>
      <c r="J14" s="4">
        <f>83.959*(10^9)</f>
        <v>83959000000</v>
      </c>
      <c r="K14" s="4">
        <f>85.36*(10^9)</f>
        <v>85360000000</v>
      </c>
      <c r="L14" s="4">
        <f>299.571*(10^9)</f>
        <v>299571000000</v>
      </c>
      <c r="M14" s="5">
        <f t="shared" si="0"/>
        <v>0.24396390831070194</v>
      </c>
      <c r="N14" s="6">
        <v>19.730534914397602</v>
      </c>
      <c r="O14" s="3">
        <v>43.033333333333331</v>
      </c>
      <c r="P14" s="8">
        <v>44.743499999999997</v>
      </c>
      <c r="Q14" s="2">
        <v>7.9369500000000004</v>
      </c>
      <c r="R14" s="7">
        <v>4.9000000000000002E-2</v>
      </c>
      <c r="S14" s="4">
        <f>2475.1*(10^9)</f>
        <v>2475100000000</v>
      </c>
    </row>
    <row r="15" spans="1:19" s="4" customFormat="1" x14ac:dyDescent="0.35">
      <c r="A15" t="s">
        <v>14</v>
      </c>
      <c r="B15" s="4">
        <f>1413.887*(10^9)</f>
        <v>1413887000000</v>
      </c>
      <c r="C15" s="4">
        <f>5707.755*(10^9)</f>
        <v>5707755000000</v>
      </c>
      <c r="D15" s="4">
        <v>210131750000</v>
      </c>
      <c r="E15" s="4">
        <f>797.044*(10^9)</f>
        <v>797044000000</v>
      </c>
      <c r="F15" s="4">
        <f>78.707*(10^9)</f>
        <v>78707000000</v>
      </c>
      <c r="G15" s="4">
        <f>171.283*(10^9)</f>
        <v>171283000000</v>
      </c>
      <c r="H15" s="4">
        <f>18.206*(10^9)</f>
        <v>18206000000</v>
      </c>
      <c r="I15" s="4">
        <f t="shared" si="1"/>
        <v>106212000000</v>
      </c>
      <c r="J15" s="4">
        <f>91.923*(10^9)</f>
        <v>91923000000</v>
      </c>
      <c r="K15" s="4">
        <f>89.468*(10^9)</f>
        <v>89468000000</v>
      </c>
      <c r="L15" s="4">
        <f>302.709*(10^9)</f>
        <v>302709000000</v>
      </c>
      <c r="M15" s="5">
        <f t="shared" si="0"/>
        <v>0.24771333037244941</v>
      </c>
      <c r="N15" s="6">
        <v>20.1510313049254</v>
      </c>
      <c r="O15" s="3">
        <v>43.93333333333333</v>
      </c>
      <c r="P15" s="8">
        <v>45.025700000000001</v>
      </c>
      <c r="Q15" s="2">
        <v>7.2753899999999998</v>
      </c>
      <c r="R15" s="7">
        <v>4.9000000000000002E-2</v>
      </c>
      <c r="S15" s="4">
        <f>2521.6*(10^9)</f>
        <v>2521600000000</v>
      </c>
    </row>
    <row r="16" spans="1:19" s="4" customFormat="1" x14ac:dyDescent="0.35">
      <c r="A16" t="s">
        <v>15</v>
      </c>
      <c r="B16" s="4">
        <f>1433.838*(10^9)</f>
        <v>1433838000000</v>
      </c>
      <c r="C16" s="4">
        <f>5677.738*(10^9)</f>
        <v>5677738000000</v>
      </c>
      <c r="D16" s="4">
        <v>214719250000</v>
      </c>
      <c r="E16" s="4">
        <f>768.143*(10^9)</f>
        <v>768143000000</v>
      </c>
      <c r="F16" s="4">
        <f>77.932*(10^9)</f>
        <v>77932000000</v>
      </c>
      <c r="G16" s="4">
        <f>176.642*(10^9)</f>
        <v>176642000000</v>
      </c>
      <c r="H16" s="4">
        <f>9.761*(10^9)</f>
        <v>9761000000</v>
      </c>
      <c r="I16" s="4">
        <f t="shared" si="1"/>
        <v>115973000000</v>
      </c>
      <c r="J16" s="4">
        <f>97.576*(10^9)</f>
        <v>97576000000</v>
      </c>
      <c r="K16" s="4">
        <f>91.139*(10^9)</f>
        <v>91139000000</v>
      </c>
      <c r="L16" s="4">
        <f>304.189*(10^9)</f>
        <v>304189000000</v>
      </c>
      <c r="M16" s="5">
        <f t="shared" si="0"/>
        <v>0.25253683773361857</v>
      </c>
      <c r="N16" s="6">
        <v>20.566406875010799</v>
      </c>
      <c r="O16" s="3">
        <v>44.8</v>
      </c>
      <c r="P16" s="8">
        <v>45.486199999999997</v>
      </c>
      <c r="Q16" s="2">
        <v>7.1737399999999996</v>
      </c>
      <c r="R16" s="7">
        <v>4.8000000000000001E-2</v>
      </c>
      <c r="S16" s="4">
        <f>2576.6*(10^9)</f>
        <v>2576600000000</v>
      </c>
    </row>
    <row r="17" spans="1:19" s="4" customFormat="1" x14ac:dyDescent="0.35">
      <c r="A17" t="s">
        <v>16</v>
      </c>
      <c r="B17" s="4">
        <f>1476.289*(10^9)</f>
        <v>1476289000000</v>
      </c>
      <c r="C17" s="4">
        <f>5731.632*(10^9)</f>
        <v>5731632000000</v>
      </c>
      <c r="D17" s="4">
        <v>218471750000</v>
      </c>
      <c r="E17" s="4">
        <f>795.504*(10^9)</f>
        <v>795504000000</v>
      </c>
      <c r="F17" s="4">
        <f>75.723*(10^9)</f>
        <v>75723000000</v>
      </c>
      <c r="G17" s="4">
        <f>180.142*(10^9)</f>
        <v>180142000000</v>
      </c>
      <c r="H17" s="4">
        <f>24.993*(10^9)</f>
        <v>24993000000</v>
      </c>
      <c r="I17" s="4">
        <f t="shared" si="1"/>
        <v>140966000000</v>
      </c>
      <c r="J17" s="4">
        <f>107.62*(10^9)</f>
        <v>107620000000</v>
      </c>
      <c r="K17" s="4">
        <f>98.669*(10^9)</f>
        <v>98669000000</v>
      </c>
      <c r="L17" s="4">
        <f>312.593*(10^9)</f>
        <v>312593000000</v>
      </c>
      <c r="M17" s="5">
        <f t="shared" si="0"/>
        <v>0.25756869945593158</v>
      </c>
      <c r="N17" s="6">
        <v>21.0498176114804</v>
      </c>
      <c r="O17" s="3">
        <v>45.93333333333333</v>
      </c>
      <c r="P17" s="8">
        <v>45.934399999999997</v>
      </c>
      <c r="Q17" s="2">
        <v>7.0071199999999996</v>
      </c>
      <c r="R17" s="7">
        <v>4.9000000000000002E-2</v>
      </c>
      <c r="S17" s="4">
        <f>2621.7*(10^9)</f>
        <v>2621700000000</v>
      </c>
    </row>
    <row r="18" spans="1:19" s="4" customFormat="1" x14ac:dyDescent="0.35">
      <c r="A18" t="s">
        <v>17</v>
      </c>
      <c r="B18" s="4">
        <f>1491.209*(10^9)</f>
        <v>1491209000000</v>
      </c>
      <c r="C18" s="4">
        <f>5682.353*(10^9)</f>
        <v>5682353000000</v>
      </c>
      <c r="D18" s="4">
        <v>222967000000</v>
      </c>
      <c r="E18" s="4">
        <f>750.076*(10^9)</f>
        <v>750076000000</v>
      </c>
      <c r="F18" s="4">
        <f>72.438*(10^9)</f>
        <v>72438000000</v>
      </c>
      <c r="G18" s="4">
        <f>183.404*(10^9)</f>
        <v>183404000000</v>
      </c>
      <c r="H18" s="4">
        <f>12.519*(10^9)</f>
        <v>12519000000</v>
      </c>
      <c r="I18" s="4">
        <f t="shared" si="1"/>
        <v>153485000000</v>
      </c>
      <c r="J18" s="4">
        <f>116.709*(10^9)</f>
        <v>116709000000</v>
      </c>
      <c r="K18" s="4">
        <f>110.315*(10^9)</f>
        <v>110315000000</v>
      </c>
      <c r="L18" s="4">
        <f>324.586*(10^9)</f>
        <v>324586000000</v>
      </c>
      <c r="M18" s="5">
        <f t="shared" si="0"/>
        <v>0.26242808216948155</v>
      </c>
      <c r="N18" s="6">
        <v>21.7422586928752</v>
      </c>
      <c r="O18" s="3">
        <v>47.3</v>
      </c>
      <c r="P18" s="8">
        <v>45.495199999999997</v>
      </c>
      <c r="Q18" s="2">
        <v>6.5505000000000004</v>
      </c>
      <c r="R18" s="7">
        <v>5.0999999999999997E-2</v>
      </c>
      <c r="S18" s="4">
        <f>2675.6*(10^9)</f>
        <v>2675600000000</v>
      </c>
    </row>
    <row r="19" spans="1:19" s="4" customFormat="1" x14ac:dyDescent="0.35">
      <c r="A19" t="s">
        <v>18</v>
      </c>
      <c r="B19" s="4">
        <f>1530.056*(10^9)</f>
        <v>1530056000000</v>
      </c>
      <c r="C19" s="4">
        <f>5695.859*(10^9)</f>
        <v>5695859000000</v>
      </c>
      <c r="D19" s="4">
        <v>230105500000</v>
      </c>
      <c r="E19" s="4">
        <f>747.082*(10^9)</f>
        <v>747082000000</v>
      </c>
      <c r="F19" s="4">
        <f>71.157*(10^9)</f>
        <v>71157000000</v>
      </c>
      <c r="G19" s="4">
        <f>188.818*(10^9)</f>
        <v>188818000000</v>
      </c>
      <c r="H19" s="4">
        <f>17.416*(10^9)</f>
        <v>17416000000</v>
      </c>
      <c r="I19" s="4">
        <f t="shared" si="1"/>
        <v>170901000000</v>
      </c>
      <c r="J19" s="4">
        <f>126.668*(10^9)</f>
        <v>126668000000</v>
      </c>
      <c r="K19" s="4">
        <f>129.382*(10^9)</f>
        <v>129382000000</v>
      </c>
      <c r="L19" s="4">
        <f>334.957*(10^9)</f>
        <v>334957000000</v>
      </c>
      <c r="M19" s="5">
        <f t="shared" si="0"/>
        <v>0.26862603164860649</v>
      </c>
      <c r="N19" s="6">
        <v>22.368809101165802</v>
      </c>
      <c r="O19" s="3">
        <v>48.56666666666667</v>
      </c>
      <c r="P19" s="8">
        <v>45.639000000000003</v>
      </c>
      <c r="Q19" s="2">
        <v>6.1300299999999996</v>
      </c>
      <c r="R19" s="7">
        <v>5.4000000000000006E-2</v>
      </c>
      <c r="S19" s="4">
        <f>2761.2*(10^9)</f>
        <v>2761200000000</v>
      </c>
    </row>
    <row r="20" spans="1:19" s="4" customFormat="1" x14ac:dyDescent="0.35">
      <c r="A20" t="s">
        <v>19</v>
      </c>
      <c r="B20" s="4">
        <f>1560.026*(10^9)</f>
        <v>1560026000000</v>
      </c>
      <c r="C20" s="4">
        <f>5642.025*(10^9)</f>
        <v>5642025000000</v>
      </c>
      <c r="D20" s="4">
        <v>237319000000</v>
      </c>
      <c r="E20" s="4">
        <f>708.362*(10^9)</f>
        <v>708362000000</v>
      </c>
      <c r="F20" s="4">
        <f>70.949*(10^9)</f>
        <v>70949000000</v>
      </c>
      <c r="G20" s="4">
        <f>194.485*(10^9)</f>
        <v>194485000000</v>
      </c>
      <c r="H20" s="4">
        <f>5.578*(10^9)</f>
        <v>5578000000</v>
      </c>
      <c r="I20" s="4">
        <f t="shared" si="1"/>
        <v>176479000000</v>
      </c>
      <c r="J20" s="4">
        <f>126.638*(10^9)</f>
        <v>126638000000</v>
      </c>
      <c r="K20" s="4">
        <f>133.61*(10^9)</f>
        <v>133610000000.00002</v>
      </c>
      <c r="L20" s="4">
        <f>346.71*(10^9)</f>
        <v>346710000000</v>
      </c>
      <c r="M20" s="5">
        <f t="shared" si="0"/>
        <v>0.27650107895658033</v>
      </c>
      <c r="N20" s="6">
        <v>22.931748919968499</v>
      </c>
      <c r="O20" s="3">
        <v>49.93333333333333</v>
      </c>
      <c r="P20" s="8">
        <v>45.242100000000001</v>
      </c>
      <c r="Q20" s="2">
        <v>5.0686900000000001</v>
      </c>
      <c r="R20" s="7">
        <v>5.9000000000000004E-2</v>
      </c>
      <c r="S20" s="4">
        <f>2847.8*(10^9)</f>
        <v>2847800000000</v>
      </c>
    </row>
    <row r="21" spans="1:19" s="4" customFormat="1" x14ac:dyDescent="0.35">
      <c r="A21" t="s">
        <v>20</v>
      </c>
      <c r="B21" s="4">
        <f>1599.679*(10^9)</f>
        <v>1599679000000</v>
      </c>
      <c r="C21" s="4">
        <f>5620.126*(10^9)</f>
        <v>5620126000000</v>
      </c>
      <c r="D21" s="4">
        <v>239769750000</v>
      </c>
      <c r="E21" s="4">
        <f>712.661*(10^9)</f>
        <v>712661000000</v>
      </c>
      <c r="F21" s="4">
        <f>63.324*(10^9)</f>
        <v>63324000000</v>
      </c>
      <c r="G21" s="4">
        <f>197.569*(10^9)</f>
        <v>197569000000</v>
      </c>
      <c r="H21" s="4">
        <f>20.446*(10^9)</f>
        <v>20446000000</v>
      </c>
      <c r="I21" s="4">
        <f t="shared" si="1"/>
        <v>196925000000</v>
      </c>
      <c r="J21" s="4">
        <f>136.585*(10^9)</f>
        <v>136585000000.00002</v>
      </c>
      <c r="K21" s="4">
        <f>136.552*(10^9)</f>
        <v>136552000000</v>
      </c>
      <c r="L21" s="4">
        <f>359.228*(10^9)</f>
        <v>359228000000</v>
      </c>
      <c r="M21" s="5">
        <f t="shared" si="0"/>
        <v>0.28463400998482952</v>
      </c>
      <c r="N21" s="6">
        <v>23.493764051317399</v>
      </c>
      <c r="O21" s="3">
        <v>51.466666666666669</v>
      </c>
      <c r="P21" s="8">
        <v>42.055300000000003</v>
      </c>
      <c r="Q21" s="2">
        <v>4.6929600000000002</v>
      </c>
      <c r="R21" s="7">
        <v>7.2000000000000008E-2</v>
      </c>
      <c r="S21" s="4">
        <f>2877.2*(10^9)</f>
        <v>2877200000000</v>
      </c>
    </row>
    <row r="22" spans="1:19" s="4" customFormat="1" x14ac:dyDescent="0.35">
      <c r="A22" t="s">
        <v>21</v>
      </c>
      <c r="B22" s="4">
        <f>1616.116*(10^9)</f>
        <v>1616116000000</v>
      </c>
      <c r="C22" s="4">
        <f>5551.713*(10^9)</f>
        <v>5551713000000</v>
      </c>
      <c r="D22" s="4">
        <v>246297500000</v>
      </c>
      <c r="E22" s="4">
        <f>597.866*(10^9)</f>
        <v>597866000000</v>
      </c>
      <c r="F22" s="4">
        <f>61.197*(10^9)</f>
        <v>61197000000</v>
      </c>
      <c r="G22" s="4">
        <f>193.137*(10^9)</f>
        <v>193137000000</v>
      </c>
      <c r="H22" s="4">
        <f>-10.028*(10^9)</f>
        <v>-10028000000</v>
      </c>
      <c r="I22" s="4">
        <f t="shared" si="1"/>
        <v>186897000000</v>
      </c>
      <c r="J22" s="4">
        <f>141.369*(10^9)</f>
        <v>141369000000</v>
      </c>
      <c r="K22" s="4">
        <f>124.888*(10^9)</f>
        <v>124888000000</v>
      </c>
      <c r="L22" s="4">
        <f>370.138*(10^9)</f>
        <v>370138000000</v>
      </c>
      <c r="M22" s="5">
        <f t="shared" si="0"/>
        <v>0.29110222376408867</v>
      </c>
      <c r="N22" s="6">
        <v>23.948676241363199</v>
      </c>
      <c r="O22" s="3">
        <v>52.56666666666667</v>
      </c>
      <c r="P22" s="8">
        <v>40.079599999999999</v>
      </c>
      <c r="Q22" s="2">
        <v>5.3490099999999998</v>
      </c>
      <c r="R22" s="7">
        <v>8.5999999999999993E-2</v>
      </c>
      <c r="S22" s="4">
        <f>2955.6*(10^9)</f>
        <v>2955600000000</v>
      </c>
    </row>
    <row r="23" spans="1:19" s="4" customFormat="1" x14ac:dyDescent="0.35">
      <c r="A23" t="s">
        <v>22</v>
      </c>
      <c r="B23" s="4">
        <f>1651.853*(10^9)</f>
        <v>1651853000000</v>
      </c>
      <c r="C23" s="4">
        <f>5591.382*(10^9)</f>
        <v>5591382000000</v>
      </c>
      <c r="D23" s="4">
        <v>253395500000</v>
      </c>
      <c r="E23" s="4">
        <f>580.067*(10^9)</f>
        <v>580067000000</v>
      </c>
      <c r="F23" s="4">
        <f>63.959*(10^9)</f>
        <v>63959000000</v>
      </c>
      <c r="G23" s="4">
        <f>193.276*(10^9)</f>
        <v>193276000000</v>
      </c>
      <c r="H23" s="4">
        <f>-13.954*(10^9)</f>
        <v>-13954000000</v>
      </c>
      <c r="I23" s="4">
        <f t="shared" si="1"/>
        <v>172943000000</v>
      </c>
      <c r="J23" s="4">
        <f>136.827*(10^9)</f>
        <v>136827000000</v>
      </c>
      <c r="K23" s="4">
        <f>115.245*(10^9)</f>
        <v>115245000000</v>
      </c>
      <c r="L23" s="4">
        <f>373.408*(10^9)</f>
        <v>373408000000</v>
      </c>
      <c r="M23" s="5">
        <f t="shared" si="0"/>
        <v>0.29542839319509917</v>
      </c>
      <c r="N23" s="6">
        <v>24.222296129558799</v>
      </c>
      <c r="O23" s="3">
        <v>53.2</v>
      </c>
      <c r="P23" s="8">
        <v>40.298699999999997</v>
      </c>
      <c r="Q23" s="2">
        <v>6.0529900000000003</v>
      </c>
      <c r="R23" s="7">
        <v>8.8000000000000009E-2</v>
      </c>
      <c r="S23" s="4">
        <f>3040.7*(10^9)</f>
        <v>3040700000000</v>
      </c>
    </row>
    <row r="24" spans="1:19" s="4" customFormat="1" x14ac:dyDescent="0.35">
      <c r="A24" t="s">
        <v>23</v>
      </c>
      <c r="B24" s="4">
        <f>1709.82*(10^9)</f>
        <v>1709820000000</v>
      </c>
      <c r="C24" s="4">
        <f>5687.087*(10^9)</f>
        <v>5687087000000</v>
      </c>
      <c r="D24" s="4">
        <v>261798000000</v>
      </c>
      <c r="E24" s="4">
        <f>625.037*(10^9)</f>
        <v>625037000000</v>
      </c>
      <c r="F24" s="4">
        <f>68.772*(10^9)</f>
        <v>68772000000</v>
      </c>
      <c r="G24" s="4">
        <f>197.807*(10^9)</f>
        <v>197807000000</v>
      </c>
      <c r="H24" s="4">
        <f>-1.388*(10^9)</f>
        <v>-1388000000</v>
      </c>
      <c r="I24" s="4">
        <f t="shared" si="1"/>
        <v>171555000000</v>
      </c>
      <c r="J24" s="4">
        <f>134.098*(10^9)</f>
        <v>134098000000.00002</v>
      </c>
      <c r="K24" s="4">
        <f>122.055*(10^9)</f>
        <v>122055000000</v>
      </c>
      <c r="L24" s="4">
        <f>385.394*(10^9)</f>
        <v>385394000000</v>
      </c>
      <c r="M24" s="5">
        <f t="shared" si="0"/>
        <v>0.30064952408851842</v>
      </c>
      <c r="N24" s="6">
        <v>24.706504346758901</v>
      </c>
      <c r="O24" s="3">
        <v>54.266666666666666</v>
      </c>
      <c r="P24" s="8">
        <v>41.637999999999998</v>
      </c>
      <c r="Q24" s="2">
        <v>5.98177</v>
      </c>
      <c r="R24" s="7">
        <v>8.4000000000000005E-2</v>
      </c>
      <c r="S24" s="4">
        <f>3141.6*(10^9)</f>
        <v>3141600000000</v>
      </c>
    </row>
    <row r="25" spans="1:19" s="4" customFormat="1" x14ac:dyDescent="0.35">
      <c r="A25" t="s">
        <v>24</v>
      </c>
      <c r="B25" s="4">
        <f>1761.831*(10^9)</f>
        <v>1761831000000</v>
      </c>
      <c r="C25" s="4">
        <f>5763.665*(10^9)</f>
        <v>5763665000000</v>
      </c>
      <c r="D25" s="4">
        <v>269055750000</v>
      </c>
      <c r="E25" s="4">
        <f>642.484*(10^9)</f>
        <v>642484000000</v>
      </c>
      <c r="F25" s="4">
        <f>73.005*(10^9)</f>
        <v>73005000000</v>
      </c>
      <c r="G25" s="4">
        <f>202.883*(10^9)</f>
        <v>202883000000</v>
      </c>
      <c r="H25" s="4">
        <f>0.348*(10^9)</f>
        <v>348000000</v>
      </c>
      <c r="I25" s="4">
        <f t="shared" si="1"/>
        <v>171903000000</v>
      </c>
      <c r="J25" s="4">
        <f>142.531*(10^9)</f>
        <v>142531000000</v>
      </c>
      <c r="K25" s="4">
        <f>128.73*(10^9)</f>
        <v>128729999999.99998</v>
      </c>
      <c r="L25" s="4">
        <f>395.571*(10^9)</f>
        <v>395571000000</v>
      </c>
      <c r="M25" s="5">
        <f t="shared" si="0"/>
        <v>0.30567893866142465</v>
      </c>
      <c r="N25" s="6">
        <v>25.126648323814099</v>
      </c>
      <c r="O25" s="3">
        <v>55.266666666666666</v>
      </c>
      <c r="P25" s="8">
        <v>42.448399999999999</v>
      </c>
      <c r="Q25" s="2">
        <v>6.0273899999999996</v>
      </c>
      <c r="R25" s="7">
        <v>8.199999999999999E-2</v>
      </c>
      <c r="S25" s="4">
        <f>3228.8*(10^9)</f>
        <v>3228800000000</v>
      </c>
    </row>
    <row r="26" spans="1:19" s="4" customFormat="1" x14ac:dyDescent="0.35">
      <c r="A26" t="s">
        <v>25</v>
      </c>
      <c r="B26" s="4">
        <f>1820.487*(10^9)</f>
        <v>1820487000000</v>
      </c>
      <c r="C26" s="4">
        <f>5893.276*(10^9)</f>
        <v>5893276000000</v>
      </c>
      <c r="D26" s="4">
        <v>277477000000</v>
      </c>
      <c r="E26" s="4">
        <f>704.475*(10^9)</f>
        <v>704475000000</v>
      </c>
      <c r="F26" s="4">
        <f>80.441*(10^9)</f>
        <v>80441000000</v>
      </c>
      <c r="G26" s="4">
        <f>209.504*(10^9)</f>
        <v>209504000000</v>
      </c>
      <c r="H26" s="4">
        <f>14.693*(10^9)</f>
        <v>14693000000</v>
      </c>
      <c r="I26" s="4">
        <f t="shared" si="1"/>
        <v>186596000000</v>
      </c>
      <c r="J26" s="4">
        <f>143.588*(10^9)</f>
        <v>143588000000</v>
      </c>
      <c r="K26" s="4">
        <f>138.938*(10^9)</f>
        <v>138938000000</v>
      </c>
      <c r="L26" s="4">
        <f>401.291*(10^9)</f>
        <v>401291000000</v>
      </c>
      <c r="M26" s="5">
        <f t="shared" si="0"/>
        <v>0.30890917038333177</v>
      </c>
      <c r="N26" s="6">
        <v>25.393012779877299</v>
      </c>
      <c r="O26" s="3">
        <v>55.9</v>
      </c>
      <c r="P26" s="8">
        <v>43.535899999999998</v>
      </c>
      <c r="Q26" s="2">
        <v>6.7853899999999996</v>
      </c>
      <c r="R26" s="7">
        <v>7.5999999999999998E-2</v>
      </c>
      <c r="S26" s="4">
        <f>3329.7*(10^9)</f>
        <v>3329700000000</v>
      </c>
    </row>
    <row r="27" spans="1:19" s="4" customFormat="1" x14ac:dyDescent="0.35">
      <c r="A27" t="s">
        <v>26</v>
      </c>
      <c r="B27" s="4">
        <f>1852.332*(10^9)</f>
        <v>1852332000000</v>
      </c>
      <c r="C27" s="4">
        <f>5936.515*(10^9)</f>
        <v>5936515000000</v>
      </c>
      <c r="D27" s="4">
        <v>282385000000</v>
      </c>
      <c r="E27" s="4">
        <f>732.358*(10^9)</f>
        <v>732358000000</v>
      </c>
      <c r="F27" s="4">
        <f>84.847*(10^9)</f>
        <v>84847000000</v>
      </c>
      <c r="G27" s="4">
        <f>215.008*(10^9)</f>
        <v>215008000000</v>
      </c>
      <c r="H27" s="4">
        <f>22.448*(10^9)</f>
        <v>22448000000</v>
      </c>
      <c r="I27" s="4">
        <f t="shared" si="1"/>
        <v>209044000000</v>
      </c>
      <c r="J27" s="4">
        <f>146.621*(10^9)</f>
        <v>146621000000</v>
      </c>
      <c r="K27" s="4">
        <f>147.116*(10^9)</f>
        <v>147116000000</v>
      </c>
      <c r="L27" s="4">
        <f>400.985*(10^9)</f>
        <v>400985000000</v>
      </c>
      <c r="M27" s="5">
        <f t="shared" si="0"/>
        <v>0.31202346831432248</v>
      </c>
      <c r="N27" s="6">
        <v>25.593654330176498</v>
      </c>
      <c r="O27" s="3">
        <v>56.4</v>
      </c>
      <c r="P27" s="8">
        <v>43.991799999999998</v>
      </c>
      <c r="Q27" s="2">
        <v>6.9271599999999998</v>
      </c>
      <c r="R27" s="7">
        <v>7.5999999999999998E-2</v>
      </c>
      <c r="S27" s="4">
        <f>3388.6*(10^9)</f>
        <v>3388600000000</v>
      </c>
    </row>
    <row r="28" spans="1:19" s="4" customFormat="1" x14ac:dyDescent="0.35">
      <c r="A28" t="s">
        <v>27</v>
      </c>
      <c r="B28" s="4">
        <f>1886.558*(10^9)</f>
        <v>1886558000000</v>
      </c>
      <c r="C28" s="4">
        <f>5969.089*(10^9)</f>
        <v>5969089000000</v>
      </c>
      <c r="D28" s="4">
        <v>289701500000</v>
      </c>
      <c r="E28" s="4">
        <f>734.91*(10^9)</f>
        <v>734910000000</v>
      </c>
      <c r="F28" s="4">
        <f>84.874*(10^9)</f>
        <v>84874000000</v>
      </c>
      <c r="G28" s="4">
        <f>222.627*(10^9)</f>
        <v>222627000000</v>
      </c>
      <c r="H28" s="4">
        <f>20.807*(10^9)</f>
        <v>20807000000</v>
      </c>
      <c r="I28" s="4">
        <f t="shared" si="1"/>
        <v>229851000000</v>
      </c>
      <c r="J28" s="4">
        <f>151.775*(10^9)</f>
        <v>151775000000</v>
      </c>
      <c r="K28" s="4">
        <f>155.848*(10^9)</f>
        <v>155848000000</v>
      </c>
      <c r="L28" s="4">
        <f>403.517*(10^9)</f>
        <v>403517000000</v>
      </c>
      <c r="M28" s="5">
        <f t="shared" si="0"/>
        <v>0.31605459392547169</v>
      </c>
      <c r="N28" s="6">
        <v>25.9962902222092</v>
      </c>
      <c r="O28" s="3">
        <v>57.3</v>
      </c>
      <c r="P28" s="8">
        <v>44.677500000000002</v>
      </c>
      <c r="Q28" s="2">
        <v>7.1305699999999996</v>
      </c>
      <c r="R28" s="7">
        <v>7.5999999999999998E-2</v>
      </c>
      <c r="S28" s="4">
        <f>3476.4*(10^9)</f>
        <v>3476400000000</v>
      </c>
    </row>
    <row r="29" spans="1:19" s="4" customFormat="1" x14ac:dyDescent="0.35">
      <c r="A29" t="s">
        <v>28</v>
      </c>
      <c r="B29" s="4">
        <f>1934.273*(10^9)</f>
        <v>1934273000000</v>
      </c>
      <c r="C29" s="4">
        <f>6012.356*(10^9)</f>
        <v>6012356000000</v>
      </c>
      <c r="D29" s="4">
        <v>298102000000</v>
      </c>
      <c r="E29" s="4">
        <f>740.408*(10^9)</f>
        <v>740408000000</v>
      </c>
      <c r="F29" s="4">
        <f>96.888*(10^9)</f>
        <v>96888000000</v>
      </c>
      <c r="G29" s="4">
        <f>230.244*(10^9)</f>
        <v>230244000000</v>
      </c>
      <c r="H29" s="4">
        <f>10.518*(10^9)</f>
        <v>10518000000</v>
      </c>
      <c r="I29" s="4">
        <f t="shared" si="1"/>
        <v>240369000000</v>
      </c>
      <c r="J29" s="4">
        <f>156.076*(10^9)</f>
        <v>156076000000</v>
      </c>
      <c r="K29" s="4">
        <f>162.68*(10^9)</f>
        <v>162680000000</v>
      </c>
      <c r="L29" s="4">
        <f>410.818*(10^9)</f>
        <v>410818000000</v>
      </c>
      <c r="M29" s="5">
        <f t="shared" si="0"/>
        <v>0.3217163122077269</v>
      </c>
      <c r="N29" s="6">
        <v>26.4018303910395</v>
      </c>
      <c r="O29" s="3">
        <v>58.133333333333333</v>
      </c>
      <c r="P29" s="8">
        <v>45.835700000000003</v>
      </c>
      <c r="Q29" s="2">
        <v>7.0364599999999999</v>
      </c>
      <c r="R29" s="7">
        <v>7.8E-2</v>
      </c>
      <c r="S29" s="4">
        <f>3577.3*(10^9)</f>
        <v>3577300000000</v>
      </c>
    </row>
    <row r="30" spans="1:19" s="4" customFormat="1" x14ac:dyDescent="0.35">
      <c r="A30" t="s">
        <v>29</v>
      </c>
      <c r="B30" s="4">
        <f>1988.648*(10^9)</f>
        <v>1988648000000</v>
      </c>
      <c r="C30" s="4">
        <f>6083.391*(10^9)</f>
        <v>6083391000000</v>
      </c>
      <c r="D30" s="4">
        <v>307053000000</v>
      </c>
      <c r="E30" s="4">
        <f>774.711*(10^9)</f>
        <v>774711000000</v>
      </c>
      <c r="F30" s="4">
        <f>102.213*(10^9)</f>
        <v>102213000000</v>
      </c>
      <c r="G30" s="4">
        <f>243.278*(10^9)</f>
        <v>243278000000</v>
      </c>
      <c r="H30" s="4">
        <f>14.822*(10^9)</f>
        <v>14822000000</v>
      </c>
      <c r="I30" s="4">
        <f t="shared" si="1"/>
        <v>255191000000</v>
      </c>
      <c r="J30" s="4">
        <f>155.354*(10^9)</f>
        <v>155354000000</v>
      </c>
      <c r="K30" s="4">
        <f>176.433*(10^9)</f>
        <v>176433000000</v>
      </c>
      <c r="L30" s="4">
        <f>421.202*(10^9)</f>
        <v>421202000000</v>
      </c>
      <c r="M30" s="5">
        <f t="shared" si="0"/>
        <v>0.32689794228251973</v>
      </c>
      <c r="N30" s="6">
        <v>26.913860308238899</v>
      </c>
      <c r="O30" s="3">
        <v>59.2</v>
      </c>
      <c r="P30" s="8">
        <v>46.835599999999999</v>
      </c>
      <c r="Q30" s="2">
        <v>7.07639</v>
      </c>
      <c r="R30" s="7">
        <v>7.400000000000001E-2</v>
      </c>
      <c r="S30" s="4">
        <f>3684.6*(10^9)</f>
        <v>3684600000000</v>
      </c>
    </row>
    <row r="31" spans="1:19" s="4" customFormat="1" x14ac:dyDescent="0.35">
      <c r="A31" t="s">
        <v>30</v>
      </c>
      <c r="B31" s="4">
        <f>2055.909*(10^9)</f>
        <v>2055909000000</v>
      </c>
      <c r="C31" s="4">
        <f>6201.659*(10^9)</f>
        <v>6201659000000</v>
      </c>
      <c r="D31" s="4">
        <v>313995000000</v>
      </c>
      <c r="E31" s="4">
        <f>830.251*(10^9)</f>
        <v>830251000000</v>
      </c>
      <c r="F31" s="4">
        <f>116.485*(10^9)</f>
        <v>116485000000</v>
      </c>
      <c r="G31" s="4">
        <f>253.749*(10^9)</f>
        <v>253749000000</v>
      </c>
      <c r="H31" s="4">
        <f>19.469*(10^9)</f>
        <v>19469000000</v>
      </c>
      <c r="I31" s="4">
        <f t="shared" si="1"/>
        <v>274660000000</v>
      </c>
      <c r="J31" s="4">
        <f>161.906*(10^9)</f>
        <v>161906000000</v>
      </c>
      <c r="K31" s="4">
        <f>183.042*(10^9)</f>
        <v>183042000000</v>
      </c>
      <c r="L31" s="4">
        <f>431.362*(10^9)</f>
        <v>431362000000</v>
      </c>
      <c r="M31" s="5">
        <f t="shared" si="0"/>
        <v>0.3315095202751393</v>
      </c>
      <c r="N31" s="6">
        <v>27.431540254369001</v>
      </c>
      <c r="O31" s="3">
        <v>60.233333333333334</v>
      </c>
      <c r="P31" s="8">
        <v>48.019599999999997</v>
      </c>
      <c r="Q31" s="2">
        <v>6.9184900000000003</v>
      </c>
      <c r="R31" s="7">
        <v>7.2000000000000008E-2</v>
      </c>
      <c r="S31" s="4">
        <f>3768*(10^9)</f>
        <v>3768000000000</v>
      </c>
    </row>
    <row r="32" spans="1:19" s="4" customFormat="1" x14ac:dyDescent="0.35">
      <c r="A32" t="s">
        <v>31</v>
      </c>
      <c r="B32" s="4">
        <f>2118.473*(10^9)</f>
        <v>2118473000000</v>
      </c>
      <c r="C32" s="4">
        <f>6313.559*(10^9)</f>
        <v>6313559000000</v>
      </c>
      <c r="D32" s="4">
        <v>321726250000</v>
      </c>
      <c r="E32" s="4">
        <f>872.264*(10^9)</f>
        <v>872264000000</v>
      </c>
      <c r="F32" s="4">
        <f>119.982*(10^9)</f>
        <v>119982000000</v>
      </c>
      <c r="G32" s="4">
        <f>263.268*(10^9)</f>
        <v>263267999999.99997</v>
      </c>
      <c r="H32" s="4">
        <f>30.884*(10^9)</f>
        <v>30884000000</v>
      </c>
      <c r="I32" s="4">
        <f t="shared" si="1"/>
        <v>305544000000</v>
      </c>
      <c r="J32" s="4">
        <f>162.325*(10^9)</f>
        <v>162325000000</v>
      </c>
      <c r="K32" s="4">
        <f>182.904*(10^9)</f>
        <v>182904000000</v>
      </c>
      <c r="L32" s="4">
        <f>438.014*(10^9)</f>
        <v>438014000000</v>
      </c>
      <c r="M32" s="5">
        <f t="shared" si="0"/>
        <v>0.33554339161160923</v>
      </c>
      <c r="N32" s="6">
        <v>27.8664856809132</v>
      </c>
      <c r="O32" s="3">
        <v>61.06666666666667</v>
      </c>
      <c r="P32" s="8">
        <v>48.330800000000004</v>
      </c>
      <c r="Q32" s="2">
        <v>6.8729199999999997</v>
      </c>
      <c r="R32" s="7">
        <v>6.8000000000000005E-2</v>
      </c>
      <c r="S32" s="4">
        <f>3860.7*(10^9)</f>
        <v>3860700000000</v>
      </c>
    </row>
    <row r="33" spans="1:19" s="4" customFormat="1" x14ac:dyDescent="0.35">
      <c r="A33" t="s">
        <v>32</v>
      </c>
      <c r="B33" s="4">
        <f>2164.27*(10^9)</f>
        <v>2164270000000</v>
      </c>
      <c r="C33" s="4">
        <f>6313.697*(10^9)</f>
        <v>6313697000000</v>
      </c>
      <c r="D33" s="4">
        <v>331201000000</v>
      </c>
      <c r="E33" s="4">
        <f>850.383*(10^9)</f>
        <v>850383000000</v>
      </c>
      <c r="F33" s="4">
        <f>122.235*(10^9)</f>
        <v>122235000000</v>
      </c>
      <c r="G33" s="4">
        <f>275.943*(10^9)</f>
        <v>275943000000</v>
      </c>
      <c r="H33" s="4">
        <f>24.121*(10^9)</f>
        <v>24121000000</v>
      </c>
      <c r="I33" s="4">
        <f t="shared" si="1"/>
        <v>329665000000</v>
      </c>
      <c r="J33" s="4">
        <f>157.809*(10^9)</f>
        <v>157809000000</v>
      </c>
      <c r="K33" s="4">
        <f>187.391*(10^9)</f>
        <v>187391000000</v>
      </c>
      <c r="L33" s="4">
        <f>446.749*(10^9)</f>
        <v>446749000000</v>
      </c>
      <c r="M33" s="5">
        <f t="shared" si="0"/>
        <v>0.34278965240175446</v>
      </c>
      <c r="N33" s="6">
        <v>28.2668376611919</v>
      </c>
      <c r="O33" s="3">
        <v>61.966666666666669</v>
      </c>
      <c r="P33" s="8">
        <v>48.564</v>
      </c>
      <c r="Q33" s="2">
        <v>6.6152800000000003</v>
      </c>
      <c r="R33" s="7">
        <v>6.4000000000000001E-2</v>
      </c>
      <c r="S33" s="4">
        <f>3974.4*(10^9)</f>
        <v>3974400000000</v>
      </c>
    </row>
    <row r="34" spans="1:19" s="4" customFormat="1" x14ac:dyDescent="0.35">
      <c r="A34" t="s">
        <v>33</v>
      </c>
      <c r="B34" s="4">
        <f>2202.76*(10^9)</f>
        <v>2202760000000</v>
      </c>
      <c r="C34" s="4">
        <f>6333.848*(10^9)</f>
        <v>6333848000000</v>
      </c>
      <c r="D34" s="4">
        <v>338513250000</v>
      </c>
      <c r="E34" s="4">
        <f>866.957*(10^9)</f>
        <v>866957000000</v>
      </c>
      <c r="F34" s="4">
        <f>126.921*(10^9)</f>
        <v>126921000000</v>
      </c>
      <c r="G34" s="4">
        <f>282.424*(10^9)</f>
        <v>282424000000</v>
      </c>
      <c r="H34" s="4">
        <f>25.453*(10^9)</f>
        <v>25453000000</v>
      </c>
      <c r="I34" s="4">
        <f t="shared" si="1"/>
        <v>355118000000</v>
      </c>
      <c r="J34" s="4">
        <f>164.601*(10^9)</f>
        <v>164601000000</v>
      </c>
      <c r="K34" s="4">
        <f>203.282*(10^9)</f>
        <v>203282000000</v>
      </c>
      <c r="L34" s="4">
        <f>452.589*(10^9)</f>
        <v>452589000000</v>
      </c>
      <c r="M34" s="5">
        <f t="shared" si="0"/>
        <v>0.34777594915444765</v>
      </c>
      <c r="N34" s="6">
        <v>28.740781723351901</v>
      </c>
      <c r="O34" s="3">
        <v>63.033333333333331</v>
      </c>
      <c r="P34" s="8">
        <v>49.055300000000003</v>
      </c>
      <c r="Q34" s="2">
        <v>6.3476800000000004</v>
      </c>
      <c r="R34" s="7">
        <v>6.3E-2</v>
      </c>
      <c r="S34" s="4">
        <f>4062.1*(10^9)</f>
        <v>4062100000000</v>
      </c>
    </row>
    <row r="35" spans="1:19" s="4" customFormat="1" x14ac:dyDescent="0.35">
      <c r="A35" t="s">
        <v>34</v>
      </c>
      <c r="B35" s="4">
        <f>2331.633*(10^9)</f>
        <v>2331633000000</v>
      </c>
      <c r="C35" s="4">
        <f>6578.605*(10^9)</f>
        <v>6578605000000</v>
      </c>
      <c r="D35" s="4">
        <v>352846250000</v>
      </c>
      <c r="E35" s="4">
        <f>923.266*(10^9)</f>
        <v>923266000000</v>
      </c>
      <c r="F35" s="4">
        <f>136.976*(10^9)</f>
        <v>136976000000</v>
      </c>
      <c r="G35" s="4">
        <f>309.351*(10^9)</f>
        <v>309351000000</v>
      </c>
      <c r="H35" s="4">
        <f>24.257*(10^9)</f>
        <v>24257000000</v>
      </c>
      <c r="I35" s="4">
        <f t="shared" si="1"/>
        <v>379375000000</v>
      </c>
      <c r="J35" s="4">
        <f>186.215*(10^9)</f>
        <v>186215000000</v>
      </c>
      <c r="K35" s="4">
        <f>208.84*(10^9)</f>
        <v>208840000000</v>
      </c>
      <c r="L35" s="4">
        <f>472.288*(10^9)</f>
        <v>472288000000</v>
      </c>
      <c r="M35" s="5">
        <f t="shared" si="0"/>
        <v>0.35442666036340531</v>
      </c>
      <c r="N35" s="6">
        <v>29.357824659238201</v>
      </c>
      <c r="O35" s="3">
        <v>64.466666666666669</v>
      </c>
      <c r="P35" s="8">
        <v>50.593899999999998</v>
      </c>
      <c r="Q35" s="2">
        <v>6.8713300000000004</v>
      </c>
      <c r="R35" s="7">
        <v>5.9000000000000004E-2</v>
      </c>
      <c r="S35" s="4">
        <f>4234.2*(10^9)</f>
        <v>4234200000000</v>
      </c>
    </row>
    <row r="36" spans="1:19" s="4" customFormat="1" x14ac:dyDescent="0.35">
      <c r="A36" t="s">
        <v>35</v>
      </c>
      <c r="B36" s="4">
        <f>2395.053*(10^9)</f>
        <v>2395053000000</v>
      </c>
      <c r="C36" s="4">
        <f>6644.754*(10^9)</f>
        <v>6644754000000</v>
      </c>
      <c r="D36" s="4">
        <v>360554250000</v>
      </c>
      <c r="E36" s="4">
        <f>950.166*(10^9)</f>
        <v>950166000000</v>
      </c>
      <c r="F36" s="4">
        <f>142.302*(10^9)</f>
        <v>142302000000</v>
      </c>
      <c r="G36" s="4">
        <f>325.1*(10^9)</f>
        <v>325100000000</v>
      </c>
      <c r="H36" s="4">
        <f>24.966*(10^9)</f>
        <v>24966000000</v>
      </c>
      <c r="I36" s="4">
        <f t="shared" si="1"/>
        <v>404341000000</v>
      </c>
      <c r="J36" s="4">
        <f>191.302*(10^9)</f>
        <v>191302000000</v>
      </c>
      <c r="K36" s="4">
        <f>215.062*(10^9)</f>
        <v>215062000000</v>
      </c>
      <c r="L36" s="4">
        <f>484.229*(10^9)</f>
        <v>484229000000</v>
      </c>
      <c r="M36" s="5">
        <f t="shared" si="0"/>
        <v>0.36044268907471971</v>
      </c>
      <c r="N36" s="6">
        <v>29.8808601615012</v>
      </c>
      <c r="O36" s="3">
        <v>65.966666666666669</v>
      </c>
      <c r="P36" s="8">
        <v>50.885599999999997</v>
      </c>
      <c r="Q36" s="2">
        <v>7.3254700000000001</v>
      </c>
      <c r="R36" s="7">
        <v>0.06</v>
      </c>
      <c r="S36" s="4">
        <f>4326.7*(10^9)</f>
        <v>4326700000000</v>
      </c>
    </row>
    <row r="37" spans="1:19" s="4" customFormat="1" x14ac:dyDescent="0.35">
      <c r="A37" t="s">
        <v>36</v>
      </c>
      <c r="B37" s="4">
        <f>2476.949*(10^9)</f>
        <v>2476949000000</v>
      </c>
      <c r="C37" s="4">
        <f>6734.069*(10^9)</f>
        <v>6734069000000</v>
      </c>
      <c r="D37" s="4">
        <v>370338500000</v>
      </c>
      <c r="E37" s="4">
        <f>972.139*(10^9)</f>
        <v>972139000000</v>
      </c>
      <c r="F37" s="4">
        <f>145.84*(10^9)</f>
        <v>145840000000</v>
      </c>
      <c r="G37" s="4">
        <f>341.428*(10^9)</f>
        <v>341428000000</v>
      </c>
      <c r="H37" s="4">
        <f>28.487*(10^9)</f>
        <v>28487000000</v>
      </c>
      <c r="I37" s="4">
        <f t="shared" si="1"/>
        <v>432828000000</v>
      </c>
      <c r="J37" s="4">
        <f>205.415*(10^9)</f>
        <v>205415000000</v>
      </c>
      <c r="K37" s="4">
        <f>221.815*(10^9)</f>
        <v>221815000000</v>
      </c>
      <c r="L37" s="4">
        <f>496.241*(10^9)</f>
        <v>496241000000</v>
      </c>
      <c r="M37" s="5">
        <f t="shared" si="0"/>
        <v>0.3678235254197722</v>
      </c>
      <c r="N37" s="6">
        <v>30.452611785747798</v>
      </c>
      <c r="O37" s="3">
        <v>67.5</v>
      </c>
      <c r="P37" s="8">
        <v>51.940399999999997</v>
      </c>
      <c r="Q37" s="2">
        <v>6.9460499999999996</v>
      </c>
      <c r="R37" s="7">
        <v>0.06</v>
      </c>
      <c r="S37" s="4">
        <f>4444*(10^9)</f>
        <v>4444000000000</v>
      </c>
    </row>
    <row r="38" spans="1:19" s="4" customFormat="1" x14ac:dyDescent="0.35">
      <c r="A38" t="s">
        <v>37</v>
      </c>
      <c r="B38" s="4">
        <f>2526.61*(10^9)</f>
        <v>2526610000000</v>
      </c>
      <c r="C38" s="4">
        <f>6746.176*(10^9)</f>
        <v>6746176000000</v>
      </c>
      <c r="D38" s="4">
        <v>379285250000</v>
      </c>
      <c r="E38" s="4">
        <f>973.754*(10^9)</f>
        <v>973754000000</v>
      </c>
      <c r="F38" s="4">
        <f>145.262*(10^9)</f>
        <v>145262000000</v>
      </c>
      <c r="G38" s="4">
        <f>356.695*(10^9)</f>
        <v>356695000000</v>
      </c>
      <c r="H38" s="4">
        <f>23.852*(10^9)</f>
        <v>23852000000</v>
      </c>
      <c r="I38" s="4">
        <f t="shared" si="1"/>
        <v>456680000000</v>
      </c>
      <c r="J38" s="4">
        <f>211.669*(10^9)</f>
        <v>211669000000</v>
      </c>
      <c r="K38" s="4">
        <f>229.828*(10^9)</f>
        <v>229828000000</v>
      </c>
      <c r="L38" s="4">
        <f>501.818*(10^9)</f>
        <v>501818000000</v>
      </c>
      <c r="M38" s="5">
        <f t="shared" si="0"/>
        <v>0.37452476780920035</v>
      </c>
      <c r="N38" s="6">
        <v>31.0407877115411</v>
      </c>
      <c r="O38" s="3">
        <v>69.2</v>
      </c>
      <c r="P38" s="8">
        <v>52.066699999999997</v>
      </c>
      <c r="Q38" s="2">
        <v>7.1257000000000001</v>
      </c>
      <c r="R38" s="7">
        <v>5.7999999999999996E-2</v>
      </c>
      <c r="S38" s="4">
        <f>4551.4*(10^9)</f>
        <v>4551400000000</v>
      </c>
    </row>
    <row r="39" spans="1:19" s="4" customFormat="1" x14ac:dyDescent="0.35">
      <c r="A39" t="s">
        <v>38</v>
      </c>
      <c r="B39" s="4">
        <f>2591.247*(10^9)</f>
        <v>2591247000000</v>
      </c>
      <c r="C39" s="4">
        <f>6753.389*(10^9)</f>
        <v>6753389000000</v>
      </c>
      <c r="D39" s="4">
        <v>389408750000</v>
      </c>
      <c r="E39" s="4">
        <f>972.877*(10^9)</f>
        <v>972877000000</v>
      </c>
      <c r="F39" s="4">
        <f>147.625*(10^9)</f>
        <v>147625000000</v>
      </c>
      <c r="G39" s="4">
        <f>364.268*(10^9)</f>
        <v>364268000000</v>
      </c>
      <c r="H39" s="4">
        <f>27.401*(10^9)</f>
        <v>27401000000</v>
      </c>
      <c r="I39" s="4">
        <f t="shared" si="1"/>
        <v>484081000000</v>
      </c>
      <c r="J39" s="4">
        <f>220.908*(10^9)</f>
        <v>220908000000</v>
      </c>
      <c r="K39" s="4">
        <f>243.097*(10^9)</f>
        <v>243097000000</v>
      </c>
      <c r="L39" s="4">
        <f>516.508*(10^9)</f>
        <v>516508000000.00006</v>
      </c>
      <c r="M39" s="5">
        <f t="shared" si="0"/>
        <v>0.38369580073056653</v>
      </c>
      <c r="N39" s="6">
        <v>31.940318074522899</v>
      </c>
      <c r="O39" s="3">
        <v>71.400000000000006</v>
      </c>
      <c r="P39" s="8">
        <v>51.906700000000001</v>
      </c>
      <c r="Q39" s="2">
        <v>7.3084600000000002</v>
      </c>
      <c r="R39" s="7">
        <v>5.7000000000000002E-2</v>
      </c>
      <c r="S39" s="4">
        <f>4672.9*(10^9)</f>
        <v>4672900000000</v>
      </c>
    </row>
    <row r="40" spans="1:19" s="4" customFormat="1" x14ac:dyDescent="0.35">
      <c r="A40" t="s">
        <v>39</v>
      </c>
      <c r="B40" s="4">
        <f>2667.565*(10^9)</f>
        <v>2667565000000</v>
      </c>
      <c r="C40" s="4">
        <f>6803.558*(10^9)</f>
        <v>6803558000000</v>
      </c>
      <c r="D40" s="4">
        <v>402966750000</v>
      </c>
      <c r="E40" s="4">
        <f>956.493*(10^9)</f>
        <v>956493000000</v>
      </c>
      <c r="F40" s="4">
        <f>150.488*(10^9)</f>
        <v>150488000000</v>
      </c>
      <c r="G40" s="4">
        <f>383.003*(10^9)</f>
        <v>383003000000</v>
      </c>
      <c r="H40" s="4">
        <f>12.131*(10^9)</f>
        <v>12131000000</v>
      </c>
      <c r="I40" s="4">
        <f t="shared" si="1"/>
        <v>496212000000</v>
      </c>
      <c r="J40" s="4">
        <f>234.277*(10^9)</f>
        <v>234277000000</v>
      </c>
      <c r="K40" s="4">
        <f>257.306*(10^9)</f>
        <v>257305999999.99997</v>
      </c>
      <c r="L40" s="4">
        <f>533.106*(10^9)</f>
        <v>533106000000</v>
      </c>
      <c r="M40" s="5">
        <f t="shared" si="0"/>
        <v>0.39208381849614571</v>
      </c>
      <c r="N40" s="6">
        <v>32.8048115606355</v>
      </c>
      <c r="O40" s="3">
        <v>73.7</v>
      </c>
      <c r="P40" s="8">
        <v>51.484699999999997</v>
      </c>
      <c r="Q40" s="2">
        <v>7.7414199999999997</v>
      </c>
      <c r="R40" s="7">
        <v>5.9000000000000004E-2</v>
      </c>
      <c r="S40" s="4">
        <f>4835.6*(10^9)</f>
        <v>4835600000000</v>
      </c>
    </row>
    <row r="41" spans="1:19" s="4" customFormat="1" x14ac:dyDescent="0.35">
      <c r="A41" t="s">
        <v>40</v>
      </c>
      <c r="B41" s="4">
        <f>2723.883*(10^9)</f>
        <v>2723883000000</v>
      </c>
      <c r="C41" s="4">
        <f>6820.572*(10^9)</f>
        <v>6820572000000</v>
      </c>
      <c r="D41" s="4">
        <v>413758750000</v>
      </c>
      <c r="E41" s="4">
        <f>939.526*(10^9)</f>
        <v>939526000000</v>
      </c>
      <c r="F41" s="4">
        <f>147.99*(10^9)</f>
        <v>147990000000</v>
      </c>
      <c r="G41" s="4">
        <f>391.332*(10^9)</f>
        <v>391332000000</v>
      </c>
      <c r="H41" s="4">
        <f>8.553*(10^9)</f>
        <v>8553000000.000001</v>
      </c>
      <c r="I41" s="4">
        <f t="shared" si="1"/>
        <v>504765000000</v>
      </c>
      <c r="J41" s="4">
        <f>253.664*(10^9)</f>
        <v>253664000000</v>
      </c>
      <c r="K41" s="4">
        <f>280.466*(10^9)</f>
        <v>280466000000</v>
      </c>
      <c r="L41" s="4">
        <f>547.775*(10^9)</f>
        <v>547775000000</v>
      </c>
      <c r="M41" s="5">
        <f t="shared" si="0"/>
        <v>0.39936283936303291</v>
      </c>
      <c r="N41" s="6">
        <v>33.632643024057401</v>
      </c>
      <c r="O41" s="3">
        <v>76.033333333333331</v>
      </c>
      <c r="P41" s="8">
        <v>51.797400000000003</v>
      </c>
      <c r="Q41" s="2">
        <v>7.6806999999999999</v>
      </c>
      <c r="R41" s="7">
        <v>0.06</v>
      </c>
      <c r="S41" s="4">
        <f>4965.2*(10^9)</f>
        <v>4965200000000</v>
      </c>
    </row>
    <row r="42" spans="1:19" s="4" customFormat="1" x14ac:dyDescent="0.35">
      <c r="A42" t="s">
        <v>41</v>
      </c>
      <c r="B42" s="4">
        <f>2789.842*(10^9)</f>
        <v>2789842000000</v>
      </c>
      <c r="C42" s="4">
        <f>6842.024*(10^9)</f>
        <v>6842024000000</v>
      </c>
      <c r="D42" s="4">
        <v>425575500000</v>
      </c>
      <c r="E42" s="4">
        <f>933.101*(10^9)</f>
        <v>933101000000</v>
      </c>
      <c r="F42" s="4">
        <f>140.171*(10^9)</f>
        <v>140171000000</v>
      </c>
      <c r="G42" s="4">
        <f>404.492*(10^9)</f>
        <v>404492000000</v>
      </c>
      <c r="H42" s="4">
        <f>9.899*(10^9)</f>
        <v>9899000000</v>
      </c>
      <c r="I42" s="4">
        <f t="shared" si="1"/>
        <v>514664000000</v>
      </c>
      <c r="J42" s="4">
        <f>268.508*(10^9)</f>
        <v>268507999999.99997</v>
      </c>
      <c r="K42" s="4">
        <f>304.311*(10^9)</f>
        <v>304311000000</v>
      </c>
      <c r="L42" s="4">
        <f>568.781*(10^9)</f>
        <v>568781000000</v>
      </c>
      <c r="M42" s="5">
        <f t="shared" si="0"/>
        <v>0.40775098128857779</v>
      </c>
      <c r="N42" s="6">
        <v>34.645168840373302</v>
      </c>
      <c r="O42" s="3">
        <v>79.033333333333331</v>
      </c>
      <c r="P42" s="8">
        <v>51.868699999999997</v>
      </c>
      <c r="Q42" s="2">
        <v>8.0826499999999992</v>
      </c>
      <c r="R42" s="7">
        <v>6.3E-2</v>
      </c>
      <c r="S42" s="4">
        <f>5106.9*(10^9)</f>
        <v>5106900000000</v>
      </c>
    </row>
    <row r="43" spans="1:19" s="4" customFormat="1" x14ac:dyDescent="0.35">
      <c r="A43" t="s">
        <v>42</v>
      </c>
      <c r="B43" s="4">
        <f>2797.352*(10^9)</f>
        <v>2797352000000</v>
      </c>
      <c r="C43" s="4">
        <f>6701.046*(10^9)</f>
        <v>6701046000000</v>
      </c>
      <c r="D43" s="4">
        <v>426180750000</v>
      </c>
      <c r="E43" s="4">
        <f>853.76*(10^9)</f>
        <v>853760000000</v>
      </c>
      <c r="F43" s="4">
        <f>116.864*(10^9)</f>
        <v>116864000000</v>
      </c>
      <c r="G43" s="4">
        <f>394.68*(10^9)</f>
        <v>394680000000</v>
      </c>
      <c r="H43" s="4">
        <f>7.75*(10^9)</f>
        <v>7750000000</v>
      </c>
      <c r="I43" s="4">
        <f t="shared" si="1"/>
        <v>522414000000</v>
      </c>
      <c r="J43" s="4">
        <f>277.389*(10^9)</f>
        <v>277389000000</v>
      </c>
      <c r="K43" s="4">
        <f>292.6*(10^9)</f>
        <v>292600000000</v>
      </c>
      <c r="L43" s="4">
        <f>588.547*(10^9)</f>
        <v>588547000000</v>
      </c>
      <c r="M43" s="5">
        <f t="shared" si="0"/>
        <v>0.4174500518277296</v>
      </c>
      <c r="N43" s="6">
        <v>35.497976344373598</v>
      </c>
      <c r="O43" s="3">
        <v>81.7</v>
      </c>
      <c r="P43" s="8">
        <v>48.9621</v>
      </c>
      <c r="Q43" s="2">
        <v>7.9038500000000003</v>
      </c>
      <c r="R43" s="7">
        <v>7.5999999999999998E-2</v>
      </c>
      <c r="S43" s="4">
        <f>5114.1*(10^9)</f>
        <v>5114100000000</v>
      </c>
    </row>
    <row r="44" spans="1:19" s="4" customFormat="1" x14ac:dyDescent="0.35">
      <c r="A44" t="s">
        <v>43</v>
      </c>
      <c r="B44" s="4">
        <f>2856.483*(10^9)</f>
        <v>2856483000000</v>
      </c>
      <c r="C44" s="4">
        <f>6693.082*(10^9)</f>
        <v>6693082000000</v>
      </c>
      <c r="D44" s="4">
        <v>440942750000</v>
      </c>
      <c r="E44" s="4">
        <f>797.411*(10^9)</f>
        <v>797411000000</v>
      </c>
      <c r="F44" s="4">
        <f>123.21*(10^9)</f>
        <v>123210000000</v>
      </c>
      <c r="G44" s="4">
        <f>405.717*(10^9)</f>
        <v>405717000000</v>
      </c>
      <c r="H44" s="4">
        <f>-33.855*(10^9)</f>
        <v>-33854999999.999996</v>
      </c>
      <c r="I44" s="4">
        <f t="shared" si="1"/>
        <v>488559000000</v>
      </c>
      <c r="J44" s="4">
        <f>284.673*(10^9)</f>
        <v>284673000000</v>
      </c>
      <c r="K44" s="4">
        <f>279.202*(10^9)</f>
        <v>279202000000</v>
      </c>
      <c r="L44" s="4">
        <f>592.169*(10^9)</f>
        <v>592169000000</v>
      </c>
      <c r="M44" s="5">
        <f t="shared" si="0"/>
        <v>0.42678141400329472</v>
      </c>
      <c r="N44" s="6">
        <v>36.353907521375099</v>
      </c>
      <c r="O44" s="3">
        <v>83.233333333333334</v>
      </c>
      <c r="P44" s="8">
        <v>49.5764</v>
      </c>
      <c r="Q44" s="2">
        <v>9.0673399999999997</v>
      </c>
      <c r="R44" s="7">
        <v>7.4999999999999997E-2</v>
      </c>
      <c r="S44" s="4">
        <f>5291.4*(10^9)</f>
        <v>5291400000000</v>
      </c>
    </row>
    <row r="45" spans="1:19" s="4" customFormat="1" x14ac:dyDescent="0.35">
      <c r="A45" t="s">
        <v>44</v>
      </c>
      <c r="B45" s="4">
        <f>2985.557*(10^9)</f>
        <v>2985557000000</v>
      </c>
      <c r="C45" s="4">
        <f>6817.903*(10^9)</f>
        <v>6817903000000</v>
      </c>
      <c r="D45" s="4">
        <v>457968500000</v>
      </c>
      <c r="E45" s="4">
        <f>871.733*(10^9)</f>
        <v>871733000000</v>
      </c>
      <c r="F45" s="4">
        <f>137.835*(10^9)</f>
        <v>137835000000</v>
      </c>
      <c r="G45" s="4">
        <f>422.755*(10^9)</f>
        <v>422755000000</v>
      </c>
      <c r="H45" s="4">
        <f>-9.118*(10^9)</f>
        <v>-9118000000</v>
      </c>
      <c r="I45" s="4">
        <f t="shared" si="1"/>
        <v>479441000000</v>
      </c>
      <c r="J45" s="4">
        <f>292.517*(10^9)</f>
        <v>292517000000</v>
      </c>
      <c r="K45" s="4">
        <f>299.2*(10^9)</f>
        <v>299200000000</v>
      </c>
      <c r="L45" s="4">
        <f>608.893*(10^9)</f>
        <v>608893000000</v>
      </c>
      <c r="M45" s="5">
        <f t="shared" si="0"/>
        <v>0.43789960050766341</v>
      </c>
      <c r="N45" s="6">
        <v>37.294461498816098</v>
      </c>
      <c r="O45" s="3">
        <v>85.566666666666663</v>
      </c>
      <c r="P45" s="8">
        <v>51.390599999999999</v>
      </c>
      <c r="Q45" s="2">
        <v>9.8119300000000003</v>
      </c>
      <c r="R45" s="7">
        <v>7.2000000000000008E-2</v>
      </c>
      <c r="S45" s="4">
        <f>5495.6*(10^9)</f>
        <v>5495600000000</v>
      </c>
    </row>
    <row r="46" spans="1:19" s="4" customFormat="1" x14ac:dyDescent="0.35">
      <c r="A46" t="s">
        <v>45</v>
      </c>
      <c r="B46" s="4">
        <f>3124.206*(10^9)</f>
        <v>3124206000000</v>
      </c>
      <c r="C46" s="4">
        <f>6951.495*(10^9)</f>
        <v>6951495000000</v>
      </c>
      <c r="D46" s="4">
        <v>471433500000</v>
      </c>
      <c r="E46" s="4">
        <f>952.418*(10^9)</f>
        <v>952418000000</v>
      </c>
      <c r="F46" s="4">
        <f>137.601*(10^9)</f>
        <v>137601000000</v>
      </c>
      <c r="G46" s="4">
        <f>443.025*(10^9)</f>
        <v>443025000000</v>
      </c>
      <c r="H46" s="4">
        <f>38.755*(10^9)</f>
        <v>38755000000</v>
      </c>
      <c r="I46" s="4">
        <f t="shared" si="1"/>
        <v>518196000000</v>
      </c>
      <c r="J46" s="4">
        <f>305.467*(10^9)</f>
        <v>305467000000</v>
      </c>
      <c r="K46" s="4">
        <f>319.726*(10^9)</f>
        <v>319726000000</v>
      </c>
      <c r="L46" s="4">
        <f>633.35*(10^9)</f>
        <v>633350000000</v>
      </c>
      <c r="M46" s="5">
        <f t="shared" si="0"/>
        <v>0.44942936735191497</v>
      </c>
      <c r="N46" s="6">
        <v>38.3357411451952</v>
      </c>
      <c r="O46" s="3">
        <v>87.933333333333337</v>
      </c>
      <c r="P46" s="8">
        <v>51.110700000000001</v>
      </c>
      <c r="Q46" s="2">
        <v>9.6503899999999998</v>
      </c>
      <c r="R46" s="7">
        <v>7.400000000000001E-2</v>
      </c>
      <c r="S46" s="4">
        <f>5657.1*(10^9)</f>
        <v>5657100000000</v>
      </c>
    </row>
    <row r="47" spans="1:19" s="4" customFormat="1" x14ac:dyDescent="0.35">
      <c r="A47" t="s">
        <v>46</v>
      </c>
      <c r="B47" s="4">
        <f>3162.532*(10^9)</f>
        <v>3162532000000</v>
      </c>
      <c r="C47" s="4">
        <f>6899.98*(10^9)</f>
        <v>6899980000000</v>
      </c>
      <c r="D47" s="4">
        <v>479381000000</v>
      </c>
      <c r="E47" s="4">
        <f>912.945*(10^9)</f>
        <v>912945000000</v>
      </c>
      <c r="F47" s="4">
        <f>135.265*(10^9)</f>
        <v>135264999999.99998</v>
      </c>
      <c r="G47" s="4">
        <f>462.864*(10^9)</f>
        <v>462864000000</v>
      </c>
      <c r="H47" s="4">
        <f>11.713*(10^9)</f>
        <v>11713000000</v>
      </c>
      <c r="I47" s="4">
        <f t="shared" si="1"/>
        <v>529909000000</v>
      </c>
      <c r="J47" s="4">
        <f>308.455*(10^9)</f>
        <v>308455000000</v>
      </c>
      <c r="K47" s="4">
        <f>321.963*(10^9)</f>
        <v>321963000000</v>
      </c>
      <c r="L47" s="4">
        <f>648.673*(10^9)</f>
        <v>648673000000</v>
      </c>
      <c r="M47" s="5">
        <f t="shared" si="0"/>
        <v>0.45833929953420155</v>
      </c>
      <c r="N47" s="6">
        <v>38.967107828434699</v>
      </c>
      <c r="O47" s="3">
        <v>89.766666666666666</v>
      </c>
      <c r="P47" s="8">
        <v>51.449599999999997</v>
      </c>
      <c r="Q47" s="2">
        <v>9.8409700000000004</v>
      </c>
      <c r="R47" s="7">
        <v>7.4999999999999997E-2</v>
      </c>
      <c r="S47" s="4">
        <f>5752.7*(10^9)</f>
        <v>5752700000000</v>
      </c>
    </row>
    <row r="48" spans="1:19" s="4" customFormat="1" x14ac:dyDescent="0.35">
      <c r="A48" t="s">
        <v>47</v>
      </c>
      <c r="B48" s="4">
        <f>3260.609*(10^9)</f>
        <v>3260609000000</v>
      </c>
      <c r="C48" s="4">
        <f>6982.609*(10^9)</f>
        <v>6982609000000</v>
      </c>
      <c r="D48" s="4">
        <v>489524750000</v>
      </c>
      <c r="E48" s="4">
        <f>964.401*(10^9)</f>
        <v>964401000000</v>
      </c>
      <c r="F48" s="4">
        <f>126.228*(10^9)</f>
        <v>126228000000</v>
      </c>
      <c r="G48" s="4">
        <f>482.109*(10^9)</f>
        <v>482109000000</v>
      </c>
      <c r="H48" s="4">
        <f>43.96*(10^9)</f>
        <v>43960000000</v>
      </c>
      <c r="I48" s="4">
        <f t="shared" si="1"/>
        <v>573869000000</v>
      </c>
      <c r="J48" s="4">
        <f>302.339*(10^9)</f>
        <v>302339000000</v>
      </c>
      <c r="K48" s="4">
        <f>309.9*(10^9)</f>
        <v>309900000000</v>
      </c>
      <c r="L48" s="4">
        <f>657.774*(10^9)</f>
        <v>657774000000</v>
      </c>
      <c r="M48" s="5">
        <f t="shared" si="0"/>
        <v>0.46696141800292701</v>
      </c>
      <c r="N48" s="6">
        <v>39.618807999797603</v>
      </c>
      <c r="O48" s="3">
        <v>92.266666666666666</v>
      </c>
      <c r="P48" s="8">
        <v>51.460500000000003</v>
      </c>
      <c r="Q48" s="2">
        <v>9.3251100000000005</v>
      </c>
      <c r="R48" s="7">
        <v>7.5999999999999998E-2</v>
      </c>
      <c r="S48" s="4">
        <f>5874.2*(10^9)</f>
        <v>5874200000000</v>
      </c>
    </row>
    <row r="49" spans="1:19" s="4" customFormat="1" x14ac:dyDescent="0.35">
      <c r="A49" t="s">
        <v>48</v>
      </c>
      <c r="B49" s="4">
        <f>3280.818*(10^9)</f>
        <v>3280818000000</v>
      </c>
      <c r="C49" s="4">
        <f>6906.529*(10^9)</f>
        <v>6906529000000</v>
      </c>
      <c r="D49" s="4">
        <v>493611750000</v>
      </c>
      <c r="E49" s="4">
        <f>930.44*(10^9)</f>
        <v>930440000000</v>
      </c>
      <c r="F49" s="4">
        <f>114.834*(10^9)</f>
        <v>114834000000</v>
      </c>
      <c r="G49" s="4">
        <f>503.755*(10^9)</f>
        <v>503755000000</v>
      </c>
      <c r="H49" s="4">
        <f>24.807*(10^9)</f>
        <v>24807000000</v>
      </c>
      <c r="I49" s="4">
        <f t="shared" si="1"/>
        <v>598676000000</v>
      </c>
      <c r="J49" s="4">
        <f>304.695*(10^9)</f>
        <v>304695000000</v>
      </c>
      <c r="K49" s="4">
        <f>319.445*(10^9)</f>
        <v>319445000000</v>
      </c>
      <c r="L49" s="4">
        <f>677.727*(10^9)</f>
        <v>677727000000</v>
      </c>
      <c r="M49" s="5">
        <f t="shared" si="0"/>
        <v>0.47503137972779091</v>
      </c>
      <c r="N49" s="6">
        <v>40.238137263174202</v>
      </c>
      <c r="O49" s="3">
        <v>93.766666666666666</v>
      </c>
      <c r="P49" s="8">
        <v>49.936399999999999</v>
      </c>
      <c r="Q49" s="2">
        <v>9.07395</v>
      </c>
      <c r="R49" s="7">
        <v>8.5000000000000006E-2</v>
      </c>
      <c r="S49" s="4">
        <f>5923.3*(10^9)</f>
        <v>5923300000000</v>
      </c>
    </row>
    <row r="50" spans="1:19" s="4" customFormat="1" x14ac:dyDescent="0.35">
      <c r="A50" t="s">
        <v>49</v>
      </c>
      <c r="B50" s="4">
        <f>3274.302*(10^9)</f>
        <v>3274302000000</v>
      </c>
      <c r="C50" s="4">
        <f>6799.233*(10^9)</f>
        <v>6799233000000</v>
      </c>
      <c r="D50" s="4">
        <v>503538750000</v>
      </c>
      <c r="E50" s="4">
        <f>842.429*(10^9)</f>
        <v>842429000000</v>
      </c>
      <c r="F50" s="4">
        <f>109.701*(10^9)</f>
        <v>109701000000</v>
      </c>
      <c r="G50" s="4">
        <f>500.083*(10^9)</f>
        <v>500083000000</v>
      </c>
      <c r="H50" s="4">
        <f>-21.466*(10^9)</f>
        <v>-21466000000</v>
      </c>
      <c r="I50" s="4">
        <f t="shared" si="1"/>
        <v>577210000000</v>
      </c>
      <c r="J50" s="4">
        <f>293.202*(10^9)</f>
        <v>293202000000</v>
      </c>
      <c r="K50" s="4">
        <f>309.478*(10^9)</f>
        <v>309478000000</v>
      </c>
      <c r="L50" s="4">
        <f>688.104*(10^9)</f>
        <v>688104000000</v>
      </c>
      <c r="M50" s="5">
        <f t="shared" si="0"/>
        <v>0.4815693181863307</v>
      </c>
      <c r="N50" s="6">
        <v>40.773624312751899</v>
      </c>
      <c r="O50" s="3">
        <v>94.6</v>
      </c>
      <c r="P50" s="8">
        <v>49.569099999999999</v>
      </c>
      <c r="Q50" s="2">
        <v>8.4440200000000001</v>
      </c>
      <c r="R50" s="7">
        <v>0.09</v>
      </c>
      <c r="S50" s="4">
        <f>6042.4*(10^9)</f>
        <v>6042400000000</v>
      </c>
    </row>
    <row r="51" spans="1:19" s="4" customFormat="1" x14ac:dyDescent="0.35">
      <c r="A51" t="s">
        <v>50</v>
      </c>
      <c r="B51" s="4">
        <f>3331.972*(10^9)</f>
        <v>3331972000000</v>
      </c>
      <c r="C51" s="4">
        <f>6830.251*(10^9)</f>
        <v>6830251000000</v>
      </c>
      <c r="D51" s="4">
        <v>509911250000</v>
      </c>
      <c r="E51" s="4">
        <f>841.789*(10^9)</f>
        <v>841789000000</v>
      </c>
      <c r="F51" s="4">
        <f>107.717*(10^9)</f>
        <v>107717000000</v>
      </c>
      <c r="G51" s="4">
        <f>490.069*(10^9)</f>
        <v>490069000000</v>
      </c>
      <c r="H51" s="4">
        <f>-4.166*(10^9)</f>
        <v>-4166000000.0000005</v>
      </c>
      <c r="I51" s="4">
        <f t="shared" si="1"/>
        <v>573044000000</v>
      </c>
      <c r="J51" s="4">
        <f>294.729*(10^9)</f>
        <v>294729000000</v>
      </c>
      <c r="K51" s="4">
        <f>299.115*(10^9)</f>
        <v>299115000000</v>
      </c>
      <c r="L51" s="4">
        <f>703.093*(10^9)</f>
        <v>703093000000</v>
      </c>
      <c r="M51" s="5">
        <f t="shared" si="0"/>
        <v>0.48782570362348321</v>
      </c>
      <c r="N51" s="6">
        <v>41.176542847341501</v>
      </c>
      <c r="O51" s="3">
        <v>95.966666666666669</v>
      </c>
      <c r="P51" s="8">
        <v>48.660600000000002</v>
      </c>
      <c r="Q51" s="2">
        <v>8.4096499999999992</v>
      </c>
      <c r="R51" s="7">
        <v>9.6000000000000002E-2</v>
      </c>
      <c r="S51" s="4">
        <f>6118.9*(10^9)</f>
        <v>6118900000000</v>
      </c>
    </row>
    <row r="52" spans="1:19" s="4" customFormat="1" x14ac:dyDescent="0.35">
      <c r="A52" t="s">
        <v>51</v>
      </c>
      <c r="B52" s="4">
        <f>3366.322*(10^9)</f>
        <v>3366322000000</v>
      </c>
      <c r="C52" s="4">
        <f>6804.139*(10^9)</f>
        <v>6804139000000</v>
      </c>
      <c r="D52" s="4">
        <v>521417749999.99994</v>
      </c>
      <c r="E52" s="4">
        <f>834.075*(10^9)</f>
        <v>834075000000</v>
      </c>
      <c r="F52" s="4">
        <f>108.433*(10^9)</f>
        <v>108433000000</v>
      </c>
      <c r="G52" s="4">
        <f>478.723*(10^9)</f>
        <v>478723000000</v>
      </c>
      <c r="H52" s="4">
        <f>5.798*(10^9)</f>
        <v>5798000000</v>
      </c>
      <c r="I52" s="4">
        <f t="shared" si="1"/>
        <v>578842000000</v>
      </c>
      <c r="J52" s="4">
        <f>279.634*(10^9)</f>
        <v>279634000000</v>
      </c>
      <c r="K52" s="4">
        <f>309.282*(10^9)</f>
        <v>309282000000</v>
      </c>
      <c r="L52" s="4">
        <f>717.344*(10^9)</f>
        <v>717344000000</v>
      </c>
      <c r="M52" s="5">
        <f t="shared" si="0"/>
        <v>0.49474621256267692</v>
      </c>
      <c r="N52" s="6">
        <v>41.8981296962721</v>
      </c>
      <c r="O52" s="3">
        <v>97.63333333333334</v>
      </c>
      <c r="P52" s="8">
        <v>47.930300000000003</v>
      </c>
      <c r="Q52" s="2">
        <v>8.3587600000000002</v>
      </c>
      <c r="R52" s="7">
        <v>0.10099999999999999</v>
      </c>
      <c r="S52" s="4">
        <f>6256.9*(10^9)</f>
        <v>6256900000000</v>
      </c>
    </row>
    <row r="53" spans="1:19" s="4" customFormat="1" x14ac:dyDescent="0.35">
      <c r="A53" t="s">
        <v>52</v>
      </c>
      <c r="B53" s="4">
        <f>3402.561*(10^9)</f>
        <v>3402561000000</v>
      </c>
      <c r="C53" s="4">
        <f>6806.857*(10^9)</f>
        <v>6806857000000</v>
      </c>
      <c r="D53" s="4">
        <v>536388500000</v>
      </c>
      <c r="E53" s="4">
        <f>769.602*(10^9)</f>
        <v>769602000000</v>
      </c>
      <c r="F53" s="4">
        <f>117.54*(10^9)</f>
        <v>117540000000</v>
      </c>
      <c r="G53" s="4">
        <f>471.521*(10^9)</f>
        <v>471521000000</v>
      </c>
      <c r="H53" s="4">
        <f>-39.82*(10^9)</f>
        <v>-39820000000</v>
      </c>
      <c r="I53" s="4">
        <f t="shared" si="1"/>
        <v>539022000000</v>
      </c>
      <c r="J53" s="4">
        <f>265.274*(10^9)</f>
        <v>265274000000</v>
      </c>
      <c r="K53" s="4">
        <f>294.861*(10^9)</f>
        <v>294861000000</v>
      </c>
      <c r="L53" s="4">
        <f>737.351*(10^9)</f>
        <v>737351000000</v>
      </c>
      <c r="M53" s="5">
        <f t="shared" si="0"/>
        <v>0.49987255498389344</v>
      </c>
      <c r="N53" s="6">
        <v>42.4085415560032</v>
      </c>
      <c r="O53" s="3">
        <v>97.933333333333337</v>
      </c>
      <c r="P53" s="8">
        <v>46.981299999999997</v>
      </c>
      <c r="Q53" s="2">
        <v>10.073969999999999</v>
      </c>
      <c r="R53" s="7">
        <v>0.10800000000000001</v>
      </c>
      <c r="S53" s="4">
        <f>6436.7*(10^9)</f>
        <v>6436700000000</v>
      </c>
    </row>
    <row r="54" spans="1:19" s="4" customFormat="1" x14ac:dyDescent="0.35">
      <c r="A54" t="s">
        <v>53</v>
      </c>
      <c r="B54" s="4">
        <f>3473.413*(10^9)</f>
        <v>3473413000000</v>
      </c>
      <c r="C54" s="4">
        <f>6896.561*(10^9)</f>
        <v>6896561000000</v>
      </c>
      <c r="D54" s="4">
        <v>546147250000</v>
      </c>
      <c r="E54" s="4">
        <f>796.266*(10^9)</f>
        <v>796266000000</v>
      </c>
      <c r="F54" s="4">
        <f>138.473*(10^9)</f>
        <v>138473000000</v>
      </c>
      <c r="G54" s="4">
        <f>462.106*(10^9)</f>
        <v>462106000000</v>
      </c>
      <c r="H54" s="4">
        <f>-35.06*(10^9)</f>
        <v>-35060000000</v>
      </c>
      <c r="I54" s="4">
        <f t="shared" si="1"/>
        <v>503962000000</v>
      </c>
      <c r="J54" s="4">
        <f>270.703*(10^9)</f>
        <v>270702999999.99997</v>
      </c>
      <c r="K54" s="4">
        <f>295.251*(10^9)</f>
        <v>295251000000</v>
      </c>
      <c r="L54" s="4">
        <f>747.852*(10^9)</f>
        <v>747852000000</v>
      </c>
      <c r="M54" s="5">
        <f t="shared" si="0"/>
        <v>0.50364420759854078</v>
      </c>
      <c r="N54" s="6">
        <v>42.766639036561003</v>
      </c>
      <c r="O54" s="3">
        <v>98</v>
      </c>
      <c r="P54" s="8">
        <v>47.959899999999998</v>
      </c>
      <c r="Q54" s="2">
        <v>10.899419999999999</v>
      </c>
      <c r="R54" s="7">
        <v>0.10300000000000001</v>
      </c>
      <c r="S54" s="4">
        <f>6553.8*(10^9)</f>
        <v>6553800000000</v>
      </c>
    </row>
    <row r="55" spans="1:19" s="4" customFormat="1" x14ac:dyDescent="0.35">
      <c r="A55" t="s">
        <v>54</v>
      </c>
      <c r="B55" s="4">
        <f>3578.848*(10^9)</f>
        <v>3578848000000</v>
      </c>
      <c r="C55" s="4">
        <f>7053.5*(10^9)</f>
        <v>7053500000000</v>
      </c>
      <c r="D55" s="4">
        <v>562359500000</v>
      </c>
      <c r="E55" s="4">
        <f>866.784*(10^9)</f>
        <v>866784000000</v>
      </c>
      <c r="F55" s="4">
        <f>155*(10^9)</f>
        <v>155000000000</v>
      </c>
      <c r="G55" s="4">
        <f>466.455*(10^9)</f>
        <v>466455000000</v>
      </c>
      <c r="H55" s="4">
        <f>-7.672*(10^9)</f>
        <v>-7672000000</v>
      </c>
      <c r="I55" s="4">
        <f t="shared" si="1"/>
        <v>496290000000</v>
      </c>
      <c r="J55" s="4">
        <f>272.514*(10^9)</f>
        <v>272514000000</v>
      </c>
      <c r="K55" s="4">
        <f>317.949*(10^9)</f>
        <v>317949000000</v>
      </c>
      <c r="L55" s="4">
        <f>761.061*(10^9)</f>
        <v>761061000000</v>
      </c>
      <c r="M55" s="5">
        <f t="shared" si="0"/>
        <v>0.50738612036577591</v>
      </c>
      <c r="N55" s="6">
        <v>43.191805157912597</v>
      </c>
      <c r="O55" s="3">
        <v>99.13333333333334</v>
      </c>
      <c r="P55" s="8">
        <v>49.155799999999999</v>
      </c>
      <c r="Q55" s="2">
        <v>12.01487</v>
      </c>
      <c r="R55" s="7">
        <v>0.10099999999999999</v>
      </c>
      <c r="S55" s="4">
        <f>6748.3*(10^9)</f>
        <v>6748300000000</v>
      </c>
    </row>
    <row r="56" spans="1:19" s="4" customFormat="1" x14ac:dyDescent="0.35">
      <c r="A56" t="s">
        <v>55</v>
      </c>
      <c r="B56" s="4">
        <f>3689.179*(10^9)</f>
        <v>3689179000000</v>
      </c>
      <c r="C56" s="4">
        <f>7194.504*(10^9)</f>
        <v>7194504000000</v>
      </c>
      <c r="D56" s="4">
        <v>579973750000</v>
      </c>
      <c r="E56" s="4">
        <f>921.051*(10^9)</f>
        <v>921051000000</v>
      </c>
      <c r="F56" s="4">
        <f>171.101*(10^9)</f>
        <v>171101000000</v>
      </c>
      <c r="G56" s="4">
        <f>485.371*(10^9)</f>
        <v>485371000000</v>
      </c>
      <c r="H56" s="4">
        <f>-4.204*(10^9)</f>
        <v>-4203999999.9999995</v>
      </c>
      <c r="I56" s="4">
        <f t="shared" si="1"/>
        <v>492086000000</v>
      </c>
      <c r="J56" s="4">
        <f>278.181*(10^9)</f>
        <v>278181000000</v>
      </c>
      <c r="K56" s="4">
        <f>343.381*(10^9)</f>
        <v>343381000000</v>
      </c>
      <c r="L56" s="4">
        <f>782.216*(10^9)</f>
        <v>782216000000</v>
      </c>
      <c r="M56" s="5">
        <f t="shared" si="0"/>
        <v>0.51277739229834329</v>
      </c>
      <c r="N56" s="6">
        <v>43.808826214457397</v>
      </c>
      <c r="O56" s="3">
        <v>100.1</v>
      </c>
      <c r="P56" s="8">
        <v>51.216000000000001</v>
      </c>
      <c r="Q56" s="2">
        <v>12.26074</v>
      </c>
      <c r="R56" s="7">
        <v>9.1999999999999998E-2</v>
      </c>
      <c r="S56" s="4">
        <f>6959.7*(10^9)</f>
        <v>6959700000000</v>
      </c>
    </row>
    <row r="57" spans="1:19" s="4" customFormat="1" x14ac:dyDescent="0.35">
      <c r="A57" t="s">
        <v>56</v>
      </c>
      <c r="B57" s="4">
        <f>3794.706*(10^9)</f>
        <v>3794706000000</v>
      </c>
      <c r="C57" s="4">
        <f>7344.597*(10^9)</f>
        <v>7344597000000</v>
      </c>
      <c r="D57" s="4">
        <v>593124000000</v>
      </c>
      <c r="E57" s="4">
        <f>1010.654*(10^9)</f>
        <v>1010654000000</v>
      </c>
      <c r="F57" s="4">
        <f>179.877*(10^9)</f>
        <v>179877000000</v>
      </c>
      <c r="G57" s="4">
        <f>514.687*(10^9)</f>
        <v>514687000000</v>
      </c>
      <c r="H57" s="4">
        <f>23.932*(10^9)</f>
        <v>23932000000</v>
      </c>
      <c r="I57" s="4">
        <f t="shared" si="1"/>
        <v>516018000000</v>
      </c>
      <c r="J57" s="4">
        <f>286.587*(10^9)</f>
        <v>286587000000</v>
      </c>
      <c r="K57" s="4">
        <f>357.972*(10^9)</f>
        <v>357972000000</v>
      </c>
      <c r="L57" s="4">
        <f>775.099*(10^9)</f>
        <v>775099000000</v>
      </c>
      <c r="M57" s="5">
        <f t="shared" si="0"/>
        <v>0.51666633308811905</v>
      </c>
      <c r="N57" s="6">
        <v>44.100299995278696</v>
      </c>
      <c r="O57" s="3">
        <v>101.1</v>
      </c>
      <c r="P57" s="8">
        <v>52.094799999999999</v>
      </c>
      <c r="Q57" s="2">
        <v>12.24841</v>
      </c>
      <c r="R57" s="7">
        <v>8.3000000000000004E-2</v>
      </c>
      <c r="S57" s="4">
        <f>7117.5*(10^9)</f>
        <v>7117500000000</v>
      </c>
    </row>
    <row r="58" spans="1:19" s="4" customFormat="1" x14ac:dyDescent="0.35">
      <c r="A58" t="s">
        <v>57</v>
      </c>
      <c r="B58" s="4">
        <f>3908.054*(10^9)</f>
        <v>3908054000000</v>
      </c>
      <c r="C58" s="4">
        <f>7488.167*(10^9)</f>
        <v>7488167000000</v>
      </c>
      <c r="D58" s="4">
        <v>604541250000</v>
      </c>
      <c r="E58" s="4">
        <f>1108.328*(10^9)</f>
        <v>1108328000000</v>
      </c>
      <c r="F58" s="4">
        <f>186.425*(10^9)</f>
        <v>186425000000</v>
      </c>
      <c r="G58" s="4">
        <f>531.465*(10^9)</f>
        <v>531465000000.00006</v>
      </c>
      <c r="H58" s="4">
        <f>72.982*(10^9)</f>
        <v>72982000000</v>
      </c>
      <c r="I58" s="4">
        <f t="shared" si="1"/>
        <v>589000000000</v>
      </c>
      <c r="J58" s="4">
        <f>292.975*(10^9)</f>
        <v>292975000000</v>
      </c>
      <c r="K58" s="4">
        <f>387.978*(10^9)</f>
        <v>387978000000</v>
      </c>
      <c r="L58" s="4">
        <f>794.021*(10^9)</f>
        <v>794021000000</v>
      </c>
      <c r="M58" s="5">
        <f t="shared" si="0"/>
        <v>0.52189728140411396</v>
      </c>
      <c r="N58" s="6">
        <v>44.648874554646603</v>
      </c>
      <c r="O58" s="3">
        <v>102.53333333333333</v>
      </c>
      <c r="P58" s="8">
        <v>53.631399999999999</v>
      </c>
      <c r="Q58" s="2">
        <v>11.83893</v>
      </c>
      <c r="R58" s="7">
        <v>7.8E-2</v>
      </c>
      <c r="S58" s="4">
        <f>7254.5*(10^9)</f>
        <v>7254500000000</v>
      </c>
    </row>
    <row r="59" spans="1:19" s="4" customFormat="1" x14ac:dyDescent="0.35">
      <c r="A59" t="s">
        <v>58</v>
      </c>
      <c r="B59" s="4">
        <f>4009.601*(10^9)</f>
        <v>4009601000000</v>
      </c>
      <c r="C59" s="4">
        <f>7617.547*(10^9)</f>
        <v>7617547000000</v>
      </c>
      <c r="D59" s="4">
        <v>618969000000</v>
      </c>
      <c r="E59" s="4">
        <f>1144.371*(10^9)</f>
        <v>1144371000000</v>
      </c>
      <c r="F59" s="4">
        <f>191.299*(10^9)</f>
        <v>191299000000</v>
      </c>
      <c r="G59" s="4">
        <f>558.274*(10^9)</f>
        <v>558274000000</v>
      </c>
      <c r="H59" s="4">
        <f>69.321*(10^9)</f>
        <v>69321000000</v>
      </c>
      <c r="I59" s="4">
        <f t="shared" si="1"/>
        <v>658321000000</v>
      </c>
      <c r="J59" s="4">
        <f>302.2*(10^9)</f>
        <v>302200000000</v>
      </c>
      <c r="K59" s="4">
        <f>406.501*(10^9)</f>
        <v>406501000000</v>
      </c>
      <c r="L59" s="4">
        <f>819.132*(10^9)</f>
        <v>819132000000</v>
      </c>
      <c r="M59" s="5">
        <f t="shared" si="0"/>
        <v>0.52636380189055609</v>
      </c>
      <c r="N59" s="6">
        <v>45.105665437056103</v>
      </c>
      <c r="O59" s="3">
        <v>103.5</v>
      </c>
      <c r="P59" s="8">
        <v>54.428800000000003</v>
      </c>
      <c r="Q59" s="2">
        <v>11.476520000000001</v>
      </c>
      <c r="R59" s="7">
        <v>7.2000000000000008E-2</v>
      </c>
      <c r="S59" s="4">
        <f>7427.6*(10^9)</f>
        <v>7427600000000</v>
      </c>
    </row>
    <row r="60" spans="1:19" s="4" customFormat="1" x14ac:dyDescent="0.35">
      <c r="A60" t="s">
        <v>59</v>
      </c>
      <c r="B60" s="4">
        <f>4084.25*(10^9)</f>
        <v>4084250000000</v>
      </c>
      <c r="C60" s="4">
        <f>7690.985*(10^9)</f>
        <v>7690985000000</v>
      </c>
      <c r="D60" s="4">
        <v>628380750000</v>
      </c>
      <c r="E60" s="4">
        <f>1169.136*(10^9)</f>
        <v>1169136000000</v>
      </c>
      <c r="F60" s="4">
        <f>190.872*(10^9)</f>
        <v>190872000000</v>
      </c>
      <c r="G60" s="4">
        <f>576.642*(10^9)</f>
        <v>576642000000</v>
      </c>
      <c r="H60" s="4">
        <f>71.338*(10^9)</f>
        <v>71338000000</v>
      </c>
      <c r="I60" s="4">
        <f t="shared" si="1"/>
        <v>729659000000</v>
      </c>
      <c r="J60" s="4">
        <f>305.744*(10^9)</f>
        <v>305744000000</v>
      </c>
      <c r="K60" s="4">
        <f>409.591*(10^9)</f>
        <v>409591000000</v>
      </c>
      <c r="L60" s="4">
        <f>835.72*(10^9)</f>
        <v>835720000000</v>
      </c>
      <c r="M60" s="5">
        <f t="shared" si="0"/>
        <v>0.53104381298364256</v>
      </c>
      <c r="N60" s="6">
        <v>45.4934804398263</v>
      </c>
      <c r="O60" s="3">
        <v>104.4</v>
      </c>
      <c r="P60" s="8">
        <v>54.494900000000001</v>
      </c>
      <c r="Q60" s="2">
        <v>11.81141</v>
      </c>
      <c r="R60" s="7">
        <v>7.2999999999999995E-2</v>
      </c>
      <c r="S60" s="4">
        <f>7540.6*(10^9)</f>
        <v>7540600000000</v>
      </c>
    </row>
    <row r="61" spans="1:19" s="4" customFormat="1" x14ac:dyDescent="0.35">
      <c r="A61" t="s">
        <v>60</v>
      </c>
      <c r="B61" s="4">
        <f>4148.551*(10^9)</f>
        <v>4148551000000.0005</v>
      </c>
      <c r="C61" s="4">
        <f>7754.117*(10^9)</f>
        <v>7754117000000</v>
      </c>
      <c r="D61" s="4">
        <v>640449250000</v>
      </c>
      <c r="E61" s="4">
        <f>1153.971*(10^9)</f>
        <v>1153971000000</v>
      </c>
      <c r="F61" s="4">
        <f>192.86*(10^9)</f>
        <v>192860000000</v>
      </c>
      <c r="G61" s="4">
        <f>590.903*(10^9)</f>
        <v>590903000000</v>
      </c>
      <c r="H61" s="4">
        <f>47.979*(10^9)</f>
        <v>47979000000</v>
      </c>
      <c r="I61" s="4">
        <f t="shared" si="1"/>
        <v>777638000000</v>
      </c>
      <c r="J61" s="4">
        <f>308.603*(10^9)</f>
        <v>308603000000</v>
      </c>
      <c r="K61" s="4">
        <f>416.359*(10^9)</f>
        <v>416359000000</v>
      </c>
      <c r="L61" s="4">
        <f>862.769*(10^9)</f>
        <v>862769000000</v>
      </c>
      <c r="M61" s="5">
        <f t="shared" si="0"/>
        <v>0.53501269067773938</v>
      </c>
      <c r="N61" s="6">
        <v>45.805138343621898</v>
      </c>
      <c r="O61" s="3">
        <v>105.3</v>
      </c>
      <c r="P61" s="8">
        <v>54.6892</v>
      </c>
      <c r="Q61" s="2">
        <v>12.190300000000001</v>
      </c>
      <c r="R61" s="7">
        <v>7.2999999999999995E-2</v>
      </c>
      <c r="S61" s="4">
        <f>7685.3*(10^9)</f>
        <v>7685300000000</v>
      </c>
    </row>
    <row r="62" spans="1:19" s="4" customFormat="1" x14ac:dyDescent="0.35">
      <c r="A62" t="s">
        <v>61</v>
      </c>
      <c r="B62" s="4">
        <f>4230.168*(10^9)</f>
        <v>4230167999999.9995</v>
      </c>
      <c r="C62" s="4">
        <f>7829.26*(10^9)</f>
        <v>7829260000000</v>
      </c>
      <c r="D62" s="4">
        <v>659002000000</v>
      </c>
      <c r="E62" s="4">
        <f>1122.331*(10^9)</f>
        <v>1122331000000</v>
      </c>
      <c r="F62" s="4">
        <f>194.219*(10^9)</f>
        <v>194219000000</v>
      </c>
      <c r="G62" s="4">
        <f>599.417*(10^9)</f>
        <v>599417000000</v>
      </c>
      <c r="H62" s="4">
        <f>16.23*(10^9)</f>
        <v>16230000000</v>
      </c>
      <c r="I62" s="4">
        <f t="shared" si="1"/>
        <v>793868000000</v>
      </c>
      <c r="J62" s="4">
        <f>306.01*(10^9)</f>
        <v>306010000000</v>
      </c>
      <c r="K62" s="4">
        <f>397.308*(10^9)</f>
        <v>397308000000</v>
      </c>
      <c r="L62" s="4">
        <f>875.592*(10^9)</f>
        <v>875592000000</v>
      </c>
      <c r="M62" s="5">
        <f t="shared" si="0"/>
        <v>0.54030240405862107</v>
      </c>
      <c r="N62" s="6">
        <v>46.395005927865803</v>
      </c>
      <c r="O62" s="3">
        <v>106.26666666666667</v>
      </c>
      <c r="P62" s="8">
        <v>54.897799999999997</v>
      </c>
      <c r="Q62" s="2">
        <v>13.12933</v>
      </c>
      <c r="R62" s="7">
        <v>7.2000000000000008E-2</v>
      </c>
      <c r="S62" s="4">
        <f>7908.1*(10^9)</f>
        <v>7908100000000</v>
      </c>
    </row>
    <row r="63" spans="1:19" s="4" customFormat="1" x14ac:dyDescent="0.35">
      <c r="A63" t="s">
        <v>62</v>
      </c>
      <c r="B63" s="4">
        <f>4294.887*(10^9)</f>
        <v>4294886999999.9995</v>
      </c>
      <c r="C63" s="4">
        <f>7898.194*(10^9)</f>
        <v>7898194000000</v>
      </c>
      <c r="D63" s="4">
        <v>670441000000</v>
      </c>
      <c r="E63" s="4">
        <f>1141.447*(10^9)</f>
        <v>1141447000000</v>
      </c>
      <c r="F63" s="4">
        <f>196.306*(10^9)</f>
        <v>196306000000</v>
      </c>
      <c r="G63" s="4">
        <f>609.088*(10^9)</f>
        <v>609088000000</v>
      </c>
      <c r="H63" s="4">
        <f>21.646*(10^9)</f>
        <v>21646000000</v>
      </c>
      <c r="I63" s="4">
        <f t="shared" si="1"/>
        <v>815514000000</v>
      </c>
      <c r="J63" s="4">
        <f>304.126*(10^9)</f>
        <v>304126000000</v>
      </c>
      <c r="K63" s="4">
        <f>418.571*(10^9)</f>
        <v>418571000000</v>
      </c>
      <c r="L63" s="4">
        <f>900.527*(10^9)</f>
        <v>900527000000</v>
      </c>
      <c r="M63" s="5">
        <f t="shared" si="0"/>
        <v>0.54378089472099567</v>
      </c>
      <c r="N63" s="6">
        <v>46.814676839614101</v>
      </c>
      <c r="O63" s="3">
        <v>107.23333333333333</v>
      </c>
      <c r="P63" s="8">
        <v>54.8401</v>
      </c>
      <c r="Q63" s="2">
        <v>13.702500000000001</v>
      </c>
      <c r="R63" s="7">
        <v>7.400000000000001E-2</v>
      </c>
      <c r="S63" s="4">
        <f>8045.3*(10^9)</f>
        <v>8045300000000</v>
      </c>
    </row>
    <row r="64" spans="1:19" s="4" customFormat="1" x14ac:dyDescent="0.35">
      <c r="A64" t="s">
        <v>63</v>
      </c>
      <c r="B64" s="4">
        <f>4386.773*(10^9)</f>
        <v>4386773000000</v>
      </c>
      <c r="C64" s="4">
        <f>8018.809*(10^9)</f>
        <v>8018809000000</v>
      </c>
      <c r="D64" s="4">
        <v>688537000000</v>
      </c>
      <c r="E64" s="4">
        <f>1133.665*(10^9)</f>
        <v>1133665000000</v>
      </c>
      <c r="F64" s="4">
        <f>201.422*(10^9)</f>
        <v>201422000000</v>
      </c>
      <c r="G64" s="4">
        <f>604.432*(10^9)</f>
        <v>604432000000</v>
      </c>
      <c r="H64" s="4">
        <f>16.303*(10^9)</f>
        <v>16303000000</v>
      </c>
      <c r="I64" s="4">
        <f t="shared" si="1"/>
        <v>831817000000</v>
      </c>
      <c r="J64" s="4">
        <f>297.273*(10^9)</f>
        <v>297273000000</v>
      </c>
      <c r="K64" s="4">
        <f>414.168*(10^9)</f>
        <v>414168000000</v>
      </c>
      <c r="L64" s="4">
        <f>927.363*(10^9)</f>
        <v>927363000000</v>
      </c>
      <c r="M64" s="5">
        <f t="shared" si="0"/>
        <v>0.54706041757572732</v>
      </c>
      <c r="N64" s="6">
        <v>47.2560584165915</v>
      </c>
      <c r="O64" s="3">
        <v>107.9</v>
      </c>
      <c r="P64" s="8">
        <v>54.941600000000001</v>
      </c>
      <c r="Q64" s="2">
        <v>13.964729999999999</v>
      </c>
      <c r="R64" s="7">
        <v>7.0999999999999994E-2</v>
      </c>
      <c r="S64" s="4">
        <f>8262.5*(10^9)</f>
        <v>8262500000000</v>
      </c>
    </row>
    <row r="65" spans="1:19" s="4" customFormat="1" x14ac:dyDescent="0.35">
      <c r="A65" t="s">
        <v>64</v>
      </c>
      <c r="B65" s="4">
        <f>4444.094*(10^9)</f>
        <v>4444094000000</v>
      </c>
      <c r="C65" s="4">
        <f>8078.415*(10^9)</f>
        <v>8078415000000</v>
      </c>
      <c r="D65" s="4">
        <v>694850000000</v>
      </c>
      <c r="E65" s="4">
        <f>1175.45*(10^9)</f>
        <v>1175450000000</v>
      </c>
      <c r="F65" s="4">
        <f>208.359*(10^9)</f>
        <v>208359000000</v>
      </c>
      <c r="G65" s="4">
        <f>618.067*(10^9)</f>
        <v>618067000000</v>
      </c>
      <c r="H65" s="4">
        <f>33.119*(10^9)</f>
        <v>33119000000</v>
      </c>
      <c r="I65" s="4">
        <f t="shared" si="1"/>
        <v>864936000000</v>
      </c>
      <c r="J65" s="4">
        <f>305.433*(10^9)</f>
        <v>305433000000</v>
      </c>
      <c r="K65" s="4">
        <f>438.867*(10^9)</f>
        <v>438867000000</v>
      </c>
      <c r="L65" s="4">
        <f>938.584*(10^9)</f>
        <v>938584000000</v>
      </c>
      <c r="M65" s="5">
        <f t="shared" si="0"/>
        <v>0.55011954696558674</v>
      </c>
      <c r="N65" s="6">
        <v>47.620396828623903</v>
      </c>
      <c r="O65" s="3">
        <v>109</v>
      </c>
      <c r="P65" s="8">
        <v>55.494500000000002</v>
      </c>
      <c r="Q65" s="2">
        <v>14.53988</v>
      </c>
      <c r="R65" s="7">
        <v>7.0000000000000007E-2</v>
      </c>
      <c r="S65" s="4">
        <f>8338.2*(10^9)</f>
        <v>8338200000000.001</v>
      </c>
    </row>
    <row r="66" spans="1:19" s="4" customFormat="1" x14ac:dyDescent="0.35">
      <c r="A66" t="s">
        <v>65</v>
      </c>
      <c r="B66" s="4">
        <f>4507.894*(10^9)</f>
        <v>4507894000000</v>
      </c>
      <c r="C66" s="4">
        <f>8153.829*(10^9)</f>
        <v>8153829000000</v>
      </c>
      <c r="D66" s="4">
        <v>705912000000</v>
      </c>
      <c r="E66" s="4">
        <f>1175.105*(10^9)</f>
        <v>1175105000000</v>
      </c>
      <c r="F66" s="4">
        <f>219.534*(10^9)</f>
        <v>219534000000</v>
      </c>
      <c r="G66" s="4">
        <f>613.525*(10^9)</f>
        <v>613525000000</v>
      </c>
      <c r="H66" s="4">
        <f>30.397*(10^9)</f>
        <v>30397000000</v>
      </c>
      <c r="I66" s="4">
        <f t="shared" si="1"/>
        <v>895333000000</v>
      </c>
      <c r="J66" s="4">
        <f>313.404*(10^9)</f>
        <v>313404000000</v>
      </c>
      <c r="K66" s="4">
        <f>439.418*(10^9)</f>
        <v>439418000000</v>
      </c>
      <c r="L66" s="4">
        <f>946.803*(10^9)</f>
        <v>946803000000</v>
      </c>
      <c r="M66" s="5">
        <f t="shared" si="0"/>
        <v>0.55285608761233529</v>
      </c>
      <c r="N66" s="6">
        <v>48.012586092341799</v>
      </c>
      <c r="O66" s="3">
        <v>109.56666666666666</v>
      </c>
      <c r="P66" s="8">
        <v>55.000100000000003</v>
      </c>
      <c r="Q66" s="2">
        <v>16.234159999999999</v>
      </c>
      <c r="R66" s="7">
        <v>7.2000000000000008E-2</v>
      </c>
      <c r="S66" s="4">
        <f>8470.9*(10^9)</f>
        <v>8470900000000</v>
      </c>
    </row>
    <row r="67" spans="1:19" s="4" customFormat="1" x14ac:dyDescent="0.35">
      <c r="A67" t="s">
        <v>66</v>
      </c>
      <c r="B67" s="4">
        <f>4545.34*(10^9)</f>
        <v>4545340000000</v>
      </c>
      <c r="C67" s="4">
        <f>8190.552*(10^9)</f>
        <v>8190552000000</v>
      </c>
      <c r="D67" s="4">
        <v>712864000000</v>
      </c>
      <c r="E67" s="4">
        <f>1154.589*(10^9)</f>
        <v>1154589000000</v>
      </c>
      <c r="F67" s="4">
        <f>234.559*(10^9)</f>
        <v>234559000000</v>
      </c>
      <c r="G67" s="4">
        <f>605.016*(10^9)</f>
        <v>605016000000</v>
      </c>
      <c r="H67" s="4">
        <f>15.663*(10^9)</f>
        <v>15663000000</v>
      </c>
      <c r="I67" s="4">
        <f t="shared" si="1"/>
        <v>910996000000</v>
      </c>
      <c r="J67" s="4">
        <f>315.119*(10^9)</f>
        <v>315119000000</v>
      </c>
      <c r="K67" s="4">
        <f>443.99*(10^9)</f>
        <v>443990000000</v>
      </c>
      <c r="L67" s="4">
        <f>967.519*(10^9)</f>
        <v>967519000000</v>
      </c>
      <c r="M67" s="5">
        <f t="shared" ref="M67:M125" si="2">B67/C67</f>
        <v>0.55494916581934894</v>
      </c>
      <c r="N67" s="6">
        <v>47.918008964544498</v>
      </c>
      <c r="O67" s="3">
        <v>109.03333333333333</v>
      </c>
      <c r="P67" s="8">
        <v>54.958799999999997</v>
      </c>
      <c r="Q67" s="2">
        <v>17.723210000000002</v>
      </c>
      <c r="R67" s="7">
        <v>7.2000000000000008E-2</v>
      </c>
      <c r="S67" s="4">
        <f>8554.4*(10^9)</f>
        <v>8554400000000</v>
      </c>
    </row>
    <row r="68" spans="1:19" s="4" customFormat="1" x14ac:dyDescent="0.35">
      <c r="A68" t="s">
        <v>67</v>
      </c>
      <c r="B68" s="4">
        <f>4607.669*(10^9)</f>
        <v>4607669000000</v>
      </c>
      <c r="C68" s="4">
        <f>8268.935*(10^9)</f>
        <v>8268934999999.999</v>
      </c>
      <c r="D68" s="4">
        <v>729300250000</v>
      </c>
      <c r="E68" s="4">
        <f>1123.532*(10^9)</f>
        <v>1123532000000</v>
      </c>
      <c r="F68" s="4">
        <f>240.887*(10^9)</f>
        <v>240887000000</v>
      </c>
      <c r="G68" s="4">
        <f>601.964*(10^9)</f>
        <v>601964000000</v>
      </c>
      <c r="H68" s="4">
        <f>-7.019*(10^9)</f>
        <v>-7019000000</v>
      </c>
      <c r="I68" s="4">
        <f t="shared" ref="I68:I125" si="3">H68+I67</f>
        <v>903977000000</v>
      </c>
      <c r="J68" s="4">
        <f>320.471*(10^9)</f>
        <v>320471000000</v>
      </c>
      <c r="K68" s="4">
        <f>459.432*(10^9)</f>
        <v>459432000000</v>
      </c>
      <c r="L68" s="4">
        <f>993.597*(10^9)</f>
        <v>993597000000</v>
      </c>
      <c r="M68" s="5">
        <f t="shared" si="2"/>
        <v>0.5572264142843063</v>
      </c>
      <c r="N68" s="6">
        <v>48.145140627918103</v>
      </c>
      <c r="O68" s="3">
        <v>109.7</v>
      </c>
      <c r="P68" s="8">
        <v>55.351100000000002</v>
      </c>
      <c r="Q68" s="2">
        <v>17.75929</v>
      </c>
      <c r="R68" s="7">
        <v>7.0000000000000007E-2</v>
      </c>
      <c r="S68" s="4">
        <f>8751.6*(10^9)</f>
        <v>8751600000000</v>
      </c>
    </row>
    <row r="69" spans="1:19" s="4" customFormat="1" x14ac:dyDescent="0.35">
      <c r="A69" t="s">
        <v>68</v>
      </c>
      <c r="B69" s="4">
        <f>4657.627*(10^9)</f>
        <v>4657627000000</v>
      </c>
      <c r="C69" s="4">
        <f>8313.338*(10^9)</f>
        <v>8313338000000</v>
      </c>
      <c r="D69" s="4">
        <v>738201750000</v>
      </c>
      <c r="E69" s="4">
        <f>1126.895*(10^9)</f>
        <v>1126895000000</v>
      </c>
      <c r="F69" s="4">
        <f>244.268*(10^9)</f>
        <v>244268000000</v>
      </c>
      <c r="G69" s="4">
        <f>610.553*(10^9)</f>
        <v>610553000000</v>
      </c>
      <c r="H69" s="4">
        <f>-12.759*(10^9)</f>
        <v>-12759000000</v>
      </c>
      <c r="I69" s="4">
        <f t="shared" si="3"/>
        <v>891218000000</v>
      </c>
      <c r="J69" s="4">
        <f>334.999*(10^9)</f>
        <v>334999000000</v>
      </c>
      <c r="K69" s="4">
        <f>468.628*(10^9)</f>
        <v>468628000000</v>
      </c>
      <c r="L69" s="4">
        <f>996.385*(10^9)</f>
        <v>996385000000</v>
      </c>
      <c r="M69" s="5">
        <f t="shared" si="2"/>
        <v>0.56025954917266685</v>
      </c>
      <c r="N69" s="6">
        <v>48.439306290900497</v>
      </c>
      <c r="O69" s="3">
        <v>110.46666666666667</v>
      </c>
      <c r="P69" s="8">
        <v>56.344099999999997</v>
      </c>
      <c r="Q69" s="2">
        <v>17.904589999999999</v>
      </c>
      <c r="R69" s="7">
        <v>6.6000000000000003E-2</v>
      </c>
      <c r="S69" s="4">
        <f>8858.4*(10^9)</f>
        <v>8858400000000</v>
      </c>
    </row>
    <row r="70" spans="1:19" s="4" customFormat="1" x14ac:dyDescent="0.35">
      <c r="A70" t="s">
        <v>69</v>
      </c>
      <c r="B70" s="4">
        <f>4722.156*(10^9)</f>
        <v>4722156000000</v>
      </c>
      <c r="C70" s="4">
        <f>8375.274*(10^9)</f>
        <v>8375273999999.999</v>
      </c>
      <c r="D70" s="4">
        <v>745878250000</v>
      </c>
      <c r="E70" s="4">
        <f>1157.306*(10^9)</f>
        <v>1157306000000</v>
      </c>
      <c r="F70" s="4">
        <f>246.672*(10^9)</f>
        <v>246672000000</v>
      </c>
      <c r="G70" s="4">
        <f>596.551*(10^9)</f>
        <v>596551000000</v>
      </c>
      <c r="H70" s="4">
        <f>27.973*(10^9)</f>
        <v>27973000000</v>
      </c>
      <c r="I70" s="4">
        <f t="shared" si="3"/>
        <v>919191000000</v>
      </c>
      <c r="J70" s="4">
        <f>336.451*(10^9)</f>
        <v>336451000000</v>
      </c>
      <c r="K70" s="4">
        <f>477.685*(10^9)</f>
        <v>477685000000</v>
      </c>
      <c r="L70" s="4">
        <f>1008.681*(10^9)</f>
        <v>1008681000000</v>
      </c>
      <c r="M70" s="5">
        <f t="shared" si="2"/>
        <v>0.56382107618210464</v>
      </c>
      <c r="N70" s="6">
        <v>48.902952129341003</v>
      </c>
      <c r="O70" s="3">
        <v>111.8</v>
      </c>
      <c r="P70" s="8">
        <v>56.951599999999999</v>
      </c>
      <c r="Q70" s="2">
        <v>20.38485</v>
      </c>
      <c r="R70" s="7">
        <v>6.6000000000000003E-2</v>
      </c>
      <c r="S70" s="4">
        <f>8950.5*(10^9)</f>
        <v>8950500000000</v>
      </c>
    </row>
    <row r="71" spans="1:19" s="4" customFormat="1" x14ac:dyDescent="0.35">
      <c r="A71" t="s">
        <v>70</v>
      </c>
      <c r="B71" s="4">
        <f>4806.16*(10^9)</f>
        <v>4806160000000</v>
      </c>
      <c r="C71" s="4">
        <f>8465.63*(10^9)</f>
        <v>8465629999999.999</v>
      </c>
      <c r="D71" s="4">
        <v>763332500000</v>
      </c>
      <c r="E71" s="4">
        <f>1157.909*(10^9)</f>
        <v>1157909000000</v>
      </c>
      <c r="F71" s="4">
        <f>249.693*(10^9)</f>
        <v>249693000000</v>
      </c>
      <c r="G71" s="4">
        <f>608.371*(10^9)</f>
        <v>608371000000</v>
      </c>
      <c r="H71" s="4">
        <f>16.524*(10^9)</f>
        <v>16524000000</v>
      </c>
      <c r="I71" s="4">
        <f t="shared" si="3"/>
        <v>935715000000</v>
      </c>
      <c r="J71" s="4">
        <f>355.36*(10^9)</f>
        <v>355360000000</v>
      </c>
      <c r="K71" s="4">
        <f>502.337*(10^9)</f>
        <v>502337000000</v>
      </c>
      <c r="L71" s="4">
        <f>1025.219*(10^9)</f>
        <v>1025219000000</v>
      </c>
      <c r="M71" s="5">
        <f t="shared" si="2"/>
        <v>0.56772620584646394</v>
      </c>
      <c r="N71" s="6">
        <v>49.388645766283098</v>
      </c>
      <c r="O71" s="3">
        <v>113.06666666666666</v>
      </c>
      <c r="P71" s="8">
        <v>57.987499999999997</v>
      </c>
      <c r="Q71" s="2">
        <v>21.179099999999998</v>
      </c>
      <c r="R71" s="7">
        <v>6.2E-2</v>
      </c>
      <c r="S71" s="4">
        <f>9160*(10^9)</f>
        <v>9160000000000</v>
      </c>
    </row>
    <row r="72" spans="1:19" s="4" customFormat="1" x14ac:dyDescent="0.35">
      <c r="A72" t="s">
        <v>71</v>
      </c>
      <c r="B72" s="4">
        <f>4884.555*(10^9)</f>
        <v>4884555000000</v>
      </c>
      <c r="C72" s="4">
        <f>8539.075*(10^9)</f>
        <v>8539075000000.001</v>
      </c>
      <c r="D72" s="4">
        <v>779339500000</v>
      </c>
      <c r="E72" s="4">
        <f>1158.077*(10^9)</f>
        <v>1158077000000</v>
      </c>
      <c r="F72" s="4">
        <f>249.969*(10^9)</f>
        <v>249969000000</v>
      </c>
      <c r="G72" s="4">
        <f>625.48*(10^9)</f>
        <v>625480000000</v>
      </c>
      <c r="H72" s="4">
        <f>1.017*(10^9)</f>
        <v>1016999999.9999999</v>
      </c>
      <c r="I72" s="4">
        <f t="shared" si="3"/>
        <v>936732000000</v>
      </c>
      <c r="J72" s="4">
        <f>371.854*(10^9)</f>
        <v>371854000000</v>
      </c>
      <c r="K72" s="4">
        <f>517.318*(10^9)</f>
        <v>517318000000</v>
      </c>
      <c r="L72" s="4">
        <f>1036.195*(10^9)</f>
        <v>1036194999999.9999</v>
      </c>
      <c r="M72" s="5">
        <f t="shared" si="2"/>
        <v>0.57202390188632835</v>
      </c>
      <c r="N72" s="6">
        <v>49.875208288759502</v>
      </c>
      <c r="O72" s="3">
        <v>114.26666666666667</v>
      </c>
      <c r="P72" s="8">
        <v>59.039099999999998</v>
      </c>
      <c r="Q72" s="2">
        <v>22.90438</v>
      </c>
      <c r="R72" s="7">
        <v>5.9000000000000004E-2</v>
      </c>
      <c r="S72" s="4">
        <f>9352*(10^9)</f>
        <v>9352000000000</v>
      </c>
    </row>
    <row r="73" spans="1:19" s="4" customFormat="1" x14ac:dyDescent="0.35">
      <c r="A73" t="s">
        <v>72</v>
      </c>
      <c r="B73" s="4">
        <f>5007.994*(10^9)</f>
        <v>5007994000000</v>
      </c>
      <c r="C73" s="4">
        <f>8685.694*(10^9)</f>
        <v>8685693999999.999</v>
      </c>
      <c r="D73" s="4">
        <v>787729000000</v>
      </c>
      <c r="E73" s="4">
        <f>1236.986*(10^9)</f>
        <v>1236986000000</v>
      </c>
      <c r="F73" s="4">
        <f>252.825*(10^9)</f>
        <v>252825000000</v>
      </c>
      <c r="G73" s="4">
        <f>630.552*(10^9)</f>
        <v>630552000000</v>
      </c>
      <c r="H73" s="4">
        <f>63.082*(10^9)</f>
        <v>63082000000</v>
      </c>
      <c r="I73" s="4">
        <f t="shared" si="3"/>
        <v>999814000000</v>
      </c>
      <c r="J73" s="4">
        <f>392.107*(10^9)</f>
        <v>392107000000</v>
      </c>
      <c r="K73" s="4">
        <f>537.511*(10^9)</f>
        <v>537510999999.99994</v>
      </c>
      <c r="L73" s="4">
        <f>1056.024*(10^9)</f>
        <v>1056023999999.9999</v>
      </c>
      <c r="M73" s="5">
        <f t="shared" si="2"/>
        <v>0.57657960319578383</v>
      </c>
      <c r="N73" s="6">
        <v>50.344768944727498</v>
      </c>
      <c r="O73" s="3">
        <v>115.33333333333333</v>
      </c>
      <c r="P73" s="8">
        <v>60.4739</v>
      </c>
      <c r="Q73" s="2">
        <v>18.310739999999999</v>
      </c>
      <c r="R73" s="7">
        <v>5.7000000000000002E-2</v>
      </c>
      <c r="S73" s="4">
        <f>9452.8*(10^9)</f>
        <v>9452800000000</v>
      </c>
    </row>
    <row r="74" spans="1:19" s="4" customFormat="1" x14ac:dyDescent="0.35">
      <c r="A74" t="s">
        <v>73</v>
      </c>
      <c r="B74" s="4">
        <f>5073.372*(10^9)</f>
        <v>5073372000000</v>
      </c>
      <c r="C74" s="4">
        <f>8730.569*(10^9)</f>
        <v>8730568999999.999</v>
      </c>
      <c r="D74" s="4">
        <v>807974000000</v>
      </c>
      <c r="E74" s="4">
        <f>1177.604*(10^9)</f>
        <v>1177604000000</v>
      </c>
      <c r="F74" s="4">
        <f>250.115*(10^9)</f>
        <v>250115000000</v>
      </c>
      <c r="G74" s="4">
        <f>641.498*(10^9)</f>
        <v>641498000000</v>
      </c>
      <c r="H74" s="4">
        <f>16.956*(10^9)</f>
        <v>16956000000</v>
      </c>
      <c r="I74" s="4">
        <f t="shared" si="3"/>
        <v>1016770000000</v>
      </c>
      <c r="J74" s="4">
        <f>418.727*(10^9)</f>
        <v>418727000000</v>
      </c>
      <c r="K74" s="4">
        <f>542.714*(10^9)</f>
        <v>542714000000.00006</v>
      </c>
      <c r="L74" s="4">
        <f>1056.893*(10^9)</f>
        <v>1056893000000</v>
      </c>
      <c r="M74" s="5">
        <f t="shared" si="2"/>
        <v>0.58110439308136741</v>
      </c>
      <c r="N74" s="6">
        <v>50.824120300557702</v>
      </c>
      <c r="O74" s="3">
        <v>116.23333333333333</v>
      </c>
      <c r="P74" s="8">
        <v>60.894799999999996</v>
      </c>
      <c r="Q74" s="2">
        <v>18.581029999999998</v>
      </c>
      <c r="R74" s="7">
        <v>5.7000000000000002E-2</v>
      </c>
      <c r="S74" s="4">
        <f>9695.6*(10^9)</f>
        <v>9695600000000</v>
      </c>
    </row>
    <row r="75" spans="1:19" s="4" customFormat="1" x14ac:dyDescent="0.35">
      <c r="A75" t="s">
        <v>74</v>
      </c>
      <c r="B75" s="4">
        <f>5190.036*(10^9)</f>
        <v>5190036000000</v>
      </c>
      <c r="C75" s="4">
        <f>8845.28*(10^9)</f>
        <v>8845280000000</v>
      </c>
      <c r="D75" s="4">
        <v>822929000000</v>
      </c>
      <c r="E75" s="4">
        <f>1205.662*(10^9)</f>
        <v>1205662000000</v>
      </c>
      <c r="F75" s="4">
        <f>255.51*(10^9)</f>
        <v>255510000000</v>
      </c>
      <c r="G75" s="4">
        <f>659.366*(10^9)</f>
        <v>659366000000</v>
      </c>
      <c r="H75" s="4">
        <f>19.648*(10^9)</f>
        <v>19648000000</v>
      </c>
      <c r="I75" s="4">
        <f t="shared" si="3"/>
        <v>1036418000000</v>
      </c>
      <c r="J75" s="4">
        <f>439.471*(10^9)</f>
        <v>439471000000</v>
      </c>
      <c r="K75" s="4">
        <f>546.098*(10^9)</f>
        <v>546097999999.99994</v>
      </c>
      <c r="L75" s="4">
        <f>1070.421*(10^9)</f>
        <v>1070421000000</v>
      </c>
      <c r="M75" s="5">
        <f t="shared" si="2"/>
        <v>0.58675768319374855</v>
      </c>
      <c r="N75" s="6">
        <v>51.433053957374703</v>
      </c>
      <c r="O75" s="3">
        <v>117.56666666666666</v>
      </c>
      <c r="P75" s="8">
        <v>61.299500000000002</v>
      </c>
      <c r="Q75" s="2">
        <v>19.03389</v>
      </c>
      <c r="R75" s="7">
        <v>5.4000000000000006E-2</v>
      </c>
      <c r="S75" s="4">
        <f>9875.1*(10^9)</f>
        <v>9875100000000</v>
      </c>
    </row>
    <row r="76" spans="1:19" s="4" customFormat="1" x14ac:dyDescent="0.35">
      <c r="A76" t="s">
        <v>75</v>
      </c>
      <c r="B76" s="4">
        <f>5282.835*(10^9)</f>
        <v>5282835000000</v>
      </c>
      <c r="C76" s="4">
        <f>8897.107*(10^9)</f>
        <v>8897107000000</v>
      </c>
      <c r="D76" s="4">
        <v>840474750000</v>
      </c>
      <c r="E76" s="4">
        <f>1212.36*(10^9)</f>
        <v>1212360000000</v>
      </c>
      <c r="F76" s="4">
        <f>257.495*(10^9)</f>
        <v>257495000000</v>
      </c>
      <c r="G76" s="4">
        <f>666.332*(10^9)</f>
        <v>666332000000</v>
      </c>
      <c r="H76" s="4">
        <f>18.181*(10^9)</f>
        <v>18181000000</v>
      </c>
      <c r="I76" s="4">
        <f t="shared" si="3"/>
        <v>1054599000000</v>
      </c>
      <c r="J76" s="4">
        <f>453.586*(10^9)</f>
        <v>453586000000</v>
      </c>
      <c r="K76" s="4">
        <f>552.849*(10^9)</f>
        <v>552849000000</v>
      </c>
      <c r="L76" s="4">
        <f>1078.19*(10^9)</f>
        <v>1078190000000</v>
      </c>
      <c r="M76" s="5">
        <f t="shared" si="2"/>
        <v>0.59376997489183847</v>
      </c>
      <c r="N76" s="6">
        <v>52.111485143763197</v>
      </c>
      <c r="O76" s="3">
        <v>119</v>
      </c>
      <c r="P76" s="8">
        <v>61.4255</v>
      </c>
      <c r="Q76" s="2">
        <v>19.318549999999998</v>
      </c>
      <c r="R76" s="7">
        <v>5.4000000000000006E-2</v>
      </c>
      <c r="S76" s="4">
        <f>10085.7*(10^9)</f>
        <v>10085700000000</v>
      </c>
    </row>
    <row r="77" spans="1:19" s="4" customFormat="1" x14ac:dyDescent="0.35">
      <c r="A77" t="s">
        <v>76</v>
      </c>
      <c r="B77" s="4">
        <f>5399.509*(10^9)</f>
        <v>5399509000000</v>
      </c>
      <c r="C77" s="4">
        <f>9015.661*(10^9)</f>
        <v>9015661000000</v>
      </c>
      <c r="D77" s="4">
        <v>858634750000</v>
      </c>
      <c r="E77" s="4">
        <f>1230.861*(10^9)</f>
        <v>1230861000000</v>
      </c>
      <c r="F77" s="4">
        <f>261.681*(10^9)</f>
        <v>261680999999.99997</v>
      </c>
      <c r="G77" s="4">
        <f>681.924*(10^9)</f>
        <v>681924000000</v>
      </c>
      <c r="H77" s="4">
        <f>19.144*(10^9)</f>
        <v>19144000000</v>
      </c>
      <c r="I77" s="4">
        <f t="shared" si="3"/>
        <v>1073743000000</v>
      </c>
      <c r="J77" s="4">
        <f>466.619*(10^9)</f>
        <v>466619000000</v>
      </c>
      <c r="K77" s="4">
        <f>574.314*(10^9)</f>
        <v>574314000000</v>
      </c>
      <c r="L77" s="4">
        <f>1109.916*(10^9)</f>
        <v>1109916000000</v>
      </c>
      <c r="M77" s="5">
        <f t="shared" si="2"/>
        <v>0.59890328618167876</v>
      </c>
      <c r="N77" s="6">
        <v>52.661427454123697</v>
      </c>
      <c r="O77" s="3">
        <v>120.3</v>
      </c>
      <c r="P77" s="8">
        <v>62.117100000000001</v>
      </c>
      <c r="Q77" s="2">
        <v>19.810870000000001</v>
      </c>
      <c r="R77" s="7">
        <v>5.2999999999999999E-2</v>
      </c>
      <c r="S77" s="4">
        <f>10303.6*(10^9)</f>
        <v>10303600000000</v>
      </c>
    </row>
    <row r="78" spans="1:19" s="4" customFormat="1" x14ac:dyDescent="0.35">
      <c r="A78" t="s">
        <v>77</v>
      </c>
      <c r="B78" s="4">
        <f>5511.253*(10^9)</f>
        <v>5511253000000</v>
      </c>
      <c r="C78" s="4">
        <f>9107.314*(10^9)</f>
        <v>9107314000000</v>
      </c>
      <c r="D78" s="4">
        <v>872543000000</v>
      </c>
      <c r="E78" s="4">
        <f>1272.638*(10^9)</f>
        <v>1272638000000</v>
      </c>
      <c r="F78" s="4">
        <f>260.884*(10^9)</f>
        <v>260884000000</v>
      </c>
      <c r="G78" s="4">
        <f>696.466*(10^9)</f>
        <v>696466000000</v>
      </c>
      <c r="H78" s="4">
        <f>48.137*(10^9)</f>
        <v>48137000000</v>
      </c>
      <c r="I78" s="4">
        <f t="shared" si="3"/>
        <v>1121880000000</v>
      </c>
      <c r="J78" s="4">
        <f>485.189*(10^9)</f>
        <v>485189000000</v>
      </c>
      <c r="K78" s="4">
        <f>586.154*(10^9)</f>
        <v>586154000000</v>
      </c>
      <c r="L78" s="4">
        <f>1116.559*(10^9)</f>
        <v>1116559000000</v>
      </c>
      <c r="M78" s="5">
        <f t="shared" si="2"/>
        <v>0.60514582016168539</v>
      </c>
      <c r="N78" s="6">
        <v>53.321952474512202</v>
      </c>
      <c r="O78" s="3">
        <v>121.66666666666667</v>
      </c>
      <c r="P78" s="8">
        <v>62.195</v>
      </c>
      <c r="Q78" s="2">
        <v>20.907109999999999</v>
      </c>
      <c r="R78" s="7">
        <v>0.05</v>
      </c>
      <c r="S78" s="4">
        <f>10470.5*(10^9)</f>
        <v>10470500000000</v>
      </c>
    </row>
    <row r="79" spans="1:19" s="4" customFormat="1" x14ac:dyDescent="0.35">
      <c r="A79" t="s">
        <v>78</v>
      </c>
      <c r="B79" s="4">
        <f>5612.463*(10^9)</f>
        <v>5612463000000</v>
      </c>
      <c r="C79" s="4">
        <f>9176.827*(10^9)</f>
        <v>9176827000000</v>
      </c>
      <c r="D79" s="4">
        <v>888441750000</v>
      </c>
      <c r="E79" s="4">
        <f>1260.328*(10^9)</f>
        <v>1260328000000</v>
      </c>
      <c r="F79" s="4">
        <f>255.792*(10^9)</f>
        <v>255792000000</v>
      </c>
      <c r="G79" s="4">
        <f>708.998*(10^9)</f>
        <v>708998000000</v>
      </c>
      <c r="H79" s="4">
        <f>36.257*(10^9)</f>
        <v>36257000000</v>
      </c>
      <c r="I79" s="4">
        <f t="shared" si="3"/>
        <v>1158137000000</v>
      </c>
      <c r="J79" s="4">
        <f>507.229*(10^9)</f>
        <v>507229000000</v>
      </c>
      <c r="K79" s="4">
        <f>595.389*(10^9)</f>
        <v>595389000000</v>
      </c>
      <c r="L79" s="4">
        <f>1145.809*(10^9)</f>
        <v>1145809000000</v>
      </c>
      <c r="M79" s="5">
        <f t="shared" si="2"/>
        <v>0.61159080366231156</v>
      </c>
      <c r="N79" s="6">
        <v>54.149833451560397</v>
      </c>
      <c r="O79" s="3">
        <v>123.63333333333334</v>
      </c>
      <c r="P79" s="8">
        <v>61.824599999999997</v>
      </c>
      <c r="Q79" s="2">
        <v>22.414829999999998</v>
      </c>
      <c r="R79" s="7">
        <v>5.2999999999999999E-2</v>
      </c>
      <c r="S79" s="4">
        <f>10661.4*(10^9)</f>
        <v>10661400000000</v>
      </c>
    </row>
    <row r="80" spans="1:19" s="4" customFormat="1" x14ac:dyDescent="0.35">
      <c r="A80" t="s">
        <v>79</v>
      </c>
      <c r="B80" s="4">
        <f>5695.365*(10^9)</f>
        <v>5695365000000</v>
      </c>
      <c r="C80" s="4">
        <f>9244.816*(10^9)</f>
        <v>9244816000000</v>
      </c>
      <c r="D80" s="4">
        <v>902349750000</v>
      </c>
      <c r="E80" s="4">
        <f>1249.012*(10^9)</f>
        <v>1249012000000</v>
      </c>
      <c r="F80" s="4">
        <f>255.498*(10^9)</f>
        <v>255498000000</v>
      </c>
      <c r="G80" s="4">
        <f>731.137*(10^9)</f>
        <v>731137000000</v>
      </c>
      <c r="H80" s="4">
        <f>9.826*(10^9)</f>
        <v>9826000000</v>
      </c>
      <c r="I80" s="4">
        <f t="shared" si="3"/>
        <v>1167963000000</v>
      </c>
      <c r="J80" s="4">
        <f>509.352*(10^9)</f>
        <v>509352000000</v>
      </c>
      <c r="K80" s="4">
        <f>584.427*(10^9)</f>
        <v>584427000000</v>
      </c>
      <c r="L80" s="4">
        <f>1164.58*(10^9)</f>
        <v>1164580000000</v>
      </c>
      <c r="M80" s="5">
        <f t="shared" si="2"/>
        <v>0.61606039536103263</v>
      </c>
      <c r="N80" s="6">
        <v>54.501366171095597</v>
      </c>
      <c r="O80" s="3">
        <v>124.6</v>
      </c>
      <c r="P80" s="8">
        <v>61.622100000000003</v>
      </c>
      <c r="Q80" s="2">
        <v>24.360520000000001</v>
      </c>
      <c r="R80" s="7">
        <v>5.2999999999999999E-2</v>
      </c>
      <c r="S80" s="4">
        <f>10828.2*(10^9)</f>
        <v>10828200000000</v>
      </c>
    </row>
    <row r="81" spans="1:19" s="4" customFormat="1" x14ac:dyDescent="0.35">
      <c r="A81" t="s">
        <v>80</v>
      </c>
      <c r="B81" s="4">
        <f>5747.237*(10^9)</f>
        <v>5747237000000</v>
      </c>
      <c r="C81" s="4">
        <f>9263.033*(10^9)</f>
        <v>9263033000000</v>
      </c>
      <c r="D81" s="4">
        <v>913423000000</v>
      </c>
      <c r="E81" s="4">
        <f>1239.747*(10^9)</f>
        <v>1239747000000</v>
      </c>
      <c r="F81" s="4">
        <f>251.884*(10^9)</f>
        <v>251884000000</v>
      </c>
      <c r="G81" s="4">
        <f>727.373*(10^9)</f>
        <v>727373000000</v>
      </c>
      <c r="H81" s="4">
        <f>16.553*(10^9)</f>
        <v>16553000000</v>
      </c>
      <c r="I81" s="4">
        <f t="shared" si="3"/>
        <v>1184516000000</v>
      </c>
      <c r="J81" s="4">
        <f>515.387*(10^9)</f>
        <v>515386999999.99994</v>
      </c>
      <c r="K81" s="4">
        <f>598.152*(10^9)</f>
        <v>598152000000</v>
      </c>
      <c r="L81" s="4">
        <f>1180.5*(10^9)</f>
        <v>1180500000000</v>
      </c>
      <c r="M81" s="5">
        <f t="shared" si="2"/>
        <v>0.62044872343648139</v>
      </c>
      <c r="N81" s="6">
        <v>54.969334247032002</v>
      </c>
      <c r="O81" s="3">
        <v>125.86666666666666</v>
      </c>
      <c r="P81" s="8">
        <v>62.1111</v>
      </c>
      <c r="Q81" s="2">
        <v>24.46838</v>
      </c>
      <c r="R81" s="7">
        <v>5.4000000000000006E-2</v>
      </c>
      <c r="S81" s="4">
        <f>10961.1*(10^9)</f>
        <v>10961100000000</v>
      </c>
    </row>
    <row r="82" spans="1:19" s="4" customFormat="1" x14ac:dyDescent="0.35">
      <c r="A82" t="s">
        <v>81</v>
      </c>
      <c r="B82" s="4">
        <f>5872.701*(10^9)</f>
        <v>5872701000000</v>
      </c>
      <c r="C82" s="4">
        <f>9364.259*(10^9)</f>
        <v>9364259000000</v>
      </c>
      <c r="D82" s="4">
        <v>934487000000</v>
      </c>
      <c r="E82" s="4">
        <f>1252.058*(10^9)</f>
        <v>1252058000000</v>
      </c>
      <c r="F82" s="4">
        <f>256.004*(10^9)</f>
        <v>256004000000.00003</v>
      </c>
      <c r="G82" s="4">
        <f>740.88*(10^9)</f>
        <v>740880000000</v>
      </c>
      <c r="H82" s="4">
        <f>13.954*(10^9)</f>
        <v>13954000000</v>
      </c>
      <c r="I82" s="4">
        <f t="shared" si="3"/>
        <v>1198470000000</v>
      </c>
      <c r="J82" s="4">
        <f>538.232*(10^9)</f>
        <v>538232000000</v>
      </c>
      <c r="K82" s="4">
        <f>626.767*(10^9)</f>
        <v>626767000000</v>
      </c>
      <c r="L82" s="4">
        <f>1212.45*(10^9)</f>
        <v>1212450000000</v>
      </c>
      <c r="M82" s="5">
        <f t="shared" si="2"/>
        <v>0.62713995843130776</v>
      </c>
      <c r="N82" s="6">
        <v>55.846057855429798</v>
      </c>
      <c r="O82" s="3">
        <v>128.03333333333333</v>
      </c>
      <c r="P82" s="8">
        <v>62.644599999999997</v>
      </c>
      <c r="Q82" s="2">
        <v>23.731570000000001</v>
      </c>
      <c r="R82" s="7">
        <v>5.2000000000000005E-2</v>
      </c>
      <c r="S82" s="4">
        <f>11213.8*(10^9)</f>
        <v>11213800000000</v>
      </c>
    </row>
    <row r="83" spans="1:19" s="4" customFormat="1" x14ac:dyDescent="0.35">
      <c r="A83" t="s">
        <v>82</v>
      </c>
      <c r="B83" s="4">
        <f>5960.028*(10^9)</f>
        <v>5960028000000</v>
      </c>
      <c r="C83" s="4">
        <f>9398.243*(10^9)</f>
        <v>9398243000000</v>
      </c>
      <c r="D83" s="4">
        <v>945855250000</v>
      </c>
      <c r="E83" s="4">
        <f>1252.449*(10^9)</f>
        <v>1252449000000</v>
      </c>
      <c r="F83" s="4">
        <f>246.896*(10^9)</f>
        <v>246896000000</v>
      </c>
      <c r="G83" s="4">
        <f>734.124*(10^9)</f>
        <v>734124000000</v>
      </c>
      <c r="H83" s="4">
        <f>33.7*(10^9)</f>
        <v>33700000000.000004</v>
      </c>
      <c r="I83" s="4">
        <f t="shared" si="3"/>
        <v>1232170000000</v>
      </c>
      <c r="J83" s="4">
        <f>545.925*(10^9)</f>
        <v>545924999999.99994</v>
      </c>
      <c r="K83" s="4">
        <f>614.759*(10^9)</f>
        <v>614759000000</v>
      </c>
      <c r="L83" s="4">
        <f>1230.721*(10^9)</f>
        <v>1230721000000</v>
      </c>
      <c r="M83" s="5">
        <f t="shared" si="2"/>
        <v>0.63416406662394242</v>
      </c>
      <c r="N83" s="6">
        <v>56.431043265865</v>
      </c>
      <c r="O83" s="3">
        <v>129.30000000000001</v>
      </c>
      <c r="P83" s="8">
        <v>62.892299999999999</v>
      </c>
      <c r="Q83" s="2">
        <v>24.471550000000001</v>
      </c>
      <c r="R83" s="7">
        <v>5.2000000000000005E-2</v>
      </c>
      <c r="S83" s="4">
        <f>11350.3*(10^9)</f>
        <v>11350300000000</v>
      </c>
    </row>
    <row r="84" spans="1:19" s="4" customFormat="1" x14ac:dyDescent="0.35">
      <c r="A84" t="s">
        <v>83</v>
      </c>
      <c r="B84" s="4">
        <f>6015.116*(10^9)</f>
        <v>6015116000000</v>
      </c>
      <c r="C84" s="4">
        <f>9404.494*(10^9)</f>
        <v>9404494000000</v>
      </c>
      <c r="D84" s="4">
        <v>961675000000</v>
      </c>
      <c r="E84" s="4">
        <f>1228.17*(10^9)</f>
        <v>1228170000000</v>
      </c>
      <c r="F84" s="4">
        <f>234.507*(10^9)</f>
        <v>234507000000</v>
      </c>
      <c r="G84" s="4">
        <f>744.412*(10^9)</f>
        <v>744412000000</v>
      </c>
      <c r="H84" s="4">
        <f>21.866*(10^9)</f>
        <v>21866000000</v>
      </c>
      <c r="I84" s="4">
        <f t="shared" si="3"/>
        <v>1254036000000</v>
      </c>
      <c r="J84" s="4">
        <f>555.149*(10^9)</f>
        <v>555149000000</v>
      </c>
      <c r="K84" s="4">
        <f>630.102*(10^9)</f>
        <v>630102000000</v>
      </c>
      <c r="L84" s="4">
        <f>1242.584*(10^9)</f>
        <v>1242584000000</v>
      </c>
      <c r="M84" s="5">
        <f t="shared" si="2"/>
        <v>0.6396001741295172</v>
      </c>
      <c r="N84" s="6">
        <v>57.251984797334998</v>
      </c>
      <c r="O84" s="3">
        <v>131.53333333333333</v>
      </c>
      <c r="P84" s="8">
        <v>63.032800000000002</v>
      </c>
      <c r="Q84" s="2">
        <v>23.51952</v>
      </c>
      <c r="R84" s="7">
        <v>5.9000000000000004E-2</v>
      </c>
      <c r="S84" s="4">
        <f>11540.1*(10^9)</f>
        <v>11540100000000</v>
      </c>
    </row>
    <row r="85" spans="1:19" s="4" customFormat="1" x14ac:dyDescent="0.35">
      <c r="A85" t="s">
        <v>84</v>
      </c>
      <c r="B85" s="4">
        <f>6004.733*(10^9)</f>
        <v>6004733000000</v>
      </c>
      <c r="C85" s="4">
        <f>9318.876*(10^9)</f>
        <v>9318876000000</v>
      </c>
      <c r="D85" s="4">
        <v>966977250000</v>
      </c>
      <c r="E85" s="4">
        <f>1159.464*(10^9)</f>
        <v>1159464000000</v>
      </c>
      <c r="F85" s="4">
        <f>221.268*(10^9)</f>
        <v>221268000000</v>
      </c>
      <c r="G85" s="4">
        <f>737.519*(10^9)</f>
        <v>737519000000</v>
      </c>
      <c r="H85" s="4">
        <f>-11.335*(10^9)</f>
        <v>-11335000000</v>
      </c>
      <c r="I85" s="4">
        <f t="shared" si="3"/>
        <v>1242701000000</v>
      </c>
      <c r="J85" s="4">
        <f>568.186*(10^9)</f>
        <v>568186000000</v>
      </c>
      <c r="K85" s="4">
        <f>647.282*(10^9)</f>
        <v>647282000000</v>
      </c>
      <c r="L85" s="4">
        <f>1268.467*(10^9)</f>
        <v>1268467000000</v>
      </c>
      <c r="M85" s="5">
        <f t="shared" si="2"/>
        <v>0.64436236730695851</v>
      </c>
      <c r="N85" s="6">
        <v>58.101867993583397</v>
      </c>
      <c r="O85" s="3">
        <v>133.76666666666668</v>
      </c>
      <c r="P85" s="8">
        <v>61.4345</v>
      </c>
      <c r="Q85" s="2">
        <v>22.176200000000001</v>
      </c>
      <c r="R85" s="7">
        <v>6.3E-2</v>
      </c>
      <c r="S85" s="4">
        <f>11603.8*(10^9)</f>
        <v>11603800000000</v>
      </c>
    </row>
    <row r="86" spans="1:19" s="4" customFormat="1" x14ac:dyDescent="0.35">
      <c r="A86" t="s">
        <v>85</v>
      </c>
      <c r="B86" s="4">
        <f>6035.178*(10^9)</f>
        <v>6035178000000</v>
      </c>
      <c r="C86" s="4">
        <f>9275.276*(10^9)</f>
        <v>9275276000000</v>
      </c>
      <c r="D86" s="4">
        <v>968390500000</v>
      </c>
      <c r="E86" s="4">
        <f>1120.884*(10^9)</f>
        <v>1120884000000</v>
      </c>
      <c r="F86" s="4">
        <f>210.289*(10^9)</f>
        <v>210289000000</v>
      </c>
      <c r="G86" s="4">
        <f>729.8*(10^9)</f>
        <v>729800000000</v>
      </c>
      <c r="H86" s="4">
        <f>-15.52*(10^9)</f>
        <v>-15520000000</v>
      </c>
      <c r="I86" s="4">
        <f t="shared" si="3"/>
        <v>1227181000000</v>
      </c>
      <c r="J86" s="4">
        <f>573.177*(10^9)</f>
        <v>573177000000</v>
      </c>
      <c r="K86" s="4">
        <f>620.317*(10^9)</f>
        <v>620317000000</v>
      </c>
      <c r="L86" s="4">
        <f>1284.187*(10^9)</f>
        <v>1284187000000</v>
      </c>
      <c r="M86" s="5">
        <f t="shared" si="2"/>
        <v>0.65067368345696663</v>
      </c>
      <c r="N86" s="6">
        <v>58.380388256956302</v>
      </c>
      <c r="O86" s="3">
        <v>134.76666666666668</v>
      </c>
      <c r="P86" s="8">
        <v>60.4377</v>
      </c>
      <c r="Q86" s="2">
        <v>24.711379999999998</v>
      </c>
      <c r="R86" s="7">
        <v>6.8000000000000005E-2</v>
      </c>
      <c r="S86" s="4">
        <f>11620.7*(10^9)</f>
        <v>11620700000000</v>
      </c>
    </row>
    <row r="87" spans="1:19" s="4" customFormat="1" x14ac:dyDescent="0.35">
      <c r="A87" t="s">
        <v>86</v>
      </c>
      <c r="B87" s="4">
        <f>6126.862*(10^9)</f>
        <v>6126862000000</v>
      </c>
      <c r="C87" s="4">
        <f>9347.597*(10^9)</f>
        <v>9347597000000</v>
      </c>
      <c r="D87" s="4">
        <v>981733000000</v>
      </c>
      <c r="E87" s="4">
        <f>1120.88*(10^9)</f>
        <v>1120880000000</v>
      </c>
      <c r="F87" s="4">
        <f>217.788*(10^9)</f>
        <v>217788000000</v>
      </c>
      <c r="G87" s="4">
        <f>726.787*(10^9)</f>
        <v>726787000000</v>
      </c>
      <c r="H87" s="4">
        <f>-18.033*(10^9)</f>
        <v>-18033000000</v>
      </c>
      <c r="I87" s="4">
        <f t="shared" si="3"/>
        <v>1209148000000</v>
      </c>
      <c r="J87" s="4">
        <f>590.733*(10^9)</f>
        <v>590733000000</v>
      </c>
      <c r="K87" s="4">
        <f>613.921*(10^9)</f>
        <v>613921000000</v>
      </c>
      <c r="L87" s="4">
        <f>1296.577*(10^9)</f>
        <v>1296577000000</v>
      </c>
      <c r="M87" s="5">
        <f t="shared" si="2"/>
        <v>0.65544781188149215</v>
      </c>
      <c r="N87" s="6">
        <v>58.722651153352103</v>
      </c>
      <c r="O87" s="3">
        <v>135.56666666666666</v>
      </c>
      <c r="P87" s="8">
        <v>61.692300000000003</v>
      </c>
      <c r="Q87" s="2">
        <v>26.53304</v>
      </c>
      <c r="R87" s="7">
        <v>6.9000000000000006E-2</v>
      </c>
      <c r="S87" s="4">
        <f>11780.8*(10^9)</f>
        <v>11780800000000</v>
      </c>
    </row>
    <row r="88" spans="1:19" s="4" customFormat="1" x14ac:dyDescent="0.35">
      <c r="A88" t="s">
        <v>87</v>
      </c>
      <c r="B88" s="4">
        <f>6205.937*(10^9)</f>
        <v>6205937000000</v>
      </c>
      <c r="C88" s="4">
        <f>9394.834*(10^9)</f>
        <v>9394834000000</v>
      </c>
      <c r="D88" s="4">
        <v>993317250000</v>
      </c>
      <c r="E88" s="4">
        <f>1143.073*(10^9)</f>
        <v>1143073000000</v>
      </c>
      <c r="F88" s="4">
        <f>226.483*(10^9)</f>
        <v>226483000000</v>
      </c>
      <c r="G88" s="4">
        <f>720.15*(10^9)</f>
        <v>720150000000</v>
      </c>
      <c r="H88" s="4">
        <f>0.843*(10^9)</f>
        <v>843000000</v>
      </c>
      <c r="I88" s="4">
        <f t="shared" si="3"/>
        <v>1209991000000</v>
      </c>
      <c r="J88" s="4">
        <f>600.595*(10^9)</f>
        <v>600595000000</v>
      </c>
      <c r="K88" s="4">
        <f>621.669*(10^9)</f>
        <v>621669000000</v>
      </c>
      <c r="L88" s="4">
        <f>1306.265*(10^9)</f>
        <v>1306265000000</v>
      </c>
      <c r="M88" s="5">
        <f t="shared" si="2"/>
        <v>0.66056909573921152</v>
      </c>
      <c r="N88" s="6">
        <v>59.146686721857201</v>
      </c>
      <c r="O88" s="3">
        <v>136.6</v>
      </c>
      <c r="P88" s="8">
        <v>62.3855</v>
      </c>
      <c r="Q88" s="2">
        <v>27.054089999999999</v>
      </c>
      <c r="R88" s="7">
        <v>6.9000000000000006E-2</v>
      </c>
      <c r="S88" s="4">
        <f>11919.8*(10^9)</f>
        <v>11919800000000</v>
      </c>
    </row>
    <row r="89" spans="1:19" s="4" customFormat="1" x14ac:dyDescent="0.35">
      <c r="A89" t="s">
        <v>88</v>
      </c>
      <c r="B89" s="4">
        <f>6264.54*(10^9)</f>
        <v>6264540000000</v>
      </c>
      <c r="C89" s="4">
        <f>9427.581*(10^9)</f>
        <v>9427581000000</v>
      </c>
      <c r="D89" s="4">
        <v>1000008000000</v>
      </c>
      <c r="E89" s="4">
        <f>1183.605*(10^9)</f>
        <v>1183605000000</v>
      </c>
      <c r="F89" s="4">
        <f>230.055*(10^9)</f>
        <v>230055000000</v>
      </c>
      <c r="G89" s="4">
        <f>717.6*(10^9)</f>
        <v>717600000000</v>
      </c>
      <c r="H89" s="4">
        <f>31.133*(10^9)</f>
        <v>31133000000</v>
      </c>
      <c r="I89" s="4">
        <f t="shared" si="3"/>
        <v>1241124000000</v>
      </c>
      <c r="J89" s="4">
        <f>615.217*(10^9)</f>
        <v>615217000000</v>
      </c>
      <c r="K89" s="4">
        <f>638.27*(10^9)</f>
        <v>638270000000</v>
      </c>
      <c r="L89" s="4">
        <f>1308.774*(10^9)</f>
        <v>1308774000000</v>
      </c>
      <c r="M89" s="5">
        <f t="shared" si="2"/>
        <v>0.66449071081966837</v>
      </c>
      <c r="N89" s="6">
        <v>59.617564776219098</v>
      </c>
      <c r="O89" s="3">
        <v>137.73333333333332</v>
      </c>
      <c r="P89" s="8">
        <v>61.970500000000001</v>
      </c>
      <c r="Q89" s="2">
        <v>27.32882</v>
      </c>
      <c r="R89" s="7">
        <v>7.2999999999999995E-2</v>
      </c>
      <c r="S89" s="4">
        <f>12000.1*(10^9)</f>
        <v>12000100000000</v>
      </c>
    </row>
    <row r="90" spans="1:19" s="4" customFormat="1" x14ac:dyDescent="0.35">
      <c r="A90" t="s">
        <v>89</v>
      </c>
      <c r="B90" s="4">
        <f>6363.102*(10^9)</f>
        <v>6363102000000</v>
      </c>
      <c r="C90" s="4">
        <f>9540.444*(10^9)</f>
        <v>9540444000000</v>
      </c>
      <c r="D90" s="4">
        <v>1025100250000</v>
      </c>
      <c r="E90" s="4">
        <f>1161.74*(10^9)</f>
        <v>1161740000000</v>
      </c>
      <c r="F90" s="4">
        <f>242.362*(10^9)</f>
        <v>242362000000</v>
      </c>
      <c r="G90" s="4">
        <f>714.208*(10^9)</f>
        <v>714208000000</v>
      </c>
      <c r="H90" s="4">
        <f>0.246*(10^9)</f>
        <v>246000000</v>
      </c>
      <c r="I90" s="4">
        <f t="shared" si="3"/>
        <v>1241370000000</v>
      </c>
      <c r="J90" s="4">
        <f>625.287*(10^9)</f>
        <v>625287000000</v>
      </c>
      <c r="K90" s="4">
        <f>645.823*(10^9)</f>
        <v>645823000000</v>
      </c>
      <c r="L90" s="4">
        <f>1326.421*(10^9)</f>
        <v>1326421000000</v>
      </c>
      <c r="M90" s="5">
        <f t="shared" si="2"/>
        <v>0.66696078295727113</v>
      </c>
      <c r="N90" s="6">
        <v>60.042250922719198</v>
      </c>
      <c r="O90" s="3">
        <v>138.66666666666666</v>
      </c>
      <c r="P90" s="8">
        <v>62.595500000000001</v>
      </c>
      <c r="Q90" s="2">
        <v>29.122800000000002</v>
      </c>
      <c r="R90" s="7">
        <v>7.400000000000001E-2</v>
      </c>
      <c r="S90" s="4">
        <f>12301.2*(10^9)</f>
        <v>12301200000000</v>
      </c>
    </row>
    <row r="91" spans="1:19" s="4" customFormat="1" x14ac:dyDescent="0.35">
      <c r="A91" t="s">
        <v>90</v>
      </c>
      <c r="B91" s="4">
        <f>6470.763*(10^9)</f>
        <v>6470763000000</v>
      </c>
      <c r="C91" s="4">
        <f>9643.893*(10^9)</f>
        <v>9643893000000</v>
      </c>
      <c r="D91" s="4">
        <v>1038915000000</v>
      </c>
      <c r="E91" s="4">
        <f>1227.44*(10^9)</f>
        <v>1227440000000</v>
      </c>
      <c r="F91" s="4">
        <f>253.159*(10^9)</f>
        <v>253159000000</v>
      </c>
      <c r="G91" s="4">
        <f>736.717*(10^9)</f>
        <v>736717000000</v>
      </c>
      <c r="H91" s="4">
        <f>23.209*(10^9)</f>
        <v>23209000000</v>
      </c>
      <c r="I91" s="4">
        <f t="shared" si="3"/>
        <v>1264579000000</v>
      </c>
      <c r="J91" s="4">
        <f>626.163*(10^9)</f>
        <v>626163000000</v>
      </c>
      <c r="K91" s="4">
        <f>658.951*(10^9)</f>
        <v>658951000000</v>
      </c>
      <c r="L91" s="4">
        <f>1334.807*(10^9)</f>
        <v>1334807000000</v>
      </c>
      <c r="M91" s="5">
        <f t="shared" si="2"/>
        <v>0.67097001179917692</v>
      </c>
      <c r="N91" s="6">
        <v>60.474603044818899</v>
      </c>
      <c r="O91" s="3">
        <v>139.73333333333332</v>
      </c>
      <c r="P91" s="8">
        <v>63.310200000000002</v>
      </c>
      <c r="Q91" s="2">
        <v>28.916440000000001</v>
      </c>
      <c r="R91" s="7">
        <v>7.8E-2</v>
      </c>
      <c r="S91" s="4">
        <f>12467*(10^9)</f>
        <v>12467000000000</v>
      </c>
    </row>
    <row r="92" spans="1:19" s="4" customFormat="1" x14ac:dyDescent="0.35">
      <c r="A92" t="s">
        <v>91</v>
      </c>
      <c r="B92" s="4">
        <f>6566.641*(10^9)</f>
        <v>6566641000000</v>
      </c>
      <c r="C92" s="4">
        <f>9739.185*(10^9)</f>
        <v>9739185000000</v>
      </c>
      <c r="D92" s="4">
        <v>1056742749999.9999</v>
      </c>
      <c r="E92" s="4">
        <f>1237.197*(10^9)</f>
        <v>1237197000000</v>
      </c>
      <c r="F92" s="4">
        <f>255.113*(10^9)</f>
        <v>255113000000</v>
      </c>
      <c r="G92" s="4">
        <f>748.536*(10^9)</f>
        <v>748536000000</v>
      </c>
      <c r="H92" s="4">
        <f>20.512*(10^9)</f>
        <v>20512000000</v>
      </c>
      <c r="I92" s="4">
        <f t="shared" si="3"/>
        <v>1285091000000</v>
      </c>
      <c r="J92" s="4">
        <f>639.365*(10^9)</f>
        <v>639365000000</v>
      </c>
      <c r="K92" s="4">
        <f>677.853*(10^9)</f>
        <v>677853000000</v>
      </c>
      <c r="L92" s="4">
        <f>1353.997*(10^9)</f>
        <v>1353997000000</v>
      </c>
      <c r="M92" s="5">
        <f t="shared" si="2"/>
        <v>0.67424953936083976</v>
      </c>
      <c r="N92" s="6">
        <v>60.907046957310499</v>
      </c>
      <c r="O92" s="3">
        <v>140.80000000000001</v>
      </c>
      <c r="P92" s="8">
        <v>63.721699999999998</v>
      </c>
      <c r="Q92" s="2">
        <v>29.366029999999999</v>
      </c>
      <c r="R92" s="7">
        <v>7.5999999999999998E-2</v>
      </c>
      <c r="S92" s="4">
        <f>12681*(10^9)</f>
        <v>12681000000000</v>
      </c>
    </row>
    <row r="93" spans="1:19" s="4" customFormat="1" x14ac:dyDescent="0.35">
      <c r="A93" t="s">
        <v>92</v>
      </c>
      <c r="B93" s="4">
        <f>6680.803*(10^9)</f>
        <v>6680803000000</v>
      </c>
      <c r="C93" s="4">
        <f>9840.753*(10^9)</f>
        <v>9840753000000</v>
      </c>
      <c r="D93" s="4">
        <v>1076801250000</v>
      </c>
      <c r="E93" s="4">
        <f>1274.945*(10^9)</f>
        <v>1274945000000</v>
      </c>
      <c r="F93" s="4">
        <f>268.331*(10^9)</f>
        <v>268331000000.00003</v>
      </c>
      <c r="G93" s="4">
        <f>768.287*(10^9)</f>
        <v>768287000000</v>
      </c>
      <c r="H93" s="4">
        <f>21.344*(10^9)</f>
        <v>21344000000</v>
      </c>
      <c r="I93" s="4">
        <f t="shared" si="3"/>
        <v>1306435000000</v>
      </c>
      <c r="J93" s="4">
        <f>641.396*(10^9)</f>
        <v>641396000000</v>
      </c>
      <c r="K93" s="4">
        <f>688.536*(10^9)</f>
        <v>688536000000</v>
      </c>
      <c r="L93" s="4">
        <f>1362.775*(10^9)</f>
        <v>1362775000000</v>
      </c>
      <c r="M93" s="5">
        <f t="shared" si="2"/>
        <v>0.67889144255525979</v>
      </c>
      <c r="N93" s="6">
        <v>61.377687613576398</v>
      </c>
      <c r="O93" s="3">
        <v>142.03333333333333</v>
      </c>
      <c r="P93" s="8">
        <v>64.516099999999994</v>
      </c>
      <c r="Q93" s="2">
        <v>29.831610000000001</v>
      </c>
      <c r="R93" s="7">
        <v>7.400000000000001E-2</v>
      </c>
      <c r="S93" s="4">
        <f>12921.6*(10^9)</f>
        <v>12921600000000</v>
      </c>
    </row>
    <row r="94" spans="1:19" s="4" customFormat="1" x14ac:dyDescent="0.35">
      <c r="A94" t="s">
        <v>93</v>
      </c>
      <c r="B94" s="4">
        <f>6729.459*(10^9)</f>
        <v>6729459000000</v>
      </c>
      <c r="C94" s="4">
        <f>9857.185*(10^9)</f>
        <v>9857185000000</v>
      </c>
      <c r="D94" s="4">
        <v>1087378750000.0001</v>
      </c>
      <c r="E94" s="4">
        <f>1305.003*(10^9)</f>
        <v>1305003000000</v>
      </c>
      <c r="F94" s="4">
        <f>271.401*(10^9)</f>
        <v>271401000000</v>
      </c>
      <c r="G94" s="4">
        <f>776.488*(10^9)</f>
        <v>776488000000</v>
      </c>
      <c r="H94" s="4">
        <f>35.94*(10^9)</f>
        <v>35940000000</v>
      </c>
      <c r="I94" s="4">
        <f t="shared" si="3"/>
        <v>1342375000000</v>
      </c>
      <c r="J94" s="4">
        <f>643.606*(10^9)</f>
        <v>643606000000</v>
      </c>
      <c r="K94" s="4">
        <f>699.31*(10^9)</f>
        <v>699310000000</v>
      </c>
      <c r="L94" s="4">
        <f>1351.818*(10^9)</f>
        <v>1351818000000</v>
      </c>
      <c r="M94" s="5">
        <f t="shared" si="2"/>
        <v>0.68269582035844922</v>
      </c>
      <c r="N94" s="6">
        <v>61.799909294067703</v>
      </c>
      <c r="O94" s="3">
        <v>143.06666666666666</v>
      </c>
      <c r="P94" s="8">
        <v>65.017600000000002</v>
      </c>
      <c r="Q94" s="2">
        <v>31.193239999999999</v>
      </c>
      <c r="R94" s="7">
        <v>7.0000000000000007E-2</v>
      </c>
      <c r="S94" s="4">
        <f>13048.5*(10^9)</f>
        <v>13048500000000</v>
      </c>
    </row>
    <row r="95" spans="1:19" s="4" customFormat="1" x14ac:dyDescent="0.35">
      <c r="A95" t="s">
        <v>94</v>
      </c>
      <c r="B95" s="4">
        <f>6808.939*(10^9)</f>
        <v>6808939000000</v>
      </c>
      <c r="C95" s="4">
        <f>9914.565*(10^9)</f>
        <v>9914565000000</v>
      </c>
      <c r="D95" s="4">
        <v>1104645250000</v>
      </c>
      <c r="E95" s="4">
        <f>1312.511*(10^9)</f>
        <v>1312511000000</v>
      </c>
      <c r="F95" s="4">
        <f>278.005*(10^9)</f>
        <v>278005000000</v>
      </c>
      <c r="G95" s="4">
        <f>792.371*(10^9)</f>
        <v>792371000000</v>
      </c>
      <c r="H95" s="4">
        <f>24.104*(10^9)</f>
        <v>24104000000</v>
      </c>
      <c r="I95" s="4">
        <f t="shared" si="3"/>
        <v>1366479000000</v>
      </c>
      <c r="J95" s="4">
        <f>653.094*(10^9)</f>
        <v>653094000000</v>
      </c>
      <c r="K95" s="4">
        <f>716.281*(10^9)</f>
        <v>716281000000</v>
      </c>
      <c r="L95" s="4">
        <f>1359.066*(10^9)</f>
        <v>1359066000000</v>
      </c>
      <c r="M95" s="5">
        <f t="shared" si="2"/>
        <v>0.68676124469404354</v>
      </c>
      <c r="N95" s="6">
        <v>62.227244789429101</v>
      </c>
      <c r="O95" s="3">
        <v>144.1</v>
      </c>
      <c r="P95" s="8">
        <v>65.098399999999998</v>
      </c>
      <c r="Q95" s="2">
        <v>31.479199999999999</v>
      </c>
      <c r="R95" s="7">
        <v>7.0000000000000007E-2</v>
      </c>
      <c r="S95" s="4">
        <f>13255.8*(10^9)</f>
        <v>13255800000000</v>
      </c>
    </row>
    <row r="96" spans="1:19" s="4" customFormat="1" x14ac:dyDescent="0.35">
      <c r="A96" t="s">
        <v>95</v>
      </c>
      <c r="B96" s="4">
        <f>6882.098*(10^9)</f>
        <v>6882098000000</v>
      </c>
      <c r="C96" s="4">
        <f>9961.873*(10^9)</f>
        <v>9961873000000</v>
      </c>
      <c r="D96" s="4">
        <v>1121797250000</v>
      </c>
      <c r="E96" s="4">
        <f>1303.597*(10^9)</f>
        <v>1303597000000</v>
      </c>
      <c r="F96" s="4">
        <f>290.939*(10^9)</f>
        <v>290939000000</v>
      </c>
      <c r="G96" s="4">
        <f>798.315*(10^9)</f>
        <v>798315000000</v>
      </c>
      <c r="H96" s="4">
        <f>6.598*(10^9)</f>
        <v>6598000000</v>
      </c>
      <c r="I96" s="4">
        <f t="shared" si="3"/>
        <v>1373077000000</v>
      </c>
      <c r="J96" s="4">
        <f>650.897*(10^9)</f>
        <v>650897000000</v>
      </c>
      <c r="K96" s="4">
        <f>719.251*(10^9)</f>
        <v>719251000000</v>
      </c>
      <c r="L96" s="4">
        <f>1367.411*(10^9)</f>
        <v>1367411000000</v>
      </c>
      <c r="M96" s="5">
        <f t="shared" si="2"/>
        <v>0.69084378008031222</v>
      </c>
      <c r="N96" s="6">
        <v>62.494255028463598</v>
      </c>
      <c r="O96" s="3">
        <v>144.76666666666668</v>
      </c>
      <c r="P96" s="8">
        <v>65.528199999999998</v>
      </c>
      <c r="Q96" s="2">
        <v>32.19332</v>
      </c>
      <c r="R96" s="7">
        <v>6.7000000000000004E-2</v>
      </c>
      <c r="S96" s="4">
        <f>13461.5*(10^9)</f>
        <v>13461500000000</v>
      </c>
    </row>
    <row r="97" spans="1:19" s="4" customFormat="1" x14ac:dyDescent="0.35">
      <c r="A97" t="s">
        <v>96</v>
      </c>
      <c r="B97" s="4">
        <f>7013.738*(10^9)</f>
        <v>7013738000000</v>
      </c>
      <c r="C97" s="4">
        <f>10097.362*(10^9)</f>
        <v>10097362000000</v>
      </c>
      <c r="D97" s="4">
        <v>1138162750000</v>
      </c>
      <c r="E97" s="4">
        <f>1372.097*(10^9)</f>
        <v>1372097000000</v>
      </c>
      <c r="F97" s="4">
        <f>306.889*(10^9)</f>
        <v>306889000000</v>
      </c>
      <c r="G97" s="4">
        <f>829.642*(10^9)</f>
        <v>829642000000</v>
      </c>
      <c r="H97" s="4">
        <f>16.612*(10^9)</f>
        <v>16611999999.999998</v>
      </c>
      <c r="I97" s="4">
        <f t="shared" si="3"/>
        <v>1389689000000</v>
      </c>
      <c r="J97" s="4">
        <f>671.6*(10^9)</f>
        <v>671600000000</v>
      </c>
      <c r="K97" s="4">
        <f>745.049*(10^9)</f>
        <v>745049000000</v>
      </c>
      <c r="L97" s="4">
        <f>1381.394*(10^9)</f>
        <v>1381394000000</v>
      </c>
      <c r="M97" s="5">
        <f t="shared" si="2"/>
        <v>0.69461092907236566</v>
      </c>
      <c r="N97" s="6">
        <v>62.846560588328799</v>
      </c>
      <c r="O97" s="3">
        <v>145.96666666666667</v>
      </c>
      <c r="P97" s="8">
        <v>66.703800000000001</v>
      </c>
      <c r="Q97" s="2">
        <v>32.899009999999997</v>
      </c>
      <c r="R97" s="7">
        <v>6.5000000000000002E-2</v>
      </c>
      <c r="S97" s="4">
        <f>13658*(10^9)</f>
        <v>13658000000000</v>
      </c>
    </row>
    <row r="98" spans="1:19" s="4" customFormat="1" x14ac:dyDescent="0.35">
      <c r="A98" t="s">
        <v>97</v>
      </c>
      <c r="B98" s="4">
        <f>7115.652*(10^9)</f>
        <v>7115652000000</v>
      </c>
      <c r="C98" s="4">
        <f>10195.338*(10^9)</f>
        <v>10195338000000</v>
      </c>
      <c r="D98" s="4">
        <v>1155305750000</v>
      </c>
      <c r="E98" s="4">
        <f>1424.36*(10^9)</f>
        <v>1424360000000</v>
      </c>
      <c r="F98" s="4">
        <f>315.598*(10^9)</f>
        <v>315598000000</v>
      </c>
      <c r="G98" s="4">
        <f>840.715*(10^9)</f>
        <v>840715000000</v>
      </c>
      <c r="H98" s="4">
        <f>45.362*(10^9)</f>
        <v>45362000000</v>
      </c>
      <c r="I98" s="4">
        <f t="shared" si="3"/>
        <v>1435051000000</v>
      </c>
      <c r="J98" s="4">
        <f>681.232*(10^9)</f>
        <v>681232000000</v>
      </c>
      <c r="K98" s="4">
        <f>761.827*(10^9)</f>
        <v>761827000000</v>
      </c>
      <c r="L98" s="4">
        <f>1373.35*(10^9)</f>
        <v>1373350000000</v>
      </c>
      <c r="M98" s="5">
        <f t="shared" si="2"/>
        <v>0.69793193712655721</v>
      </c>
      <c r="N98" s="6">
        <v>63.083548063430399</v>
      </c>
      <c r="O98" s="3">
        <v>146.69999999999999</v>
      </c>
      <c r="P98" s="8">
        <v>67.633499999999998</v>
      </c>
      <c r="Q98" s="2">
        <v>33.334539999999997</v>
      </c>
      <c r="R98" s="7">
        <v>6.5000000000000002E-2</v>
      </c>
      <c r="S98" s="4">
        <f>13863.7*(10^9)</f>
        <v>13863700000000</v>
      </c>
    </row>
    <row r="99" spans="1:19" s="4" customFormat="1" x14ac:dyDescent="0.35">
      <c r="A99" t="s">
        <v>98</v>
      </c>
      <c r="B99" s="4">
        <f>7246.931*(10^9)</f>
        <v>7246931000000</v>
      </c>
      <c r="C99" s="4">
        <f>10333.495*(10^9)</f>
        <v>10333495000000</v>
      </c>
      <c r="D99" s="4">
        <v>1170790750000</v>
      </c>
      <c r="E99" s="4">
        <f>1494.411*(10^9)</f>
        <v>1494411000000</v>
      </c>
      <c r="F99" s="4">
        <f>327.929*(10^9)</f>
        <v>327929000000</v>
      </c>
      <c r="G99" s="4">
        <f>855.609*(10^9)</f>
        <v>855609000000</v>
      </c>
      <c r="H99" s="4">
        <f>81.411*(10^9)</f>
        <v>81411000000</v>
      </c>
      <c r="I99" s="4">
        <f t="shared" si="3"/>
        <v>1516462000000</v>
      </c>
      <c r="J99" s="4">
        <f>706.988*(10^9)</f>
        <v>706988000000</v>
      </c>
      <c r="K99" s="4">
        <f>797.56*(10^9)</f>
        <v>797560000000</v>
      </c>
      <c r="L99" s="4">
        <f>1389.392*(10^9)</f>
        <v>1389392000000</v>
      </c>
      <c r="M99" s="5">
        <f t="shared" si="2"/>
        <v>0.70130493119704418</v>
      </c>
      <c r="N99" s="6">
        <v>63.431992621820598</v>
      </c>
      <c r="O99" s="3">
        <v>147.53333333333333</v>
      </c>
      <c r="P99" s="8">
        <v>68.800200000000004</v>
      </c>
      <c r="Q99" s="2">
        <v>31.941649999999999</v>
      </c>
      <c r="R99" s="7">
        <v>6.0999999999999999E-2</v>
      </c>
      <c r="S99" s="4">
        <f>14049.5*(10^9)</f>
        <v>14049500000000</v>
      </c>
    </row>
    <row r="100" spans="1:19" s="4" customFormat="1" x14ac:dyDescent="0.35">
      <c r="A100" t="s">
        <v>99</v>
      </c>
      <c r="B100" s="4">
        <f>7331.075*(10^9)</f>
        <v>7331075000000</v>
      </c>
      <c r="C100" s="4">
        <f>10393.898*(10^9)</f>
        <v>10393898000000</v>
      </c>
      <c r="D100" s="4">
        <v>1188190250000</v>
      </c>
      <c r="E100" s="4">
        <f>1469.999*(10^9)</f>
        <v>1469999000000</v>
      </c>
      <c r="F100" s="4">
        <f>326.427*(10^9)</f>
        <v>326427000000</v>
      </c>
      <c r="G100" s="4">
        <f>872.098*(10^9)</f>
        <v>872098000000</v>
      </c>
      <c r="H100" s="4">
        <f>53.223*(10^9)</f>
        <v>53223000000</v>
      </c>
      <c r="I100" s="4">
        <f t="shared" si="3"/>
        <v>1569685000000</v>
      </c>
      <c r="J100" s="4">
        <f>736.883*(10^9)</f>
        <v>736883000000</v>
      </c>
      <c r="K100" s="4">
        <f>833.751*(10^9)</f>
        <v>833751000000</v>
      </c>
      <c r="L100" s="4">
        <f>1423.432*(10^9)</f>
        <v>1423432000000</v>
      </c>
      <c r="M100" s="5">
        <f t="shared" si="2"/>
        <v>0.70532489350963423</v>
      </c>
      <c r="N100" s="6">
        <v>63.888051082422997</v>
      </c>
      <c r="O100" s="3">
        <v>148.9</v>
      </c>
      <c r="P100" s="8">
        <v>69.557400000000001</v>
      </c>
      <c r="Q100" s="2">
        <v>32.549120000000002</v>
      </c>
      <c r="R100" s="7">
        <v>5.9000000000000004E-2</v>
      </c>
      <c r="S100" s="4">
        <f>14258.2*(10^9)</f>
        <v>14258200000000</v>
      </c>
    </row>
    <row r="101" spans="1:19" s="4" customFormat="1" x14ac:dyDescent="0.35">
      <c r="A101" t="s">
        <v>100</v>
      </c>
      <c r="B101" s="4">
        <f>7455.288*(10^9)</f>
        <v>7455288000000</v>
      </c>
      <c r="C101" s="4">
        <f>10512.962*(10^9)</f>
        <v>10512962000000</v>
      </c>
      <c r="D101" s="4">
        <v>1206678250000</v>
      </c>
      <c r="E101" s="4">
        <f>1530.476*(10^9)</f>
        <v>1530476000000</v>
      </c>
      <c r="F101" s="4">
        <f>325.435*(10^9)</f>
        <v>325435000000</v>
      </c>
      <c r="G101" s="4">
        <f>906.989*(10^9)</f>
        <v>906989000000</v>
      </c>
      <c r="H101" s="4">
        <f>75.142*(10^9)</f>
        <v>75142000000</v>
      </c>
      <c r="I101" s="4">
        <f t="shared" si="3"/>
        <v>1644827000000</v>
      </c>
      <c r="J101" s="4">
        <f>758.646*(10^9)</f>
        <v>758646000000</v>
      </c>
      <c r="K101" s="4">
        <f>860.559*(10^9)</f>
        <v>860559000000</v>
      </c>
      <c r="L101" s="4">
        <f>1422.923*(10^9)</f>
        <v>1422923000000</v>
      </c>
      <c r="M101" s="5">
        <f t="shared" si="2"/>
        <v>0.7091519973153142</v>
      </c>
      <c r="N101" s="6">
        <v>64.216920870378402</v>
      </c>
      <c r="O101" s="3">
        <v>149.76666666666668</v>
      </c>
      <c r="P101" s="8">
        <v>71.281400000000005</v>
      </c>
      <c r="Q101" s="2">
        <v>32.266210000000001</v>
      </c>
      <c r="R101" s="7">
        <v>5.5E-2</v>
      </c>
      <c r="S101" s="4">
        <f>14480.1*(10^9)</f>
        <v>14480100000000</v>
      </c>
    </row>
    <row r="102" spans="1:19" s="4" customFormat="1" x14ac:dyDescent="0.35">
      <c r="A102" t="s">
        <v>101</v>
      </c>
      <c r="B102" s="4">
        <f>7522.289*(10^9)</f>
        <v>7522289000000</v>
      </c>
      <c r="C102" s="4">
        <f>10550.251*(10^9)</f>
        <v>10550251000000</v>
      </c>
      <c r="D102" s="4">
        <v>1215609000000</v>
      </c>
      <c r="E102" s="4">
        <f>1546.548*(10^9)</f>
        <v>1546548000000</v>
      </c>
      <c r="F102" s="4">
        <f>321.787*(10^9)</f>
        <v>321787000000</v>
      </c>
      <c r="G102" s="4">
        <f>944.62*(10^9)</f>
        <v>944620000000</v>
      </c>
      <c r="H102" s="4">
        <f>61.179*(10^9)</f>
        <v>61179000000</v>
      </c>
      <c r="I102" s="4">
        <f t="shared" si="3"/>
        <v>1706006000000</v>
      </c>
      <c r="J102" s="4">
        <f>781.57*(10^9)</f>
        <v>781570000000</v>
      </c>
      <c r="K102" s="4">
        <f>886.899*(10^9)</f>
        <v>886899000000</v>
      </c>
      <c r="L102" s="4">
        <f>1437.596*(10^9)</f>
        <v>1437596000000</v>
      </c>
      <c r="M102" s="5">
        <f t="shared" si="2"/>
        <v>0.71299621212803377</v>
      </c>
      <c r="N102" s="6">
        <v>64.5393132684694</v>
      </c>
      <c r="O102" s="3">
        <v>150.86666666666667</v>
      </c>
      <c r="P102" s="8">
        <v>71.445099999999996</v>
      </c>
      <c r="Q102" s="2">
        <v>33.370519999999999</v>
      </c>
      <c r="R102" s="7">
        <v>5.4000000000000006E-2</v>
      </c>
      <c r="S102" s="4">
        <f>14587.4*(10^9)</f>
        <v>14587400000000</v>
      </c>
    </row>
    <row r="103" spans="1:19" s="4" customFormat="1" x14ac:dyDescent="0.35">
      <c r="A103" t="s">
        <v>102</v>
      </c>
      <c r="B103" s="4">
        <f>7580.997*(10^9)</f>
        <v>7580997000000</v>
      </c>
      <c r="C103" s="4">
        <f>10581.723*(10^9)</f>
        <v>10581723000000</v>
      </c>
      <c r="D103" s="4">
        <v>1233402250000</v>
      </c>
      <c r="E103" s="4">
        <f>1514.426*(10^9)</f>
        <v>1514426000000</v>
      </c>
      <c r="F103" s="4">
        <f>313.451*(10^9)</f>
        <v>313451000000</v>
      </c>
      <c r="G103" s="4">
        <f>956.779*(10^9)</f>
        <v>956779000000</v>
      </c>
      <c r="H103" s="4">
        <f>33.759*(10^9)</f>
        <v>33759000000</v>
      </c>
      <c r="I103" s="4">
        <f t="shared" si="3"/>
        <v>1739765000000</v>
      </c>
      <c r="J103" s="4">
        <f>798.851*(10^9)</f>
        <v>798851000000</v>
      </c>
      <c r="K103" s="4">
        <f>908.343*(10^9)</f>
        <v>908343000000</v>
      </c>
      <c r="L103" s="4">
        <f>1452.892*(10^9)</f>
        <v>1452892000000</v>
      </c>
      <c r="M103" s="5">
        <f t="shared" si="2"/>
        <v>0.71642368638831311</v>
      </c>
      <c r="N103" s="6">
        <v>64.979477131106506</v>
      </c>
      <c r="O103" s="3">
        <v>152.1</v>
      </c>
      <c r="P103" s="8">
        <v>71.896699999999996</v>
      </c>
      <c r="Q103" s="2">
        <v>36.077939999999998</v>
      </c>
      <c r="R103" s="7">
        <v>5.5999999999999994E-2</v>
      </c>
      <c r="S103" s="4">
        <f>14800.8*(10^9)</f>
        <v>14800800000000</v>
      </c>
    </row>
    <row r="104" spans="1:19" s="4" customFormat="1" x14ac:dyDescent="0.35">
      <c r="A104" t="s">
        <v>103</v>
      </c>
      <c r="B104" s="4">
        <f>7683.125*(10^9)</f>
        <v>7683125000000</v>
      </c>
      <c r="C104" s="4">
        <f>10671.738*(10^9)</f>
        <v>10671738000000</v>
      </c>
      <c r="D104" s="4">
        <v>1249665500000</v>
      </c>
      <c r="E104" s="4">
        <f>1505.399*(10^9)</f>
        <v>1505399000000</v>
      </c>
      <c r="F104" s="4">
        <f>326.393*(10^9)</f>
        <v>326393000000</v>
      </c>
      <c r="G104" s="4">
        <f>965.53*(10^9)</f>
        <v>965530000000</v>
      </c>
      <c r="H104" s="4">
        <f>11.326*(10^9)</f>
        <v>11326000000</v>
      </c>
      <c r="I104" s="4">
        <f t="shared" si="3"/>
        <v>1751091000000</v>
      </c>
      <c r="J104" s="4">
        <f>831.399*(10^9)</f>
        <v>831399000000</v>
      </c>
      <c r="K104" s="4">
        <f>905.843*(10^9)</f>
        <v>905843000000</v>
      </c>
      <c r="L104" s="4">
        <f>1455.659*(10^9)</f>
        <v>1455659000000</v>
      </c>
      <c r="M104" s="5">
        <f t="shared" si="2"/>
        <v>0.7199506771999088</v>
      </c>
      <c r="N104" s="6">
        <v>65.315094151598601</v>
      </c>
      <c r="O104" s="3">
        <v>152.86666666666667</v>
      </c>
      <c r="P104" s="8">
        <v>72.824700000000007</v>
      </c>
      <c r="Q104" s="2">
        <v>38.762439999999998</v>
      </c>
      <c r="R104" s="7">
        <v>5.5999999999999994E-2</v>
      </c>
      <c r="S104" s="4">
        <f>14996*(10^9)</f>
        <v>14996000000000</v>
      </c>
    </row>
    <row r="105" spans="1:19" s="4" customFormat="1" x14ac:dyDescent="0.35">
      <c r="A105" t="s">
        <v>104</v>
      </c>
      <c r="B105" s="4">
        <f>7772.586*(10^9)</f>
        <v>7772586000000</v>
      </c>
      <c r="C105" s="4">
        <f>10744.203*(10^9)</f>
        <v>10744203000000</v>
      </c>
      <c r="D105" s="4">
        <v>1263913750000</v>
      </c>
      <c r="E105" s="4">
        <f>1542.785*(10^9)</f>
        <v>1542785000000</v>
      </c>
      <c r="F105" s="4">
        <f>334.645*(10^9)</f>
        <v>334645000000</v>
      </c>
      <c r="G105" s="4">
        <f>982.059*(10^9)</f>
        <v>982059000000</v>
      </c>
      <c r="H105" s="4">
        <f>18.431*(10^9)</f>
        <v>18431000000</v>
      </c>
      <c r="I105" s="4">
        <f t="shared" si="3"/>
        <v>1769522000000</v>
      </c>
      <c r="J105" s="4">
        <f>839.421*(10^9)</f>
        <v>839421000000</v>
      </c>
      <c r="K105" s="4">
        <f>909.201*(10^9)</f>
        <v>909201000000</v>
      </c>
      <c r="L105" s="4">
        <f>1451.575*(10^9)</f>
        <v>1451575000000</v>
      </c>
      <c r="M105" s="5">
        <f t="shared" si="2"/>
        <v>0.72342136499096299</v>
      </c>
      <c r="N105" s="6">
        <v>65.665918611782601</v>
      </c>
      <c r="O105" s="3">
        <v>153.69999999999999</v>
      </c>
      <c r="P105" s="8">
        <v>73.142899999999997</v>
      </c>
      <c r="Q105" s="2">
        <v>40.836530000000003</v>
      </c>
      <c r="R105" s="7">
        <v>5.5999999999999994E-2</v>
      </c>
      <c r="S105" s="4">
        <f>15167*(10^9)</f>
        <v>15167000000000</v>
      </c>
    </row>
    <row r="106" spans="1:19" s="4" customFormat="1" x14ac:dyDescent="0.35">
      <c r="A106" t="s">
        <v>105</v>
      </c>
      <c r="B106" s="4">
        <f>7868.468*(10^9)</f>
        <v>7868468000000</v>
      </c>
      <c r="C106" s="4">
        <f>10824.674*(10^9)</f>
        <v>10824674000000</v>
      </c>
      <c r="D106" s="4">
        <v>1282653750000</v>
      </c>
      <c r="E106" s="4">
        <f>1567.56*(10^9)</f>
        <v>1567560000000</v>
      </c>
      <c r="F106" s="4">
        <f>344.725*(10^9)</f>
        <v>344725000000</v>
      </c>
      <c r="G106" s="4">
        <f>1003.747*(10^9)</f>
        <v>1003747000000</v>
      </c>
      <c r="H106" s="4">
        <f>6.881*(10^9)</f>
        <v>6881000000</v>
      </c>
      <c r="I106" s="4">
        <f t="shared" si="3"/>
        <v>1776403000000</v>
      </c>
      <c r="J106" s="4">
        <f>847.94*(10^9)</f>
        <v>847940000000</v>
      </c>
      <c r="K106" s="4">
        <f>936.735*(10^9)</f>
        <v>936735000000</v>
      </c>
      <c r="L106" s="4">
        <f>1471.295*(10^9)</f>
        <v>1471295000000</v>
      </c>
      <c r="M106" s="5">
        <f t="shared" si="2"/>
        <v>0.72690115194231253</v>
      </c>
      <c r="N106" s="6">
        <v>66.078143569619797</v>
      </c>
      <c r="O106" s="3">
        <v>155.06666666666666</v>
      </c>
      <c r="P106" s="8">
        <v>73.674899999999994</v>
      </c>
      <c r="Q106" s="2">
        <v>43.616500000000002</v>
      </c>
      <c r="R106" s="7">
        <v>5.5E-2</v>
      </c>
      <c r="S106" s="4">
        <f>15391.8*(10^9)</f>
        <v>15391800000000</v>
      </c>
    </row>
    <row r="107" spans="1:19" s="4" customFormat="1" x14ac:dyDescent="0.35">
      <c r="A107" t="s">
        <v>106</v>
      </c>
      <c r="B107" s="4">
        <f>8032.84*(10^9)</f>
        <v>8032840000000</v>
      </c>
      <c r="C107" s="4">
        <f>11005.217*(10^9)</f>
        <v>11005217000000</v>
      </c>
      <c r="D107" s="4">
        <v>1305124750000</v>
      </c>
      <c r="E107" s="4">
        <f>1642.882*(10^9)</f>
        <v>1642882000000</v>
      </c>
      <c r="F107" s="4">
        <f>361.399*(10^9)</f>
        <v>361399000000</v>
      </c>
      <c r="G107" s="4">
        <f>1026.468*(10^9)</f>
        <v>1026468000000.0001</v>
      </c>
      <c r="H107" s="4">
        <f>30.521*(10^9)</f>
        <v>30521000000</v>
      </c>
      <c r="I107" s="4">
        <f t="shared" si="3"/>
        <v>1806924000000</v>
      </c>
      <c r="J107" s="4">
        <f>859.042*(10^9)</f>
        <v>859042000000</v>
      </c>
      <c r="K107" s="4">
        <f>952.751*(10^9)</f>
        <v>952751000000</v>
      </c>
      <c r="L107" s="4">
        <f>1487.662*(10^9)</f>
        <v>1487662000000</v>
      </c>
      <c r="M107" s="5">
        <f t="shared" si="2"/>
        <v>0.72991200446115689</v>
      </c>
      <c r="N107" s="6">
        <v>66.651524623068994</v>
      </c>
      <c r="O107" s="3">
        <v>156.4</v>
      </c>
      <c r="P107" s="8">
        <v>75.531700000000001</v>
      </c>
      <c r="Q107" s="2">
        <v>45.24823</v>
      </c>
      <c r="R107" s="7">
        <v>5.2999999999999999E-2</v>
      </c>
      <c r="S107" s="4">
        <f>15661.6*(10^9)</f>
        <v>15661600000000</v>
      </c>
    </row>
    <row r="108" spans="1:19" s="4" customFormat="1" x14ac:dyDescent="0.35">
      <c r="A108" t="s">
        <v>107</v>
      </c>
      <c r="B108" s="4">
        <f>8131.408*(10^9)</f>
        <v>8131408000000</v>
      </c>
      <c r="C108" s="4">
        <f>11103.935*(10^9)</f>
        <v>11103935000000</v>
      </c>
      <c r="D108" s="4">
        <v>1318626250000</v>
      </c>
      <c r="E108" s="4">
        <f>1717.51*(10^9)</f>
        <v>1717510000000</v>
      </c>
      <c r="F108" s="4">
        <f>364.315*(10^9)</f>
        <v>364315000000</v>
      </c>
      <c r="G108" s="4">
        <f>1058.965*(10^9)</f>
        <v>1058964999999.9999</v>
      </c>
      <c r="H108" s="4">
        <f>51.07*(10^9)</f>
        <v>51070000000</v>
      </c>
      <c r="I108" s="4">
        <f t="shared" si="3"/>
        <v>1857994000000</v>
      </c>
      <c r="J108" s="4">
        <f>859.577*(10^9)</f>
        <v>859577000000</v>
      </c>
      <c r="K108" s="4">
        <f>973.757*(10^9)</f>
        <v>973757000000</v>
      </c>
      <c r="L108" s="4">
        <f>1496.733*(10^9)</f>
        <v>1496733000000</v>
      </c>
      <c r="M108" s="5">
        <f t="shared" si="2"/>
        <v>0.7322996757455803</v>
      </c>
      <c r="N108" s="6">
        <v>67.003745504234701</v>
      </c>
      <c r="O108" s="3">
        <v>157.30000000000001</v>
      </c>
      <c r="P108" s="8">
        <v>76.403199999999998</v>
      </c>
      <c r="Q108" s="2">
        <v>45.265650000000001</v>
      </c>
      <c r="R108" s="7">
        <v>5.2000000000000005E-2</v>
      </c>
      <c r="S108" s="4">
        <f>15823.5*(10^9)</f>
        <v>15823500000000</v>
      </c>
    </row>
    <row r="109" spans="1:19" s="4" customFormat="1" x14ac:dyDescent="0.35">
      <c r="A109" t="s">
        <v>108</v>
      </c>
      <c r="B109" s="4">
        <f>8259.771*(10^9)</f>
        <v>8259771000000.001</v>
      </c>
      <c r="C109" s="4">
        <f>11219.238*(10^9)</f>
        <v>11219238000000</v>
      </c>
      <c r="D109" s="4">
        <v>1338190750000</v>
      </c>
      <c r="E109" s="4">
        <f>1715.245*(10^9)</f>
        <v>1715245000000</v>
      </c>
      <c r="F109" s="4">
        <f>361.806*(10^9)</f>
        <v>361806000000</v>
      </c>
      <c r="G109" s="4">
        <f>1083.597*(10^9)</f>
        <v>1083597000000</v>
      </c>
      <c r="H109" s="4">
        <f>34.725*(10^9)</f>
        <v>34725000000</v>
      </c>
      <c r="I109" s="4">
        <f t="shared" si="3"/>
        <v>1892719000000</v>
      </c>
      <c r="J109" s="4">
        <f>903.798*(10^9)</f>
        <v>903798000000</v>
      </c>
      <c r="K109" s="4">
        <f>992.62*(10^9)</f>
        <v>992620000000</v>
      </c>
      <c r="L109" s="4">
        <f>1515.702*(10^9)</f>
        <v>1515702000000</v>
      </c>
      <c r="M109" s="5">
        <f t="shared" si="2"/>
        <v>0.7362149728885331</v>
      </c>
      <c r="N109" s="6">
        <v>67.571803765842304</v>
      </c>
      <c r="O109" s="3">
        <v>158.66666666666666</v>
      </c>
      <c r="P109" s="8">
        <v>77.554299999999998</v>
      </c>
      <c r="Q109" s="2">
        <v>49.225929999999998</v>
      </c>
      <c r="R109" s="7">
        <v>5.4000000000000006E-2</v>
      </c>
      <c r="S109" s="4">
        <f>16058.3*(10^9)</f>
        <v>16058300000000</v>
      </c>
    </row>
    <row r="110" spans="1:19" s="4" customFormat="1" x14ac:dyDescent="0.35">
      <c r="A110" t="s">
        <v>109</v>
      </c>
      <c r="B110" s="4">
        <f>8362.655*(10^9)</f>
        <v>8362655000000.001</v>
      </c>
      <c r="C110" s="4">
        <f>11291.665*(10^9)</f>
        <v>11291665000000</v>
      </c>
      <c r="D110" s="4">
        <v>1358276250000</v>
      </c>
      <c r="E110" s="4">
        <f>1749.879*(10^9)</f>
        <v>1749879000000</v>
      </c>
      <c r="F110" s="4">
        <f>365.359*(10^9)</f>
        <v>365359000000</v>
      </c>
      <c r="G110" s="4">
        <f>1107.299*(10^9)</f>
        <v>1107299000000</v>
      </c>
      <c r="H110" s="4">
        <f>49.745*(10^9)</f>
        <v>49745000000</v>
      </c>
      <c r="I110" s="4">
        <f t="shared" si="3"/>
        <v>1942464000000</v>
      </c>
      <c r="J110" s="4">
        <f>918.374*(10^9)</f>
        <v>918374000000</v>
      </c>
      <c r="K110" s="4">
        <f>1027.213*(10^9)</f>
        <v>1027213000000</v>
      </c>
      <c r="L110" s="4">
        <f>1515.985*(10^9)</f>
        <v>1515985000000</v>
      </c>
      <c r="M110" s="5">
        <f t="shared" si="2"/>
        <v>0.74060424215560783</v>
      </c>
      <c r="N110" s="6">
        <v>67.954527295972696</v>
      </c>
      <c r="O110" s="3">
        <v>159.63333333333333</v>
      </c>
      <c r="P110" s="8">
        <v>79.102099999999993</v>
      </c>
      <c r="Q110" s="2">
        <v>52.850540000000002</v>
      </c>
      <c r="R110" s="7">
        <v>5.2000000000000005E-2</v>
      </c>
      <c r="S110" s="4">
        <f>16299.3*(10^9)</f>
        <v>16299300000000</v>
      </c>
    </row>
    <row r="111" spans="1:19" s="4" customFormat="1" x14ac:dyDescent="0.35">
      <c r="A111" t="s">
        <v>110</v>
      </c>
      <c r="B111" s="4">
        <f>8518.825*(10^9)</f>
        <v>8518825000000.001</v>
      </c>
      <c r="C111" s="4">
        <f>11479.33*(10^9)</f>
        <v>11479330000000</v>
      </c>
      <c r="D111" s="4">
        <v>1367816750000</v>
      </c>
      <c r="E111" s="4">
        <f>1856.956*(10^9)</f>
        <v>1856956000000</v>
      </c>
      <c r="F111" s="4">
        <f>372.277*(10^9)</f>
        <v>372277000000</v>
      </c>
      <c r="G111" s="4">
        <f>1129.567*(10^9)</f>
        <v>1129567000000</v>
      </c>
      <c r="H111" s="4">
        <f>88.374*(10^9)</f>
        <v>88374000000</v>
      </c>
      <c r="I111" s="4">
        <f t="shared" si="3"/>
        <v>2030838000000</v>
      </c>
      <c r="J111" s="4">
        <f>954.45*(10^9)</f>
        <v>954450000000</v>
      </c>
      <c r="K111" s="4">
        <f>1039.651*(10^9)</f>
        <v>1039651000000.0001</v>
      </c>
      <c r="L111" s="4">
        <f>1542.541*(10^9)</f>
        <v>1542541000000</v>
      </c>
      <c r="M111" s="5">
        <f t="shared" si="2"/>
        <v>0.74210123761578428</v>
      </c>
      <c r="N111" s="6">
        <v>68.247510900907201</v>
      </c>
      <c r="O111" s="3">
        <v>160</v>
      </c>
      <c r="P111" s="8">
        <v>79.980199999999996</v>
      </c>
      <c r="Q111" s="2">
        <v>55.093089999999997</v>
      </c>
      <c r="R111" s="7">
        <v>0.05</v>
      </c>
      <c r="S111" s="4">
        <f>16413.7*(10^9)</f>
        <v>16413700000000</v>
      </c>
    </row>
    <row r="112" spans="1:19" s="4" customFormat="1" x14ac:dyDescent="0.35">
      <c r="A112" t="s">
        <v>111</v>
      </c>
      <c r="B112" s="4">
        <f>8662.823*(10^9)</f>
        <v>8662823000000</v>
      </c>
      <c r="C112" s="4">
        <f>11622.911*(10^9)</f>
        <v>11622911000000</v>
      </c>
      <c r="D112" s="4">
        <v>1394794750000</v>
      </c>
      <c r="E112" s="4">
        <f>1882.955*(10^9)</f>
        <v>1882955000000</v>
      </c>
      <c r="F112" s="4">
        <f>378.952*(10^9)</f>
        <v>378952000000</v>
      </c>
      <c r="G112" s="4">
        <f>1178.364*(10^9)</f>
        <v>1178364000000</v>
      </c>
      <c r="H112" s="4">
        <f>67.935*(10^9)</f>
        <v>67935000000</v>
      </c>
      <c r="I112" s="4">
        <f t="shared" si="3"/>
        <v>2098773000000</v>
      </c>
      <c r="J112" s="4">
        <f>974.057*(10^9)</f>
        <v>974057000000</v>
      </c>
      <c r="K112" s="4">
        <f>1070.888*(10^9)</f>
        <v>1070887999999.9999</v>
      </c>
      <c r="L112" s="4">
        <f>1555.224*(10^9)</f>
        <v>1555224000000</v>
      </c>
      <c r="M112" s="5">
        <f t="shared" si="2"/>
        <v>0.74532300901211412</v>
      </c>
      <c r="N112" s="6">
        <v>68.522582516150493</v>
      </c>
      <c r="O112" s="3">
        <v>160.80000000000001</v>
      </c>
      <c r="P112" s="8">
        <v>82.212000000000003</v>
      </c>
      <c r="Q112" s="2">
        <v>61.951839999999997</v>
      </c>
      <c r="R112" s="7">
        <v>4.9000000000000002E-2</v>
      </c>
      <c r="S112" s="4">
        <f>16737.5*(10^9)</f>
        <v>16737500000000</v>
      </c>
    </row>
    <row r="113" spans="1:19" s="4" customFormat="1" x14ac:dyDescent="0.35">
      <c r="A113" t="s">
        <v>112</v>
      </c>
      <c r="B113" s="4">
        <f>8765.907*(10^9)</f>
        <v>8765906999999.999</v>
      </c>
      <c r="C113" s="4">
        <f>11722.722*(10^9)</f>
        <v>11722722000000</v>
      </c>
      <c r="D113" s="4">
        <v>1415902500000</v>
      </c>
      <c r="E113" s="4">
        <f>1911.048*(10^9)</f>
        <v>1911048000000</v>
      </c>
      <c r="F113" s="4">
        <f>385.754*(10^9)</f>
        <v>385754000000</v>
      </c>
      <c r="G113" s="4">
        <f>1181.123*(10^9)</f>
        <v>1181123000000</v>
      </c>
      <c r="H113" s="4">
        <f>77.652*(10^9)</f>
        <v>77652000000</v>
      </c>
      <c r="I113" s="4">
        <f t="shared" si="3"/>
        <v>2176425000000</v>
      </c>
      <c r="J113" s="4">
        <f>968.33*(10^9)</f>
        <v>968330000000</v>
      </c>
      <c r="K113" s="4">
        <f>1085.344*(10^9)</f>
        <v>1085344000000</v>
      </c>
      <c r="L113" s="4">
        <f>1574.782*(10^9)</f>
        <v>1574782000000</v>
      </c>
      <c r="M113" s="5">
        <f t="shared" si="2"/>
        <v>0.747770611637809</v>
      </c>
      <c r="N113" s="6">
        <v>68.829147626619601</v>
      </c>
      <c r="O113" s="3">
        <v>161.66666666666666</v>
      </c>
      <c r="P113" s="8">
        <v>83.9696</v>
      </c>
      <c r="Q113" s="2">
        <v>63.819380000000002</v>
      </c>
      <c r="R113" s="7">
        <v>4.7E-2</v>
      </c>
      <c r="S113" s="4">
        <f>16990.9*(10^9)</f>
        <v>16990900000000.002</v>
      </c>
    </row>
    <row r="114" spans="1:19" s="4" customFormat="1" x14ac:dyDescent="0.35">
      <c r="A114" t="s">
        <v>113</v>
      </c>
      <c r="B114" s="4">
        <f>8866.48*(10^9)</f>
        <v>8866480000000</v>
      </c>
      <c r="C114" s="4">
        <f>11839.876*(10^9)</f>
        <v>11839876000000</v>
      </c>
      <c r="D114" s="4">
        <v>1430335500000</v>
      </c>
      <c r="E114" s="4">
        <f>1994.375*(10^9)</f>
        <v>1994375000000</v>
      </c>
      <c r="F114" s="4">
        <f>394.846*(10^9)</f>
        <v>394846000000</v>
      </c>
      <c r="G114" s="4">
        <f>1212.378*(10^9)</f>
        <v>1212378000000</v>
      </c>
      <c r="H114" s="4">
        <f>105.1*(10^9)</f>
        <v>105100000000</v>
      </c>
      <c r="I114" s="4">
        <f t="shared" si="3"/>
        <v>2281525000000</v>
      </c>
      <c r="J114" s="4">
        <f>963.021*(10^9)</f>
        <v>963021000000</v>
      </c>
      <c r="K114" s="4">
        <f>1098.236*(10^9)</f>
        <v>1098236000000.0001</v>
      </c>
      <c r="L114" s="4">
        <f>1568.029*(10^9)</f>
        <v>1568029000000</v>
      </c>
      <c r="M114" s="5">
        <f t="shared" si="2"/>
        <v>0.74886595096097286</v>
      </c>
      <c r="N114" s="6">
        <v>68.911526872380904</v>
      </c>
      <c r="O114" s="3">
        <v>162</v>
      </c>
      <c r="P114" s="8">
        <v>84.521199999999993</v>
      </c>
      <c r="Q114" s="2">
        <v>68.12782</v>
      </c>
      <c r="R114" s="7">
        <v>4.7E-2</v>
      </c>
      <c r="S114" s="4">
        <f>17164*(10^9)</f>
        <v>17164000000000</v>
      </c>
    </row>
    <row r="115" spans="1:19" s="4" customFormat="1" x14ac:dyDescent="0.35">
      <c r="A115" t="s">
        <v>114</v>
      </c>
      <c r="B115" s="4">
        <f>8969.699*(10^9)</f>
        <v>8969699000000</v>
      </c>
      <c r="C115" s="4">
        <f>11949.492*(10^9)</f>
        <v>11949492000000</v>
      </c>
      <c r="D115" s="4">
        <v>1458141500000</v>
      </c>
      <c r="E115" s="4">
        <f>1982.058*(10^9)</f>
        <v>1982058000000</v>
      </c>
      <c r="F115" s="4">
        <f>411.33*(10^9)</f>
        <v>411330000000</v>
      </c>
      <c r="G115" s="4">
        <f>1247.103*(10^9)</f>
        <v>1247103000000</v>
      </c>
      <c r="H115" s="4">
        <f>37.34*(10^9)</f>
        <v>37340000000</v>
      </c>
      <c r="I115" s="4">
        <f t="shared" si="3"/>
        <v>2318865000000</v>
      </c>
      <c r="J115" s="4">
        <f>947.295*(10^9)</f>
        <v>947295000000</v>
      </c>
      <c r="K115" s="4">
        <f>1109.626*(10^9)</f>
        <v>1109626000000</v>
      </c>
      <c r="L115" s="4">
        <f>1603.691*(10^9)</f>
        <v>1603691000000</v>
      </c>
      <c r="M115" s="5">
        <f t="shared" si="2"/>
        <v>0.75063433658937129</v>
      </c>
      <c r="N115" s="6">
        <v>69.1335822435544</v>
      </c>
      <c r="O115" s="3">
        <v>162.53333333333333</v>
      </c>
      <c r="P115" s="8">
        <v>84.846599999999995</v>
      </c>
      <c r="Q115" s="2">
        <v>73.472639999999998</v>
      </c>
      <c r="R115" s="7">
        <v>4.4999999999999998E-2</v>
      </c>
      <c r="S115" s="4">
        <f>17497.7*(10^9)</f>
        <v>17497700000000</v>
      </c>
    </row>
    <row r="116" spans="1:19" s="4" customFormat="1" x14ac:dyDescent="0.35">
      <c r="A116" t="s">
        <v>115</v>
      </c>
      <c r="B116" s="4">
        <f>9121.097*(10^9)</f>
        <v>9121097000000</v>
      </c>
      <c r="C116" s="4">
        <f>12099.191*(10^9)</f>
        <v>12099191000000</v>
      </c>
      <c r="D116" s="4">
        <v>1481711500000</v>
      </c>
      <c r="E116" s="4">
        <f>2033.015*(10^9)</f>
        <v>2033015000000</v>
      </c>
      <c r="F116" s="4">
        <f>427.55*(10^9)</f>
        <v>427550000000</v>
      </c>
      <c r="G116" s="4">
        <f>1261.652*(10^9)</f>
        <v>1261652000000</v>
      </c>
      <c r="H116" s="4">
        <f>52.42*(10^9)</f>
        <v>52420000000</v>
      </c>
      <c r="I116" s="4">
        <f t="shared" si="3"/>
        <v>2371285000000</v>
      </c>
      <c r="J116" s="4">
        <f>935.263*(10^9)</f>
        <v>935263000000</v>
      </c>
      <c r="K116" s="4">
        <f>1109.897*(10^9)</f>
        <v>1109897000000</v>
      </c>
      <c r="L116" s="4">
        <f>1627.262*(10^9)</f>
        <v>1627262000000</v>
      </c>
      <c r="M116" s="5">
        <f t="shared" si="2"/>
        <v>0.75386007213209549</v>
      </c>
      <c r="N116" s="6">
        <v>69.461107006863401</v>
      </c>
      <c r="O116" s="3">
        <v>163.36666666666667</v>
      </c>
      <c r="P116" s="8">
        <v>86.170699999999997</v>
      </c>
      <c r="Q116" s="2">
        <v>69.626490000000004</v>
      </c>
      <c r="R116" s="7">
        <v>4.5999999999999999E-2</v>
      </c>
      <c r="S116" s="4">
        <f>17780.6*(10^9)</f>
        <v>17780600000000</v>
      </c>
    </row>
    <row r="117" spans="1:19" s="4" customFormat="1" x14ac:dyDescent="0.35">
      <c r="A117" t="s">
        <v>116</v>
      </c>
      <c r="B117" s="4">
        <f>9293.991*(10^9)</f>
        <v>9293991000000</v>
      </c>
      <c r="C117" s="4">
        <f>12294.737*(10^9)</f>
        <v>12294737000000</v>
      </c>
      <c r="D117" s="4">
        <v>1507059500000</v>
      </c>
      <c r="E117" s="4">
        <f>2095.76*(10^9)</f>
        <v>2095760000000.0002</v>
      </c>
      <c r="F117" s="4">
        <f>441.503*(10^9)</f>
        <v>441503000000</v>
      </c>
      <c r="G117" s="4">
        <f>1295.444*(10^9)</f>
        <v>1295444000000</v>
      </c>
      <c r="H117" s="4">
        <f>60.017*(10^9)</f>
        <v>60017000000</v>
      </c>
      <c r="I117" s="4">
        <f t="shared" si="3"/>
        <v>2431302000000</v>
      </c>
      <c r="J117" s="4">
        <f>966.337*(10^9)</f>
        <v>966337000000</v>
      </c>
      <c r="K117" s="4">
        <f>1145*(10^9)</f>
        <v>1145000000000</v>
      </c>
      <c r="L117" s="4">
        <f>1647.452*(10^9)</f>
        <v>1647452000000</v>
      </c>
      <c r="M117" s="5">
        <f t="shared" si="2"/>
        <v>0.75593247744949732</v>
      </c>
      <c r="N117" s="6">
        <v>69.754373589447198</v>
      </c>
      <c r="O117" s="3">
        <v>164.13333333333333</v>
      </c>
      <c r="P117" s="8">
        <v>87.063299999999998</v>
      </c>
      <c r="Q117" s="2">
        <v>70.462720000000004</v>
      </c>
      <c r="R117" s="7">
        <v>4.4000000000000004E-2</v>
      </c>
      <c r="S117" s="4">
        <f>18084.7*(10^9)</f>
        <v>18084700000000</v>
      </c>
    </row>
    <row r="118" spans="1:19" s="4" customFormat="1" x14ac:dyDescent="0.35">
      <c r="A118" t="s">
        <v>117</v>
      </c>
      <c r="B118" s="4">
        <f>9411.682*(10^9)</f>
        <v>9411682000000</v>
      </c>
      <c r="C118" s="4">
        <f>12410.778*(10^9)</f>
        <v>12410778000000</v>
      </c>
      <c r="D118" s="4">
        <v>1525510000000</v>
      </c>
      <c r="E118" s="4">
        <f>2153.308*(10^9)</f>
        <v>2153308000000</v>
      </c>
      <c r="F118" s="4">
        <f>447.363*(10^9)</f>
        <v>447363000000</v>
      </c>
      <c r="G118" s="4">
        <f>1322.305*(10^9)</f>
        <v>1322305000000</v>
      </c>
      <c r="H118" s="4">
        <f>83.394*(10^9)</f>
        <v>83394000000</v>
      </c>
      <c r="I118" s="4">
        <f t="shared" si="3"/>
        <v>2514696000000</v>
      </c>
      <c r="J118" s="4">
        <f>960.764*(10^9)</f>
        <v>960764000000</v>
      </c>
      <c r="K118" s="4">
        <f>1173.324*(10^9)</f>
        <v>1173324000000</v>
      </c>
      <c r="L118" s="4">
        <f>1669.139*(10^9)</f>
        <v>1669139000000</v>
      </c>
      <c r="M118" s="5">
        <f t="shared" si="2"/>
        <v>0.75834746218166182</v>
      </c>
      <c r="N118" s="6">
        <v>70.006589949996396</v>
      </c>
      <c r="O118" s="3">
        <v>164.73333333333332</v>
      </c>
      <c r="P118" s="8">
        <v>88.110100000000003</v>
      </c>
      <c r="Q118" s="2">
        <v>76.269400000000005</v>
      </c>
      <c r="R118" s="7">
        <v>4.2000000000000003E-2</v>
      </c>
      <c r="S118" s="4">
        <f>18306.1*(10^9)</f>
        <v>18306100000000</v>
      </c>
    </row>
    <row r="119" spans="1:19" s="4" customFormat="1" x14ac:dyDescent="0.35">
      <c r="A119" t="s">
        <v>118</v>
      </c>
      <c r="B119" s="4">
        <f>9526.21*(10^9)</f>
        <v>9526210000000</v>
      </c>
      <c r="C119" s="4">
        <f>12514.408*(10^9)</f>
        <v>12514408000000</v>
      </c>
      <c r="D119" s="4">
        <v>1557660250000</v>
      </c>
      <c r="E119" s="4">
        <f>2154.652*(10^9)</f>
        <v>2154652000000</v>
      </c>
      <c r="F119" s="4">
        <f>459.27*(10^9)</f>
        <v>459270000000</v>
      </c>
      <c r="G119" s="4">
        <f>1353.96*(10^9)</f>
        <v>1353960000000</v>
      </c>
      <c r="H119" s="4">
        <f>35.111*(10^9)</f>
        <v>35111000000</v>
      </c>
      <c r="I119" s="4">
        <f t="shared" si="3"/>
        <v>2549807000000</v>
      </c>
      <c r="J119" s="4">
        <f>974.597*(10^9)</f>
        <v>974597000000</v>
      </c>
      <c r="K119" s="4">
        <f>1222.126*(10^9)</f>
        <v>1222126000000</v>
      </c>
      <c r="L119" s="4">
        <f>1694.757*(10^9)</f>
        <v>1694757000000</v>
      </c>
      <c r="M119" s="5">
        <f t="shared" si="2"/>
        <v>0.76121938808451828</v>
      </c>
      <c r="N119" s="6">
        <v>70.522089615238201</v>
      </c>
      <c r="O119" s="3">
        <v>165.96666666666667</v>
      </c>
      <c r="P119" s="8">
        <v>88.797799999999995</v>
      </c>
      <c r="Q119" s="2">
        <v>80.7517</v>
      </c>
      <c r="R119" s="7">
        <v>4.2999999999999997E-2</v>
      </c>
      <c r="S119" s="4">
        <f>18691.9*(10^9)</f>
        <v>18691900000000</v>
      </c>
    </row>
    <row r="120" spans="1:19" s="4" customFormat="1" x14ac:dyDescent="0.35">
      <c r="A120" t="s">
        <v>119</v>
      </c>
      <c r="B120" s="4">
        <f>9686.626*(10^9)</f>
        <v>9686626000000</v>
      </c>
      <c r="C120" s="4">
        <f>12679.977*(10^9)</f>
        <v>12679977000000</v>
      </c>
      <c r="D120" s="4">
        <v>1583827500000</v>
      </c>
      <c r="E120" s="4">
        <f>2213.773*(10^9)</f>
        <v>2213773000000</v>
      </c>
      <c r="F120" s="4">
        <f>466.625*(10^9)</f>
        <v>466625000000</v>
      </c>
      <c r="G120" s="4">
        <f>1386.594*(10^9)</f>
        <v>1386594000000</v>
      </c>
      <c r="H120" s="4">
        <f>40.516*(10^9)</f>
        <v>40516000000</v>
      </c>
      <c r="I120" s="4">
        <f t="shared" si="3"/>
        <v>2590323000000</v>
      </c>
      <c r="J120" s="4">
        <f>1005.309*(10^9)</f>
        <v>1005309000000</v>
      </c>
      <c r="K120" s="4">
        <f>1281.712*(10^9)</f>
        <v>1281712000000</v>
      </c>
      <c r="L120" s="4">
        <f>1733.984*(10^9)</f>
        <v>1733984000000</v>
      </c>
      <c r="M120" s="5">
        <f t="shared" si="2"/>
        <v>0.76393088094718153</v>
      </c>
      <c r="N120" s="6">
        <v>71.023510505658095</v>
      </c>
      <c r="O120" s="3">
        <v>167.2</v>
      </c>
      <c r="P120" s="8">
        <v>89.333100000000002</v>
      </c>
      <c r="Q120" s="2">
        <v>80.10454</v>
      </c>
      <c r="R120" s="7">
        <v>4.2000000000000003E-2</v>
      </c>
      <c r="S120" s="4">
        <f>19006*(10^9)</f>
        <v>19006000000000</v>
      </c>
    </row>
    <row r="121" spans="1:19" s="4" customFormat="1" x14ac:dyDescent="0.35">
      <c r="A121" t="s">
        <v>120</v>
      </c>
      <c r="B121" s="4">
        <f>9900.169*(10^9)</f>
        <v>9900169000000</v>
      </c>
      <c r="C121" s="4">
        <f>12888.281*(10^9)</f>
        <v>12888281000000</v>
      </c>
      <c r="D121" s="4">
        <v>1616759750000</v>
      </c>
      <c r="E121" s="4">
        <f>2273.095*(10^9)</f>
        <v>2273095000000</v>
      </c>
      <c r="F121" s="4">
        <f>473.806*(10^9)</f>
        <v>473806000000</v>
      </c>
      <c r="G121" s="4">
        <f>1395.049*(10^9)</f>
        <v>1395049000000</v>
      </c>
      <c r="H121" s="4">
        <f>84.241*(10^9)</f>
        <v>84241000000</v>
      </c>
      <c r="I121" s="4">
        <f t="shared" si="3"/>
        <v>2674564000000</v>
      </c>
      <c r="J121" s="4">
        <f>1030.971*(10^9)</f>
        <v>1030971000000</v>
      </c>
      <c r="K121" s="4">
        <f>1332.679*(10^9)</f>
        <v>1332679000000</v>
      </c>
      <c r="L121" s="4">
        <f>1781.74*(10^9)</f>
        <v>1781740000000</v>
      </c>
      <c r="M121" s="5">
        <f t="shared" si="2"/>
        <v>0.76815278934405606</v>
      </c>
      <c r="N121" s="6">
        <v>71.589622398706794</v>
      </c>
      <c r="O121" s="3">
        <v>168.43333333333334</v>
      </c>
      <c r="P121" s="8">
        <v>91.680400000000006</v>
      </c>
      <c r="Q121" s="2">
        <v>79.836240000000004</v>
      </c>
      <c r="R121" s="7">
        <v>0.04</v>
      </c>
      <c r="S121" s="4">
        <f>19401.1*(10^9)</f>
        <v>19401100000000</v>
      </c>
    </row>
    <row r="122" spans="1:19" s="4" customFormat="1" x14ac:dyDescent="0.35">
      <c r="A122" t="s">
        <v>121</v>
      </c>
      <c r="B122" s="4">
        <f>10002.179*(10^9)</f>
        <v>10002179000000</v>
      </c>
      <c r="C122" s="4">
        <f>12935.252*(10^9)</f>
        <v>12935252000000</v>
      </c>
      <c r="D122" s="4">
        <v>1654554250000</v>
      </c>
      <c r="E122" s="4">
        <f>2257.109*(10^9)</f>
        <v>2257109000000</v>
      </c>
      <c r="F122" s="4">
        <f>484.243*(10^9)</f>
        <v>484243000000</v>
      </c>
      <c r="G122" s="4">
        <f>1450.25*(10^9)</f>
        <v>1450250000000</v>
      </c>
      <c r="H122" s="4">
        <f>16.157*(10^9)</f>
        <v>16157000000</v>
      </c>
      <c r="I122" s="4">
        <f t="shared" si="3"/>
        <v>2690721000000</v>
      </c>
      <c r="J122" s="4">
        <f>1052.904*(10^9)</f>
        <v>1052904000000</v>
      </c>
      <c r="K122" s="4">
        <f>1409.487*(10^9)</f>
        <v>1409487000000</v>
      </c>
      <c r="L122" s="4">
        <f>1789.895*(10^9)</f>
        <v>1789895000000</v>
      </c>
      <c r="M122" s="5">
        <f t="shared" si="2"/>
        <v>0.77324964368687987</v>
      </c>
      <c r="N122" s="6">
        <v>72.316565445199302</v>
      </c>
      <c r="O122" s="3">
        <v>170.1</v>
      </c>
      <c r="P122" s="8">
        <v>92.311800000000005</v>
      </c>
      <c r="Q122" s="2">
        <v>79.441890000000001</v>
      </c>
      <c r="R122" s="7">
        <v>0.04</v>
      </c>
      <c r="S122" s="4">
        <f>19854.7*(10^9)</f>
        <v>19854700000000</v>
      </c>
    </row>
    <row r="123" spans="1:19" s="4" customFormat="1" x14ac:dyDescent="0.35">
      <c r="A123" t="s">
        <v>122</v>
      </c>
      <c r="B123" s="4">
        <f>10247.72*(10^9)</f>
        <v>10247720000000</v>
      </c>
      <c r="C123" s="4">
        <f>13170.749*(10^9)</f>
        <v>13170749000000</v>
      </c>
      <c r="D123" s="4">
        <v>1677977750000</v>
      </c>
      <c r="E123" s="4">
        <f>2390.733*(10^9)</f>
        <v>2390733000000</v>
      </c>
      <c r="F123" s="4">
        <f>486.613*(10^9)</f>
        <v>486613000000</v>
      </c>
      <c r="G123" s="4">
        <f>1498.729*(10^9)</f>
        <v>1498729000000</v>
      </c>
      <c r="H123" s="4">
        <f>90.444*(10^9)</f>
        <v>90444000000</v>
      </c>
      <c r="I123" s="4">
        <f t="shared" si="3"/>
        <v>2781165000000</v>
      </c>
      <c r="J123" s="4">
        <f>1093.36*(10^9)</f>
        <v>1093359999999.9999</v>
      </c>
      <c r="K123" s="4">
        <f>1455.86*(10^9)</f>
        <v>1455860000000</v>
      </c>
      <c r="L123" s="4">
        <f>1822.524*(10^9)</f>
        <v>1822524000000</v>
      </c>
      <c r="M123" s="5">
        <f t="shared" si="2"/>
        <v>0.77806660805699057</v>
      </c>
      <c r="N123" s="6">
        <v>72.739134708545507</v>
      </c>
      <c r="O123" s="3">
        <v>171.43333333333334</v>
      </c>
      <c r="P123" s="8">
        <v>93.216800000000006</v>
      </c>
      <c r="Q123" s="2">
        <v>82.57517</v>
      </c>
      <c r="R123" s="7">
        <v>0.04</v>
      </c>
      <c r="S123" s="4">
        <f>20135.7*(10^9)</f>
        <v>20135700000000</v>
      </c>
    </row>
    <row r="124" spans="1:19" s="4" customFormat="1" x14ac:dyDescent="0.35">
      <c r="A124" t="s">
        <v>123</v>
      </c>
      <c r="B124" s="4">
        <f>10318.165*(10^9)</f>
        <v>10318165000000</v>
      </c>
      <c r="C124" s="4">
        <f>13183.89*(10^9)</f>
        <v>13183890000000</v>
      </c>
      <c r="D124" s="4">
        <v>1704996000000</v>
      </c>
      <c r="E124" s="4">
        <f>2367.274*(10^9)</f>
        <v>2367274000000</v>
      </c>
      <c r="F124" s="4">
        <f>483.08*(10^9)</f>
        <v>483080000000</v>
      </c>
      <c r="G124" s="4">
        <f>1519.657*(10^9)</f>
        <v>1519657000000</v>
      </c>
      <c r="H124" s="4">
        <f>57.233*(10^9)</f>
        <v>57233000000</v>
      </c>
      <c r="I124" s="4">
        <f t="shared" si="3"/>
        <v>2838398000000</v>
      </c>
      <c r="J124" s="4">
        <f>1125.002*(10^9)</f>
        <v>1125002000000</v>
      </c>
      <c r="K124" s="4">
        <f>1518.869*(10^9)</f>
        <v>1518869000000</v>
      </c>
      <c r="L124" s="4">
        <f>1832.078*(10^9)</f>
        <v>1832078000000</v>
      </c>
      <c r="M124" s="5">
        <f t="shared" si="2"/>
        <v>0.78263433629983259</v>
      </c>
      <c r="N124" s="6">
        <v>73.3512152592332</v>
      </c>
      <c r="O124" s="3">
        <v>173</v>
      </c>
      <c r="P124" s="8">
        <v>93.154700000000005</v>
      </c>
      <c r="Q124" s="2">
        <v>84.758070000000004</v>
      </c>
      <c r="R124" s="7">
        <v>3.9E-2</v>
      </c>
      <c r="S124" s="4">
        <f>20459.9*(10^9)</f>
        <v>20459900000000</v>
      </c>
    </row>
    <row r="125" spans="1:19" s="4" customFormat="1" x14ac:dyDescent="0.35">
      <c r="A125" t="s">
        <v>124</v>
      </c>
      <c r="B125" s="4">
        <f>10435.744*(10^9)</f>
        <v>10435744000000</v>
      </c>
      <c r="C125" s="4">
        <f>13262.25*(10^9)</f>
        <v>13262250000000</v>
      </c>
      <c r="D125" s="4">
        <v>1729651500000</v>
      </c>
      <c r="E125" s="4">
        <f>2371.809*(10^9)</f>
        <v>2371809000000</v>
      </c>
      <c r="F125" s="4">
        <f>487.792*(10^9)</f>
        <v>487792000000</v>
      </c>
      <c r="G125" s="4">
        <f>1525.091*(10^9)</f>
        <v>1525091000000</v>
      </c>
      <c r="H125" s="4">
        <f>54.344*(10^9)</f>
        <v>54344000000</v>
      </c>
      <c r="I125" s="4">
        <f t="shared" si="3"/>
        <v>2892742000000</v>
      </c>
      <c r="J125" s="4">
        <f>1113.177*(10^9)</f>
        <v>1113177000000</v>
      </c>
      <c r="K125" s="4">
        <f>1524.52*(10^9)</f>
        <v>1524520000000</v>
      </c>
      <c r="L125" s="4">
        <f>1861.253*(10^9)</f>
        <v>1861253000000</v>
      </c>
      <c r="M125" s="5">
        <f t="shared" si="2"/>
        <v>0.78687583177816733</v>
      </c>
      <c r="N125" s="6">
        <v>73.858828326030405</v>
      </c>
      <c r="O125" s="3">
        <v>174.23333333333332</v>
      </c>
      <c r="P125" s="8">
        <v>92.5334</v>
      </c>
      <c r="Q125" s="2">
        <v>82.650419999999997</v>
      </c>
      <c r="R125" s="7">
        <v>3.9E-2</v>
      </c>
      <c r="S125" s="4">
        <f>20755.8*(10^9)</f>
        <v>20755800000000</v>
      </c>
    </row>
    <row r="126" spans="1:19" x14ac:dyDescent="0.35">
      <c r="O126" s="2"/>
      <c r="P126" s="8"/>
    </row>
    <row r="127" spans="1:19" x14ac:dyDescent="0.35">
      <c r="O127" s="2"/>
      <c r="P127" s="8"/>
    </row>
    <row r="128" spans="1:19" x14ac:dyDescent="0.35">
      <c r="O128" s="2"/>
      <c r="P128" s="8"/>
    </row>
    <row r="129" spans="15:16" x14ac:dyDescent="0.35">
      <c r="O129" s="2"/>
      <c r="P129" s="8"/>
    </row>
    <row r="130" spans="15:16" x14ac:dyDescent="0.35">
      <c r="O130" s="2"/>
      <c r="P130" s="8"/>
    </row>
    <row r="131" spans="15:16" x14ac:dyDescent="0.35">
      <c r="O131" s="2"/>
      <c r="P131" s="8"/>
    </row>
    <row r="132" spans="15:16" x14ac:dyDescent="0.35">
      <c r="O132" s="2"/>
      <c r="P132" s="8"/>
    </row>
    <row r="133" spans="15:16" x14ac:dyDescent="0.35">
      <c r="O133" s="2"/>
      <c r="P133" s="8"/>
    </row>
    <row r="134" spans="15:16" x14ac:dyDescent="0.35">
      <c r="O134" s="2"/>
      <c r="P134" s="8"/>
    </row>
    <row r="135" spans="15:16" x14ac:dyDescent="0.35">
      <c r="O135" s="2"/>
      <c r="P135" s="8"/>
    </row>
    <row r="136" spans="15:16" x14ac:dyDescent="0.35">
      <c r="O136" s="2"/>
      <c r="P136" s="8"/>
    </row>
    <row r="137" spans="15:16" x14ac:dyDescent="0.35">
      <c r="O137" s="2"/>
      <c r="P137" s="8"/>
    </row>
    <row r="138" spans="15:16" x14ac:dyDescent="0.35">
      <c r="O138" s="2"/>
      <c r="P138" s="8"/>
    </row>
    <row r="139" spans="15:16" x14ac:dyDescent="0.35">
      <c r="O139" s="2"/>
      <c r="P139" s="8"/>
    </row>
    <row r="140" spans="15:16" x14ac:dyDescent="0.35">
      <c r="O140" s="2"/>
      <c r="P140" s="8"/>
    </row>
    <row r="141" spans="15:16" x14ac:dyDescent="0.35">
      <c r="O141" s="2"/>
      <c r="P141" s="8"/>
    </row>
    <row r="142" spans="15:16" x14ac:dyDescent="0.35">
      <c r="O142" s="2"/>
      <c r="P142" s="8"/>
    </row>
    <row r="143" spans="15:16" x14ac:dyDescent="0.35">
      <c r="O143" s="2"/>
      <c r="P143" s="8"/>
    </row>
    <row r="144" spans="15:16" x14ac:dyDescent="0.35">
      <c r="O144" s="2"/>
      <c r="P144" s="8"/>
    </row>
    <row r="145" spans="15:16" x14ac:dyDescent="0.35">
      <c r="O145" s="2"/>
      <c r="P145" s="8"/>
    </row>
    <row r="146" spans="15:16" x14ac:dyDescent="0.35">
      <c r="O146" s="2"/>
      <c r="P146" s="8"/>
    </row>
    <row r="147" spans="15:16" x14ac:dyDescent="0.35">
      <c r="O147" s="2"/>
      <c r="P147" s="8"/>
    </row>
    <row r="148" spans="15:16" x14ac:dyDescent="0.35">
      <c r="O148" s="2"/>
      <c r="P148" s="8"/>
    </row>
    <row r="149" spans="15:16" x14ac:dyDescent="0.35">
      <c r="O149" s="2"/>
      <c r="P149" s="8"/>
    </row>
    <row r="150" spans="15:16" x14ac:dyDescent="0.35">
      <c r="O150" s="2"/>
      <c r="P150" s="8"/>
    </row>
    <row r="151" spans="15:16" x14ac:dyDescent="0.35">
      <c r="O151" s="2"/>
      <c r="P151" s="8"/>
    </row>
    <row r="152" spans="15:16" x14ac:dyDescent="0.35">
      <c r="O152" s="2"/>
      <c r="P152" s="8"/>
    </row>
    <row r="153" spans="15:16" x14ac:dyDescent="0.35">
      <c r="O153" s="2"/>
      <c r="P153" s="8"/>
    </row>
    <row r="154" spans="15:16" x14ac:dyDescent="0.35">
      <c r="O154" s="2"/>
      <c r="P154" s="8"/>
    </row>
    <row r="155" spans="15:16" x14ac:dyDescent="0.35">
      <c r="O155" s="2"/>
      <c r="P155" s="8"/>
    </row>
    <row r="156" spans="15:16" x14ac:dyDescent="0.35">
      <c r="O156" s="2"/>
      <c r="P156" s="8"/>
    </row>
    <row r="157" spans="15:16" x14ac:dyDescent="0.35">
      <c r="O157" s="2"/>
      <c r="P157" s="8"/>
    </row>
    <row r="158" spans="15:16" x14ac:dyDescent="0.35">
      <c r="O158" s="2"/>
      <c r="P158" s="8"/>
    </row>
    <row r="159" spans="15:16" x14ac:dyDescent="0.35">
      <c r="O159" s="2"/>
      <c r="P159" s="8"/>
    </row>
    <row r="160" spans="15:16" x14ac:dyDescent="0.35">
      <c r="O160" s="2"/>
      <c r="P160" s="8"/>
    </row>
    <row r="161" spans="15:16" x14ac:dyDescent="0.35">
      <c r="O161" s="2"/>
      <c r="P161" s="8"/>
    </row>
    <row r="162" spans="15:16" x14ac:dyDescent="0.35">
      <c r="O162" s="2"/>
      <c r="P162" s="8"/>
    </row>
    <row r="163" spans="15:16" x14ac:dyDescent="0.35">
      <c r="O163" s="2"/>
      <c r="P163" s="8"/>
    </row>
    <row r="164" spans="15:16" x14ac:dyDescent="0.35">
      <c r="O164" s="2"/>
      <c r="P164" s="8"/>
    </row>
    <row r="165" spans="15:16" x14ac:dyDescent="0.35">
      <c r="O165" s="2"/>
      <c r="P165" s="8"/>
    </row>
    <row r="166" spans="15:16" x14ac:dyDescent="0.35">
      <c r="O166" s="2"/>
      <c r="P166" s="8"/>
    </row>
    <row r="167" spans="15:16" x14ac:dyDescent="0.35">
      <c r="O167" s="2"/>
      <c r="P167" s="8"/>
    </row>
    <row r="168" spans="15:16" x14ac:dyDescent="0.35">
      <c r="O168" s="2"/>
      <c r="P168" s="8"/>
    </row>
    <row r="169" spans="15:16" x14ac:dyDescent="0.35">
      <c r="O169" s="2"/>
      <c r="P169" s="8"/>
    </row>
    <row r="170" spans="15:16" x14ac:dyDescent="0.35">
      <c r="O170" s="2"/>
      <c r="P170" s="8"/>
    </row>
    <row r="171" spans="15:16" x14ac:dyDescent="0.35">
      <c r="O171" s="2"/>
      <c r="P171" s="8"/>
    </row>
    <row r="172" spans="15:16" x14ac:dyDescent="0.35">
      <c r="O172" s="2"/>
      <c r="P172" s="8"/>
    </row>
    <row r="173" spans="15:16" x14ac:dyDescent="0.35">
      <c r="O173" s="2"/>
      <c r="P173" s="8"/>
    </row>
    <row r="174" spans="15:16" x14ac:dyDescent="0.35">
      <c r="O174" s="2"/>
      <c r="P174" s="8"/>
    </row>
    <row r="175" spans="15:16" x14ac:dyDescent="0.35">
      <c r="O175" s="2"/>
      <c r="P175" s="8"/>
    </row>
    <row r="176" spans="15:16" x14ac:dyDescent="0.35">
      <c r="O176" s="2"/>
      <c r="P176" s="8"/>
    </row>
    <row r="177" spans="15:16" x14ac:dyDescent="0.35">
      <c r="O177" s="2"/>
      <c r="P177" s="8"/>
    </row>
    <row r="178" spans="15:16" x14ac:dyDescent="0.35">
      <c r="O178" s="2"/>
      <c r="P178" s="8"/>
    </row>
    <row r="179" spans="15:16" x14ac:dyDescent="0.35">
      <c r="O179" s="2"/>
      <c r="P179" s="8"/>
    </row>
    <row r="180" spans="15:16" x14ac:dyDescent="0.35">
      <c r="O180" s="2"/>
      <c r="P180" s="8"/>
    </row>
    <row r="181" spans="15:16" x14ac:dyDescent="0.35">
      <c r="O181" s="2"/>
      <c r="P181" s="8"/>
    </row>
    <row r="182" spans="15:16" x14ac:dyDescent="0.35">
      <c r="O182" s="2"/>
      <c r="P182" s="8"/>
    </row>
    <row r="183" spans="15:16" x14ac:dyDescent="0.35">
      <c r="O183" s="2"/>
      <c r="P183" s="8"/>
    </row>
    <row r="184" spans="15:16" x14ac:dyDescent="0.35">
      <c r="O184" s="2"/>
      <c r="P184" s="8"/>
    </row>
    <row r="185" spans="15:16" x14ac:dyDescent="0.35">
      <c r="O185" s="2"/>
      <c r="P185" s="8"/>
    </row>
    <row r="186" spans="15:16" x14ac:dyDescent="0.35">
      <c r="O186" s="2"/>
      <c r="P186" s="8"/>
    </row>
    <row r="187" spans="15:16" x14ac:dyDescent="0.35">
      <c r="O187" s="2"/>
      <c r="P187" s="8"/>
    </row>
    <row r="188" spans="15:16" x14ac:dyDescent="0.35">
      <c r="O188" s="2"/>
      <c r="P188" s="8"/>
    </row>
    <row r="189" spans="15:16" x14ac:dyDescent="0.35">
      <c r="O189" s="2"/>
      <c r="P189" s="8"/>
    </row>
    <row r="190" spans="15:16" x14ac:dyDescent="0.35">
      <c r="O190" s="2"/>
      <c r="P190" s="8"/>
    </row>
    <row r="191" spans="15:16" x14ac:dyDescent="0.35">
      <c r="O191" s="2"/>
      <c r="P191" s="8"/>
    </row>
    <row r="192" spans="15:16" x14ac:dyDescent="0.35">
      <c r="O192" s="2"/>
      <c r="P192" s="8"/>
    </row>
    <row r="193" spans="15:16" x14ac:dyDescent="0.35">
      <c r="O193" s="2"/>
      <c r="P193" s="8"/>
    </row>
    <row r="194" spans="15:16" x14ac:dyDescent="0.35">
      <c r="O194" s="2"/>
      <c r="P194" s="8"/>
    </row>
    <row r="195" spans="15:16" x14ac:dyDescent="0.35">
      <c r="O195" s="2"/>
      <c r="P195" s="8"/>
    </row>
    <row r="196" spans="15:16" x14ac:dyDescent="0.35">
      <c r="O196" s="2"/>
      <c r="P196" s="8"/>
    </row>
    <row r="197" spans="15:16" x14ac:dyDescent="0.35">
      <c r="O197" s="2"/>
      <c r="P197" s="8"/>
    </row>
    <row r="198" spans="15:16" x14ac:dyDescent="0.35">
      <c r="O198" s="2"/>
      <c r="P198" s="8"/>
    </row>
    <row r="199" spans="15:16" x14ac:dyDescent="0.35">
      <c r="O199" s="2"/>
      <c r="P199" s="8"/>
    </row>
    <row r="200" spans="15:16" x14ac:dyDescent="0.35">
      <c r="O200" s="2"/>
      <c r="P200" s="8"/>
    </row>
    <row r="201" spans="15:16" x14ac:dyDescent="0.35">
      <c r="O201" s="2"/>
      <c r="P201" s="8"/>
    </row>
    <row r="202" spans="15:16" x14ac:dyDescent="0.35">
      <c r="O202" s="2"/>
      <c r="P202" s="8"/>
    </row>
    <row r="203" spans="15:16" x14ac:dyDescent="0.35">
      <c r="O203" s="2"/>
      <c r="P203" s="8"/>
    </row>
    <row r="204" spans="15:16" x14ac:dyDescent="0.35">
      <c r="O204" s="2"/>
      <c r="P204" s="8"/>
    </row>
    <row r="205" spans="15:16" x14ac:dyDescent="0.35">
      <c r="O205" s="2"/>
      <c r="P205" s="8"/>
    </row>
    <row r="206" spans="15:16" x14ac:dyDescent="0.35">
      <c r="O206" s="2"/>
      <c r="P206" s="8"/>
    </row>
    <row r="207" spans="15:16" x14ac:dyDescent="0.35">
      <c r="O207" s="2"/>
      <c r="P207" s="8"/>
    </row>
    <row r="208" spans="15:16" x14ac:dyDescent="0.35">
      <c r="O208" s="2"/>
      <c r="P208" s="8"/>
    </row>
    <row r="209" spans="15:16" x14ac:dyDescent="0.35">
      <c r="O209" s="2"/>
      <c r="P209" s="8"/>
    </row>
    <row r="210" spans="15:16" x14ac:dyDescent="0.35">
      <c r="O210" s="2"/>
      <c r="P210" s="8"/>
    </row>
    <row r="211" spans="15:16" x14ac:dyDescent="0.35">
      <c r="O211" s="2"/>
      <c r="P211" s="8"/>
    </row>
    <row r="212" spans="15:16" x14ac:dyDescent="0.35">
      <c r="O212" s="2"/>
      <c r="P212" s="8"/>
    </row>
    <row r="213" spans="15:16" x14ac:dyDescent="0.35">
      <c r="O213" s="2"/>
      <c r="P213" s="8"/>
    </row>
    <row r="214" spans="15:16" x14ac:dyDescent="0.35">
      <c r="O214" s="2"/>
      <c r="P214" s="8"/>
    </row>
    <row r="215" spans="15:16" x14ac:dyDescent="0.35">
      <c r="O215" s="2"/>
      <c r="P215" s="8"/>
    </row>
    <row r="216" spans="15:16" x14ac:dyDescent="0.35">
      <c r="O216" s="2"/>
      <c r="P216" s="8"/>
    </row>
    <row r="217" spans="15:16" x14ac:dyDescent="0.35">
      <c r="O217" s="2"/>
      <c r="P217" s="8"/>
    </row>
    <row r="218" spans="15:16" x14ac:dyDescent="0.35">
      <c r="O218" s="2"/>
      <c r="P218" s="8"/>
    </row>
    <row r="219" spans="15:16" x14ac:dyDescent="0.35">
      <c r="O219" s="2"/>
      <c r="P219" s="8"/>
    </row>
    <row r="220" spans="15:16" x14ac:dyDescent="0.35">
      <c r="O220" s="2"/>
      <c r="P220" s="8"/>
    </row>
    <row r="221" spans="15:16" x14ac:dyDescent="0.35">
      <c r="O221" s="2"/>
      <c r="P221" s="8"/>
    </row>
    <row r="222" spans="15:16" x14ac:dyDescent="0.35">
      <c r="O222" s="2"/>
      <c r="P222" s="8"/>
    </row>
    <row r="223" spans="15:16" x14ac:dyDescent="0.35">
      <c r="O223" s="2"/>
      <c r="P223" s="8"/>
    </row>
    <row r="224" spans="15:16" x14ac:dyDescent="0.35">
      <c r="O224" s="2"/>
      <c r="P224" s="8"/>
    </row>
    <row r="225" spans="15:16" x14ac:dyDescent="0.35">
      <c r="O225" s="2"/>
      <c r="P225" s="8"/>
    </row>
    <row r="226" spans="15:16" x14ac:dyDescent="0.35">
      <c r="O226" s="2"/>
      <c r="P226" s="8"/>
    </row>
    <row r="227" spans="15:16" x14ac:dyDescent="0.35">
      <c r="O227" s="2"/>
      <c r="P227" s="8"/>
    </row>
    <row r="228" spans="15:16" x14ac:dyDescent="0.35">
      <c r="O228" s="2"/>
      <c r="P228" s="8"/>
    </row>
    <row r="229" spans="15:16" x14ac:dyDescent="0.35">
      <c r="O229" s="2"/>
      <c r="P229" s="8"/>
    </row>
    <row r="230" spans="15:16" x14ac:dyDescent="0.35">
      <c r="O230" s="2"/>
      <c r="P230" s="8"/>
    </row>
    <row r="231" spans="15:16" x14ac:dyDescent="0.35">
      <c r="O231" s="2"/>
      <c r="P231" s="8"/>
    </row>
    <row r="232" spans="15:16" x14ac:dyDescent="0.35">
      <c r="O232" s="2"/>
      <c r="P232" s="8"/>
    </row>
    <row r="233" spans="15:16" x14ac:dyDescent="0.35">
      <c r="O233" s="2"/>
      <c r="P233" s="8"/>
    </row>
    <row r="234" spans="15:16" x14ac:dyDescent="0.35">
      <c r="O234" s="2"/>
      <c r="P234" s="8"/>
    </row>
    <row r="235" spans="15:16" x14ac:dyDescent="0.35">
      <c r="O235" s="2"/>
      <c r="P235" s="8"/>
    </row>
    <row r="236" spans="15:16" x14ac:dyDescent="0.35">
      <c r="O236" s="2"/>
      <c r="P236" s="8"/>
    </row>
    <row r="237" spans="15:16" x14ac:dyDescent="0.35">
      <c r="O237" s="2"/>
      <c r="P237" s="8"/>
    </row>
    <row r="238" spans="15:16" x14ac:dyDescent="0.35">
      <c r="O238" s="2"/>
      <c r="P238" s="8"/>
    </row>
    <row r="239" spans="15:16" x14ac:dyDescent="0.35">
      <c r="O239" s="2"/>
      <c r="P239" s="8"/>
    </row>
    <row r="240" spans="15:16" x14ac:dyDescent="0.35">
      <c r="O240" s="2"/>
      <c r="P240" s="8"/>
    </row>
    <row r="241" spans="15:16" x14ac:dyDescent="0.35">
      <c r="O241" s="2"/>
      <c r="P241" s="8"/>
    </row>
    <row r="242" spans="15:16" x14ac:dyDescent="0.35">
      <c r="O242" s="2"/>
      <c r="P242" s="8"/>
    </row>
    <row r="243" spans="15:16" x14ac:dyDescent="0.35">
      <c r="O243" s="2"/>
      <c r="P243" s="8"/>
    </row>
    <row r="244" spans="15:16" x14ac:dyDescent="0.35">
      <c r="O244" s="2"/>
      <c r="P244" s="8"/>
    </row>
    <row r="245" spans="15:16" x14ac:dyDescent="0.35">
      <c r="O245" s="2"/>
      <c r="P245" s="8"/>
    </row>
    <row r="246" spans="15:16" x14ac:dyDescent="0.35">
      <c r="O246" s="2"/>
      <c r="P246" s="8"/>
    </row>
    <row r="247" spans="15:16" x14ac:dyDescent="0.35">
      <c r="O247" s="2"/>
      <c r="P247" s="8"/>
    </row>
    <row r="248" spans="15:16" x14ac:dyDescent="0.35">
      <c r="O248" s="2"/>
      <c r="P248" s="8"/>
    </row>
    <row r="249" spans="15:16" x14ac:dyDescent="0.35">
      <c r="O249" s="2"/>
      <c r="P249" s="8"/>
    </row>
    <row r="250" spans="15:16" x14ac:dyDescent="0.35">
      <c r="O250" s="2"/>
      <c r="P250" s="8"/>
    </row>
    <row r="251" spans="15:16" x14ac:dyDescent="0.35">
      <c r="O251" s="2"/>
      <c r="P251" s="8"/>
    </row>
    <row r="252" spans="15:16" x14ac:dyDescent="0.35">
      <c r="O252" s="2"/>
      <c r="P252" s="8"/>
    </row>
    <row r="253" spans="15:16" x14ac:dyDescent="0.35">
      <c r="O253" s="2"/>
      <c r="P253" s="8"/>
    </row>
    <row r="254" spans="15:16" x14ac:dyDescent="0.35">
      <c r="O254" s="2"/>
      <c r="P254" s="8"/>
    </row>
    <row r="255" spans="15:16" x14ac:dyDescent="0.35">
      <c r="O255" s="2"/>
      <c r="P255" s="8"/>
    </row>
    <row r="256" spans="15:16" x14ac:dyDescent="0.35">
      <c r="O256" s="2"/>
      <c r="P256" s="8"/>
    </row>
    <row r="257" spans="15:16" x14ac:dyDescent="0.35">
      <c r="O257" s="2"/>
      <c r="P257" s="8"/>
    </row>
    <row r="258" spans="15:16" x14ac:dyDescent="0.35">
      <c r="O258" s="2"/>
      <c r="P258" s="8"/>
    </row>
    <row r="259" spans="15:16" x14ac:dyDescent="0.35">
      <c r="O259" s="2"/>
      <c r="P259" s="8"/>
    </row>
    <row r="260" spans="15:16" x14ac:dyDescent="0.35">
      <c r="O260" s="2"/>
      <c r="P260" s="8"/>
    </row>
    <row r="261" spans="15:16" x14ac:dyDescent="0.35">
      <c r="O261" s="2"/>
      <c r="P261" s="8"/>
    </row>
    <row r="262" spans="15:16" x14ac:dyDescent="0.35">
      <c r="O262" s="2"/>
      <c r="P262" s="8"/>
    </row>
    <row r="263" spans="15:16" x14ac:dyDescent="0.35">
      <c r="O263" s="2"/>
      <c r="P263" s="8"/>
    </row>
    <row r="264" spans="15:16" x14ac:dyDescent="0.35">
      <c r="O264" s="2"/>
      <c r="P264" s="8"/>
    </row>
    <row r="265" spans="15:16" x14ac:dyDescent="0.35">
      <c r="O265" s="2"/>
      <c r="P265" s="8"/>
    </row>
    <row r="266" spans="15:16" x14ac:dyDescent="0.35">
      <c r="O266" s="2"/>
      <c r="P266" s="8"/>
    </row>
    <row r="267" spans="15:16" x14ac:dyDescent="0.35">
      <c r="O267" s="2"/>
      <c r="P267" s="8"/>
    </row>
    <row r="268" spans="15:16" x14ac:dyDescent="0.35">
      <c r="O268" s="2"/>
      <c r="P268" s="8"/>
    </row>
    <row r="269" spans="15:16" x14ac:dyDescent="0.35">
      <c r="O269" s="2"/>
      <c r="P269" s="8"/>
    </row>
    <row r="270" spans="15:16" x14ac:dyDescent="0.35">
      <c r="O270" s="2"/>
      <c r="P270" s="8"/>
    </row>
    <row r="271" spans="15:16" x14ac:dyDescent="0.35">
      <c r="O271" s="2"/>
      <c r="P271" s="8"/>
    </row>
    <row r="272" spans="15:16" x14ac:dyDescent="0.35">
      <c r="O272" s="2"/>
      <c r="P272" s="8"/>
    </row>
    <row r="273" spans="15:16" x14ac:dyDescent="0.35">
      <c r="O273" s="2"/>
      <c r="P273" s="8"/>
    </row>
    <row r="274" spans="15:16" x14ac:dyDescent="0.35">
      <c r="O274" s="2"/>
      <c r="P274" s="8"/>
    </row>
    <row r="275" spans="15:16" x14ac:dyDescent="0.35">
      <c r="O275" s="2"/>
      <c r="P275" s="8"/>
    </row>
    <row r="276" spans="15:16" x14ac:dyDescent="0.35">
      <c r="O276" s="2"/>
      <c r="P276" s="8"/>
    </row>
    <row r="277" spans="15:16" x14ac:dyDescent="0.35">
      <c r="O277" s="2"/>
      <c r="P277" s="8"/>
    </row>
    <row r="278" spans="15:16" x14ac:dyDescent="0.35">
      <c r="O278" s="2"/>
      <c r="P278" s="8"/>
    </row>
    <row r="279" spans="15:16" x14ac:dyDescent="0.35">
      <c r="O279" s="2"/>
      <c r="P279" s="8"/>
    </row>
    <row r="280" spans="15:16" x14ac:dyDescent="0.35">
      <c r="O280" s="2"/>
      <c r="P280" s="8"/>
    </row>
    <row r="281" spans="15:16" x14ac:dyDescent="0.35">
      <c r="O281" s="2"/>
      <c r="P281" s="8"/>
    </row>
    <row r="282" spans="15:16" x14ac:dyDescent="0.35">
      <c r="O282" s="2"/>
      <c r="P282" s="8"/>
    </row>
    <row r="283" spans="15:16" x14ac:dyDescent="0.35">
      <c r="O283" s="2"/>
      <c r="P283" s="8"/>
    </row>
    <row r="284" spans="15:16" x14ac:dyDescent="0.35">
      <c r="O284" s="2"/>
      <c r="P284" s="8"/>
    </row>
    <row r="285" spans="15:16" x14ac:dyDescent="0.35">
      <c r="O285" s="2"/>
      <c r="P285" s="8"/>
    </row>
    <row r="286" spans="15:16" x14ac:dyDescent="0.35">
      <c r="O286" s="2"/>
      <c r="P286" s="8"/>
    </row>
    <row r="287" spans="15:16" x14ac:dyDescent="0.35">
      <c r="O287" s="2"/>
      <c r="P287" s="8"/>
    </row>
    <row r="288" spans="15:16" x14ac:dyDescent="0.35">
      <c r="O288" s="2"/>
      <c r="P288" s="8"/>
    </row>
    <row r="289" spans="15:16" x14ac:dyDescent="0.35">
      <c r="O289" s="2"/>
      <c r="P289" s="8"/>
    </row>
    <row r="290" spans="15:16" x14ac:dyDescent="0.35">
      <c r="O290" s="2"/>
      <c r="P290" s="8"/>
    </row>
    <row r="291" spans="15:16" x14ac:dyDescent="0.35">
      <c r="O291" s="2"/>
      <c r="P291" s="8"/>
    </row>
    <row r="292" spans="15:16" x14ac:dyDescent="0.35">
      <c r="O292" s="2"/>
      <c r="P292" s="8"/>
    </row>
    <row r="293" spans="15:16" x14ac:dyDescent="0.35">
      <c r="O293" s="2"/>
      <c r="P293" s="8"/>
    </row>
    <row r="294" spans="15:16" x14ac:dyDescent="0.35">
      <c r="O294" s="2"/>
      <c r="P294" s="8"/>
    </row>
    <row r="295" spans="15:16" x14ac:dyDescent="0.35">
      <c r="O295" s="2"/>
      <c r="P295" s="8"/>
    </row>
    <row r="296" spans="15:16" x14ac:dyDescent="0.35">
      <c r="O296" s="2"/>
      <c r="P296" s="8"/>
    </row>
    <row r="297" spans="15:16" x14ac:dyDescent="0.35">
      <c r="O297" s="2"/>
      <c r="P297" s="8"/>
    </row>
    <row r="298" spans="15:16" x14ac:dyDescent="0.35">
      <c r="O298" s="2"/>
      <c r="P298" s="8"/>
    </row>
    <row r="299" spans="15:16" x14ac:dyDescent="0.35">
      <c r="O299" s="2"/>
      <c r="P299" s="8"/>
    </row>
    <row r="300" spans="15:16" x14ac:dyDescent="0.35">
      <c r="O300" s="2"/>
      <c r="P300" s="8"/>
    </row>
    <row r="301" spans="15:16" x14ac:dyDescent="0.35">
      <c r="O301" s="2"/>
      <c r="P301" s="8"/>
    </row>
    <row r="302" spans="15:16" x14ac:dyDescent="0.35">
      <c r="O302" s="2"/>
      <c r="P302" s="8"/>
    </row>
    <row r="303" spans="15:16" x14ac:dyDescent="0.35">
      <c r="O303" s="2"/>
      <c r="P303" s="8"/>
    </row>
    <row r="304" spans="15:16" x14ac:dyDescent="0.35">
      <c r="O304" s="2"/>
      <c r="P304" s="8"/>
    </row>
    <row r="305" spans="15:16" x14ac:dyDescent="0.35">
      <c r="O305" s="2"/>
      <c r="P305" s="8"/>
    </row>
    <row r="306" spans="15:16" x14ac:dyDescent="0.35">
      <c r="O306" s="2"/>
      <c r="P306" s="8"/>
    </row>
    <row r="307" spans="15:16" x14ac:dyDescent="0.35">
      <c r="O307" s="2"/>
      <c r="P307" s="8"/>
    </row>
    <row r="308" spans="15:16" x14ac:dyDescent="0.35">
      <c r="O308" s="2"/>
      <c r="P308" s="8"/>
    </row>
    <row r="309" spans="15:16" x14ac:dyDescent="0.35">
      <c r="O309" s="2"/>
      <c r="P309" s="8"/>
    </row>
    <row r="310" spans="15:16" x14ac:dyDescent="0.35">
      <c r="O310" s="2"/>
      <c r="P310" s="8"/>
    </row>
    <row r="311" spans="15:16" x14ac:dyDescent="0.35">
      <c r="O311" s="2"/>
      <c r="P311" s="8"/>
    </row>
    <row r="312" spans="15:16" x14ac:dyDescent="0.35">
      <c r="O312" s="2"/>
      <c r="P312" s="8"/>
    </row>
    <row r="313" spans="15:16" x14ac:dyDescent="0.35">
      <c r="O313" s="2"/>
      <c r="P313" s="8"/>
    </row>
    <row r="314" spans="15:16" x14ac:dyDescent="0.35">
      <c r="O314" s="2"/>
      <c r="P314" s="8"/>
    </row>
    <row r="315" spans="15:16" x14ac:dyDescent="0.35">
      <c r="O315" s="2"/>
      <c r="P315" s="8"/>
    </row>
    <row r="316" spans="15:16" x14ac:dyDescent="0.35">
      <c r="O316" s="2"/>
      <c r="P316" s="8"/>
    </row>
    <row r="317" spans="15:16" x14ac:dyDescent="0.35">
      <c r="O317" s="2"/>
      <c r="P317" s="8"/>
    </row>
    <row r="318" spans="15:16" x14ac:dyDescent="0.35">
      <c r="O318" s="2"/>
      <c r="P318" s="8"/>
    </row>
    <row r="319" spans="15:16" x14ac:dyDescent="0.35">
      <c r="O319" s="2"/>
      <c r="P319" s="8"/>
    </row>
    <row r="320" spans="15:16" x14ac:dyDescent="0.35">
      <c r="O320" s="2"/>
      <c r="P320" s="8"/>
    </row>
    <row r="321" spans="15:16" x14ac:dyDescent="0.35">
      <c r="O321" s="2"/>
      <c r="P321" s="8"/>
    </row>
    <row r="322" spans="15:16" x14ac:dyDescent="0.35">
      <c r="O322" s="2"/>
      <c r="P322" s="8"/>
    </row>
    <row r="323" spans="15:16" x14ac:dyDescent="0.35">
      <c r="O323" s="2"/>
      <c r="P323" s="8"/>
    </row>
    <row r="324" spans="15:16" x14ac:dyDescent="0.35">
      <c r="O324" s="2"/>
      <c r="P324" s="8"/>
    </row>
    <row r="325" spans="15:16" x14ac:dyDescent="0.35">
      <c r="O325" s="2"/>
      <c r="P325" s="8"/>
    </row>
    <row r="326" spans="15:16" x14ac:dyDescent="0.35">
      <c r="O326" s="2"/>
      <c r="P326" s="8"/>
    </row>
    <row r="327" spans="15:16" x14ac:dyDescent="0.35">
      <c r="O327" s="2"/>
      <c r="P327" s="8"/>
    </row>
    <row r="328" spans="15:16" x14ac:dyDescent="0.35">
      <c r="O328" s="2"/>
      <c r="P328" s="8"/>
    </row>
    <row r="329" spans="15:16" x14ac:dyDescent="0.35">
      <c r="O329" s="2"/>
      <c r="P329" s="8"/>
    </row>
    <row r="330" spans="15:16" x14ac:dyDescent="0.35">
      <c r="O330" s="2"/>
      <c r="P330" s="8"/>
    </row>
    <row r="331" spans="15:16" x14ac:dyDescent="0.35">
      <c r="O331" s="2"/>
      <c r="P331" s="8"/>
    </row>
    <row r="332" spans="15:16" x14ac:dyDescent="0.35">
      <c r="O332" s="2"/>
      <c r="P332" s="8"/>
    </row>
    <row r="333" spans="15:16" x14ac:dyDescent="0.35">
      <c r="O333" s="2"/>
      <c r="P333" s="8"/>
    </row>
    <row r="334" spans="15:16" x14ac:dyDescent="0.35">
      <c r="O334" s="2"/>
      <c r="P334" s="8"/>
    </row>
    <row r="335" spans="15:16" x14ac:dyDescent="0.35">
      <c r="O335" s="2"/>
      <c r="P335" s="8"/>
    </row>
    <row r="336" spans="15:16" x14ac:dyDescent="0.35">
      <c r="O336" s="2"/>
      <c r="P336" s="8"/>
    </row>
    <row r="337" spans="15:16" x14ac:dyDescent="0.35">
      <c r="O337" s="2"/>
      <c r="P337" s="8"/>
    </row>
    <row r="338" spans="15:16" x14ac:dyDescent="0.35">
      <c r="O338" s="2"/>
      <c r="P338" s="8"/>
    </row>
    <row r="339" spans="15:16" x14ac:dyDescent="0.35">
      <c r="O339" s="2"/>
      <c r="P339" s="8"/>
    </row>
    <row r="340" spans="15:16" x14ac:dyDescent="0.35">
      <c r="O340" s="2"/>
      <c r="P340" s="8"/>
    </row>
    <row r="341" spans="15:16" x14ac:dyDescent="0.35">
      <c r="O341" s="2"/>
      <c r="P341" s="8"/>
    </row>
    <row r="342" spans="15:16" x14ac:dyDescent="0.35">
      <c r="O342" s="2"/>
      <c r="P342" s="8"/>
    </row>
    <row r="343" spans="15:16" x14ac:dyDescent="0.35">
      <c r="O343" s="2"/>
      <c r="P343" s="8"/>
    </row>
    <row r="344" spans="15:16" x14ac:dyDescent="0.35">
      <c r="O344" s="2"/>
      <c r="P344" s="8"/>
    </row>
    <row r="345" spans="15:16" x14ac:dyDescent="0.35">
      <c r="O345" s="2"/>
      <c r="P345" s="8"/>
    </row>
    <row r="346" spans="15:16" x14ac:dyDescent="0.35">
      <c r="O346" s="2"/>
      <c r="P346" s="8"/>
    </row>
    <row r="347" spans="15:16" x14ac:dyDescent="0.35">
      <c r="O347" s="2"/>
      <c r="P347" s="8"/>
    </row>
    <row r="348" spans="15:16" x14ac:dyDescent="0.35">
      <c r="O348" s="2"/>
      <c r="P348" s="8"/>
    </row>
    <row r="349" spans="15:16" x14ac:dyDescent="0.35">
      <c r="O349" s="2"/>
      <c r="P349" s="8"/>
    </row>
    <row r="350" spans="15:16" x14ac:dyDescent="0.35">
      <c r="O350" s="2"/>
      <c r="P350" s="8"/>
    </row>
    <row r="351" spans="15:16" x14ac:dyDescent="0.35">
      <c r="O351" s="2"/>
      <c r="P351" s="8"/>
    </row>
    <row r="352" spans="15:16" x14ac:dyDescent="0.35">
      <c r="O352" s="2"/>
      <c r="P352" s="8"/>
    </row>
    <row r="353" spans="15:16" x14ac:dyDescent="0.35">
      <c r="O353" s="2"/>
      <c r="P353" s="8"/>
    </row>
    <row r="354" spans="15:16" x14ac:dyDescent="0.35">
      <c r="O354" s="2"/>
      <c r="P354" s="8"/>
    </row>
    <row r="355" spans="15:16" x14ac:dyDescent="0.35">
      <c r="O355" s="2"/>
      <c r="P355" s="8"/>
    </row>
    <row r="356" spans="15:16" x14ac:dyDescent="0.35">
      <c r="O356" s="2"/>
      <c r="P356" s="8"/>
    </row>
    <row r="357" spans="15:16" x14ac:dyDescent="0.35">
      <c r="O357" s="2"/>
      <c r="P357" s="8"/>
    </row>
    <row r="358" spans="15:16" x14ac:dyDescent="0.35">
      <c r="O358" s="2"/>
      <c r="P358" s="8"/>
    </row>
    <row r="359" spans="15:16" x14ac:dyDescent="0.35">
      <c r="O359" s="2"/>
      <c r="P359" s="8"/>
    </row>
    <row r="360" spans="15:16" x14ac:dyDescent="0.35">
      <c r="O360" s="2"/>
      <c r="P360" s="8"/>
    </row>
    <row r="361" spans="15:16" x14ac:dyDescent="0.35">
      <c r="O361" s="2"/>
      <c r="P361" s="8"/>
    </row>
    <row r="362" spans="15:16" x14ac:dyDescent="0.35">
      <c r="O362" s="2"/>
      <c r="P362" s="8"/>
    </row>
    <row r="363" spans="15:16" x14ac:dyDescent="0.35">
      <c r="O363" s="2"/>
      <c r="P363" s="8"/>
    </row>
    <row r="364" spans="15:16" x14ac:dyDescent="0.35">
      <c r="O364" s="2"/>
      <c r="P364" s="8"/>
    </row>
    <row r="365" spans="15:16" x14ac:dyDescent="0.35">
      <c r="O365" s="2"/>
      <c r="P365" s="8"/>
    </row>
    <row r="366" spans="15:16" x14ac:dyDescent="0.35">
      <c r="O366" s="2"/>
      <c r="P366" s="8"/>
    </row>
    <row r="367" spans="15:16" x14ac:dyDescent="0.35">
      <c r="O367" s="2"/>
      <c r="P367" s="8"/>
    </row>
    <row r="368" spans="15:16" x14ac:dyDescent="0.35">
      <c r="O368" s="2"/>
      <c r="P368" s="8"/>
    </row>
    <row r="369" spans="15:16" x14ac:dyDescent="0.35">
      <c r="O369" s="2"/>
      <c r="P369" s="8"/>
    </row>
    <row r="370" spans="15:16" x14ac:dyDescent="0.35">
      <c r="O370" s="2"/>
      <c r="P370" s="8"/>
    </row>
    <row r="371" spans="15:16" x14ac:dyDescent="0.35">
      <c r="O371" s="2"/>
      <c r="P371" s="8"/>
    </row>
    <row r="372" spans="15:16" x14ac:dyDescent="0.35">
      <c r="O372" s="2"/>
      <c r="P372" s="8"/>
    </row>
    <row r="373" spans="15:16" x14ac:dyDescent="0.35">
      <c r="O373" s="2"/>
      <c r="P373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Macrp_data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Кожевников Евгений Дмитриевич</dc:creator>
  <cp:lastModifiedBy>Кожевников Евгений</cp:lastModifiedBy>
  <dcterms:created xsi:type="dcterms:W3CDTF">2022-10-19T10:42:43Z</dcterms:created>
  <dcterms:modified xsi:type="dcterms:W3CDTF">2022-10-19T18:57:33Z</dcterms:modified>
</cp:coreProperties>
</file>