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DieseArbeitsmappe" defaultThemeVersion="124226"/>
  <bookViews>
    <workbookView xWindow="30" yWindow="30" windowWidth="22695" windowHeight="12705" activeTab="2"/>
  </bookViews>
  <sheets>
    <sheet name="Messaufbau_Messdaten" sheetId="1" r:id="rId1"/>
    <sheet name="num.-Neues-Modell" sheetId="18" r:id="rId2"/>
    <sheet name="numerisch" sheetId="15" r:id="rId3"/>
    <sheet name="analytisch" sheetId="14" r:id="rId4"/>
    <sheet name="Ergebnisse" sheetId="13" r:id="rId5"/>
    <sheet name="Modell+Rechnung" sheetId="4" r:id="rId6"/>
    <sheet name="RechnungA1" sheetId="5" r:id="rId7"/>
    <sheet name="RechnungA2" sheetId="6" r:id="rId8"/>
    <sheet name="RechnungA3" sheetId="7" r:id="rId9"/>
    <sheet name="RechnungA4" sheetId="8" r:id="rId10"/>
    <sheet name="RechnungA5" sheetId="9" r:id="rId11"/>
    <sheet name="RechnungA6" sheetId="10" r:id="rId12"/>
    <sheet name="RechnungA7" sheetId="11" r:id="rId13"/>
    <sheet name="RechnungA8" sheetId="12" r:id="rId14"/>
    <sheet name="testing_ground" sheetId="3" r:id="rId15"/>
  </sheets>
  <definedNames>
    <definedName name="A_1">'num.-Neues-Modell'!$E$8</definedName>
    <definedName name="A_2">'num.-Neues-Modell'!$F$8</definedName>
    <definedName name="d_10">Messaufbau_Messdaten!$I$9</definedName>
    <definedName name="d_20">Messaufbau_Messdaten!$I$10</definedName>
    <definedName name="d_30">Messaufbau_Messdaten!$I$11</definedName>
    <definedName name="OFFSET">Messaufbau_Messdaten!$I$4</definedName>
    <definedName name="solver_adj" localSheetId="1" hidden="1">'num.-Neues-Modell'!#REF!</definedName>
    <definedName name="solver_adj" localSheetId="2" hidden="1">numerisch!$K$18:$K$20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hs1" localSheetId="2" hidden="1">numerisch!$K$20</definedName>
    <definedName name="solver_lhs10" localSheetId="2" hidden="1">numerisch!$E$18</definedName>
    <definedName name="solver_lhs11" localSheetId="2" hidden="1">numerisch!$F$18</definedName>
    <definedName name="solver_lhs12" localSheetId="2" hidden="1">numerisch!$G$18</definedName>
    <definedName name="solver_lhs13" localSheetId="2" hidden="1">numerisch!$H$18</definedName>
    <definedName name="solver_lhs14" localSheetId="2" hidden="1">numerisch!$ID$18</definedName>
    <definedName name="solver_lhs15" localSheetId="2" hidden="1">numerisch!$J$18</definedName>
    <definedName name="solver_lhs16" localSheetId="2" hidden="1">numerisch!$K$18</definedName>
    <definedName name="solver_lhs17" localSheetId="2" hidden="1">numerisch!$D$18</definedName>
    <definedName name="solver_lhs18" localSheetId="2" hidden="1">numerisch!$E$18</definedName>
    <definedName name="solver_lhs19" localSheetId="2" hidden="1">numerisch!$F$18</definedName>
    <definedName name="solver_lhs2" localSheetId="2" hidden="1">numerisch!$E$18</definedName>
    <definedName name="solver_lhs20" localSheetId="2" hidden="1">numerisch!$G$18</definedName>
    <definedName name="solver_lhs21" localSheetId="2" hidden="1">numerisch!$H$18</definedName>
    <definedName name="solver_lhs22" localSheetId="2" hidden="1">numerisch!$ID$18</definedName>
    <definedName name="solver_lhs23" localSheetId="2" hidden="1">numerisch!$J$18</definedName>
    <definedName name="solver_lhs24" localSheetId="2" hidden="1">numerisch!$K$18</definedName>
    <definedName name="solver_lhs3" localSheetId="2" hidden="1">numerisch!$F$18</definedName>
    <definedName name="solver_lhs4" localSheetId="2" hidden="1">numerisch!$G$18</definedName>
    <definedName name="solver_lhs5" localSheetId="2" hidden="1">numerisch!$H$18</definedName>
    <definedName name="solver_lhs6" localSheetId="2" hidden="1">numerisch!$ID$18</definedName>
    <definedName name="solver_lhs7" localSheetId="2" hidden="1">numerisch!$J$18</definedName>
    <definedName name="solver_lhs8" localSheetId="2" hidden="1">numerisch!$K$18</definedName>
    <definedName name="solver_lhs9" localSheetId="2" hidden="1">numerisch!$D$18</definedName>
    <definedName name="solver_lin" localSheetId="1" hidden="1">2</definedName>
    <definedName name="solver_lin" localSheetId="2" hidden="1">2</definedName>
    <definedName name="solver_neg" localSheetId="1" hidden="1">2</definedName>
    <definedName name="solver_neg" localSheetId="2" hidden="1">2</definedName>
    <definedName name="solver_num" localSheetId="1" hidden="1">0</definedName>
    <definedName name="solver_num" localSheetId="2" hidden="1">1</definedName>
    <definedName name="solver_nwt" localSheetId="1" hidden="1">1</definedName>
    <definedName name="solver_nwt" localSheetId="2" hidden="1">1</definedName>
    <definedName name="solver_opt" localSheetId="1" hidden="1">'num.-Neues-Modell'!$K$34</definedName>
    <definedName name="solver_opt" localSheetId="2" hidden="1">numerisch!$K$14</definedName>
    <definedName name="solver_pre" localSheetId="1" hidden="1">0.000001</definedName>
    <definedName name="solver_pre" localSheetId="2" hidden="1">0.000001</definedName>
    <definedName name="solver_rel1" localSheetId="2" hidden="1">3</definedName>
    <definedName name="solver_rel10" localSheetId="2" hidden="1">3</definedName>
    <definedName name="solver_rel11" localSheetId="2" hidden="1">3</definedName>
    <definedName name="solver_rel12" localSheetId="2" hidden="1">3</definedName>
    <definedName name="solver_rel13" localSheetId="2" hidden="1">3</definedName>
    <definedName name="solver_rel14" localSheetId="2" hidden="1">3</definedName>
    <definedName name="solver_rel15" localSheetId="2" hidden="1">3</definedName>
    <definedName name="solver_rel16" localSheetId="2" hidden="1">3</definedName>
    <definedName name="solver_rel17" localSheetId="2" hidden="1">3</definedName>
    <definedName name="solver_rel18" localSheetId="2" hidden="1">3</definedName>
    <definedName name="solver_rel19" localSheetId="2" hidden="1">3</definedName>
    <definedName name="solver_rel2" localSheetId="2" hidden="1">3</definedName>
    <definedName name="solver_rel20" localSheetId="2" hidden="1">3</definedName>
    <definedName name="solver_rel21" localSheetId="2" hidden="1">3</definedName>
    <definedName name="solver_rel22" localSheetId="2" hidden="1">3</definedName>
    <definedName name="solver_rel23" localSheetId="2" hidden="1">3</definedName>
    <definedName name="solver_rel24" localSheetId="2" hidden="1">3</definedName>
    <definedName name="solver_rel3" localSheetId="2" hidden="1">3</definedName>
    <definedName name="solver_rel4" localSheetId="2" hidden="1">3</definedName>
    <definedName name="solver_rel5" localSheetId="2" hidden="1">3</definedName>
    <definedName name="solver_rel6" localSheetId="2" hidden="1">3</definedName>
    <definedName name="solver_rel7" localSheetId="2" hidden="1">3</definedName>
    <definedName name="solver_rel8" localSheetId="2" hidden="1">3</definedName>
    <definedName name="solver_rel9" localSheetId="2" hidden="1">3</definedName>
    <definedName name="solver_rhs1" localSheetId="2" hidden="1">0</definedName>
    <definedName name="solver_rhs10" localSheetId="2" hidden="1">0</definedName>
    <definedName name="solver_rhs11" localSheetId="2" hidden="1">0</definedName>
    <definedName name="solver_rhs12" localSheetId="2" hidden="1">0</definedName>
    <definedName name="solver_rhs13" localSheetId="2" hidden="1">0</definedName>
    <definedName name="solver_rhs14" localSheetId="2" hidden="1">0</definedName>
    <definedName name="solver_rhs15" localSheetId="2" hidden="1">0</definedName>
    <definedName name="solver_rhs16" localSheetId="2" hidden="1">0</definedName>
    <definedName name="solver_rhs17" localSheetId="2" hidden="1">0</definedName>
    <definedName name="solver_rhs18" localSheetId="2" hidden="1">0</definedName>
    <definedName name="solver_rhs19" localSheetId="2" hidden="1">0</definedName>
    <definedName name="solver_rhs2" localSheetId="2" hidden="1">0</definedName>
    <definedName name="solver_rhs20" localSheetId="2" hidden="1">0</definedName>
    <definedName name="solver_rhs21" localSheetId="2" hidden="1">0</definedName>
    <definedName name="solver_rhs22" localSheetId="2" hidden="1">0</definedName>
    <definedName name="solver_rhs23" localSheetId="2" hidden="1">0</definedName>
    <definedName name="solver_rhs24" localSheetId="2" hidden="1">0</definedName>
    <definedName name="solver_rhs3" localSheetId="2" hidden="1">0</definedName>
    <definedName name="solver_rhs4" localSheetId="2" hidden="1">0</definedName>
    <definedName name="solver_rhs5" localSheetId="2" hidden="1">0</definedName>
    <definedName name="solver_rhs6" localSheetId="2" hidden="1">0</definedName>
    <definedName name="solver_rhs7" localSheetId="2" hidden="1">0</definedName>
    <definedName name="solver_rhs8" localSheetId="2" hidden="1">0</definedName>
    <definedName name="solver_rhs9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THETA_0">'num.-Neues-Modell'!$H$11</definedName>
    <definedName name="THETA_1">'num.-Neues-Modell'!$H$8</definedName>
    <definedName name="THETA_2">'num.-Neues-Modell'!$H$9</definedName>
    <definedName name="THETA_3">'num.-Neues-Modell'!$H$10</definedName>
  </definedNames>
  <calcPr calcId="124519"/>
</workbook>
</file>

<file path=xl/calcChain.xml><?xml version="1.0" encoding="utf-8"?>
<calcChain xmlns="http://schemas.openxmlformats.org/spreadsheetml/2006/main">
  <c r="D22" i="15"/>
  <c r="M20"/>
  <c r="M19"/>
  <c r="M18"/>
  <c r="G9" i="18"/>
  <c r="G10"/>
  <c r="G8"/>
  <c r="D9"/>
  <c r="D10"/>
  <c r="E55"/>
  <c r="F55"/>
  <c r="G55"/>
  <c r="H55"/>
  <c r="I55"/>
  <c r="J55"/>
  <c r="K55"/>
  <c r="E56"/>
  <c r="F56"/>
  <c r="G56"/>
  <c r="H56"/>
  <c r="I56"/>
  <c r="J56"/>
  <c r="K56"/>
  <c r="E57"/>
  <c r="F57"/>
  <c r="G57"/>
  <c r="H57"/>
  <c r="I57"/>
  <c r="J57"/>
  <c r="K57"/>
  <c r="D56"/>
  <c r="D57"/>
  <c r="D55"/>
  <c r="E31"/>
  <c r="F31"/>
  <c r="G31"/>
  <c r="H31"/>
  <c r="I31"/>
  <c r="J31"/>
  <c r="K31"/>
  <c r="E32"/>
  <c r="F32"/>
  <c r="G32"/>
  <c r="H32"/>
  <c r="I32"/>
  <c r="J32"/>
  <c r="K32"/>
  <c r="E33"/>
  <c r="F33"/>
  <c r="G33"/>
  <c r="H33"/>
  <c r="I33"/>
  <c r="J33"/>
  <c r="K33"/>
  <c r="D32"/>
  <c r="D33"/>
  <c r="D31"/>
  <c r="D8"/>
  <c r="C5"/>
  <c r="K62"/>
  <c r="J62"/>
  <c r="I62"/>
  <c r="H62"/>
  <c r="G62"/>
  <c r="F62"/>
  <c r="E62"/>
  <c r="D62"/>
  <c r="E11" i="15"/>
  <c r="F11"/>
  <c r="G11"/>
  <c r="H11"/>
  <c r="I11"/>
  <c r="J11"/>
  <c r="K11"/>
  <c r="E12"/>
  <c r="F12"/>
  <c r="G12"/>
  <c r="H12"/>
  <c r="I12"/>
  <c r="J12"/>
  <c r="K12"/>
  <c r="E13"/>
  <c r="F13"/>
  <c r="G13"/>
  <c r="H13"/>
  <c r="I13"/>
  <c r="J13"/>
  <c r="K13"/>
  <c r="D34"/>
  <c r="E34"/>
  <c r="D35"/>
  <c r="E35"/>
  <c r="D33"/>
  <c r="D12"/>
  <c r="D13"/>
  <c r="D11"/>
  <c r="K27" i="1"/>
  <c r="F23" i="6" s="1"/>
  <c r="L27" i="1"/>
  <c r="F23" i="7" s="1"/>
  <c r="M27" i="1"/>
  <c r="N27"/>
  <c r="O27"/>
  <c r="F23" i="10" s="1"/>
  <c r="P27" i="1"/>
  <c r="F23" i="11" s="1"/>
  <c r="Q27" i="1"/>
  <c r="K28"/>
  <c r="L28"/>
  <c r="F24" i="7" s="1"/>
  <c r="M28" i="1"/>
  <c r="F24" i="8" s="1"/>
  <c r="N28" i="1"/>
  <c r="O28"/>
  <c r="F24" i="10" s="1"/>
  <c r="P28" i="1"/>
  <c r="F24" i="11" s="1"/>
  <c r="Q28" i="1"/>
  <c r="F24" i="12" s="1"/>
  <c r="J27" i="1"/>
  <c r="M30" i="5"/>
  <c r="M29"/>
  <c r="M28"/>
  <c r="P23"/>
  <c r="P18"/>
  <c r="P13"/>
  <c r="I45" i="1"/>
  <c r="I39"/>
  <c r="I37"/>
  <c r="G23" i="5"/>
  <c r="J28" i="1"/>
  <c r="F24" i="5" s="1"/>
  <c r="J29" i="1"/>
  <c r="K29"/>
  <c r="L29"/>
  <c r="F25" i="7" s="1"/>
  <c r="M29" i="1"/>
  <c r="F25" i="8" s="1"/>
  <c r="N29" i="1"/>
  <c r="O29"/>
  <c r="F25" i="10" s="1"/>
  <c r="P29" i="1"/>
  <c r="F25" i="11" s="1"/>
  <c r="Q29" i="1"/>
  <c r="F25" i="12" s="1"/>
  <c r="J30" i="1"/>
  <c r="J31" s="1"/>
  <c r="K30"/>
  <c r="K31" s="1"/>
  <c r="L30"/>
  <c r="L31" s="1"/>
  <c r="M30"/>
  <c r="M31" s="1"/>
  <c r="N30"/>
  <c r="N31" s="1"/>
  <c r="O30"/>
  <c r="O31" s="1"/>
  <c r="P30"/>
  <c r="P31" s="1"/>
  <c r="Q30"/>
  <c r="E25" i="12" s="1"/>
  <c r="F23"/>
  <c r="G25"/>
  <c r="G24"/>
  <c r="G23"/>
  <c r="J15"/>
  <c r="G25" i="11"/>
  <c r="G24"/>
  <c r="G23"/>
  <c r="J15"/>
  <c r="G25" i="10"/>
  <c r="G24"/>
  <c r="G23"/>
  <c r="J15"/>
  <c r="G25" i="9"/>
  <c r="G24"/>
  <c r="G23"/>
  <c r="J15"/>
  <c r="G25" i="8"/>
  <c r="G24"/>
  <c r="G23"/>
  <c r="J15"/>
  <c r="G25" i="7"/>
  <c r="G24"/>
  <c r="G23"/>
  <c r="J15"/>
  <c r="G25" i="6"/>
  <c r="G24"/>
  <c r="G23"/>
  <c r="J15"/>
  <c r="F24"/>
  <c r="F24" i="9"/>
  <c r="F25" i="5"/>
  <c r="F25" i="6"/>
  <c r="F25" i="9"/>
  <c r="E25"/>
  <c r="F23" i="8"/>
  <c r="F23" i="9"/>
  <c r="F23" i="5"/>
  <c r="G25"/>
  <c r="G24"/>
  <c r="J15"/>
  <c r="B35" i="3"/>
  <c r="J15" i="4"/>
  <c r="E25" i="5"/>
  <c r="E14" i="15" l="1"/>
  <c r="E8" i="18"/>
  <c r="G61"/>
  <c r="G64" s="1"/>
  <c r="K61"/>
  <c r="K64" s="1"/>
  <c r="F61"/>
  <c r="F64" s="1"/>
  <c r="J61"/>
  <c r="J64" s="1"/>
  <c r="E61"/>
  <c r="E64" s="1"/>
  <c r="I61"/>
  <c r="I64" s="1"/>
  <c r="D61"/>
  <c r="D64" s="1"/>
  <c r="H61"/>
  <c r="H64" s="1"/>
  <c r="E25" i="8"/>
  <c r="K17" i="14"/>
  <c r="G17"/>
  <c r="J16"/>
  <c r="F16"/>
  <c r="I15"/>
  <c r="E15"/>
  <c r="I32"/>
  <c r="E32"/>
  <c r="G22" i="15"/>
  <c r="K22"/>
  <c r="G23"/>
  <c r="K23"/>
  <c r="G24"/>
  <c r="K24"/>
  <c r="G39"/>
  <c r="K39"/>
  <c r="D17" i="14"/>
  <c r="H17"/>
  <c r="K16"/>
  <c r="G16"/>
  <c r="J15"/>
  <c r="F15"/>
  <c r="J32"/>
  <c r="F32"/>
  <c r="F22" i="15"/>
  <c r="J22"/>
  <c r="F23"/>
  <c r="J23"/>
  <c r="F24"/>
  <c r="J24"/>
  <c r="F39"/>
  <c r="J39"/>
  <c r="D16" i="14"/>
  <c r="I17"/>
  <c r="E17"/>
  <c r="H16"/>
  <c r="K15"/>
  <c r="G15"/>
  <c r="K32"/>
  <c r="G32"/>
  <c r="I22" i="15"/>
  <c r="I23"/>
  <c r="I24"/>
  <c r="E39"/>
  <c r="I39"/>
  <c r="D15" i="14"/>
  <c r="J17"/>
  <c r="J11" s="1"/>
  <c r="J28" s="1"/>
  <c r="F17"/>
  <c r="F11" s="1"/>
  <c r="F28" s="1"/>
  <c r="I16"/>
  <c r="I11" s="1"/>
  <c r="I28" s="1"/>
  <c r="E16"/>
  <c r="H15"/>
  <c r="D32"/>
  <c r="H32"/>
  <c r="H22" i="15"/>
  <c r="D23"/>
  <c r="H23"/>
  <c r="D24"/>
  <c r="H24"/>
  <c r="D39"/>
  <c r="H39"/>
  <c r="E11" i="14"/>
  <c r="E28" s="1"/>
  <c r="I9"/>
  <c r="I26" s="1"/>
  <c r="E9"/>
  <c r="E26" s="1"/>
  <c r="J9"/>
  <c r="J26" s="1"/>
  <c r="F9"/>
  <c r="F26" s="1"/>
  <c r="K10"/>
  <c r="K27" s="1"/>
  <c r="G10"/>
  <c r="G27" s="1"/>
  <c r="H11"/>
  <c r="H28" s="1"/>
  <c r="D11"/>
  <c r="D28" s="1"/>
  <c r="H10"/>
  <c r="H27" s="1"/>
  <c r="K9"/>
  <c r="K26" s="1"/>
  <c r="G9"/>
  <c r="G26" s="1"/>
  <c r="I10"/>
  <c r="I27" s="1"/>
  <c r="E10"/>
  <c r="E27" s="1"/>
  <c r="H9"/>
  <c r="H26" s="1"/>
  <c r="K11"/>
  <c r="K28" s="1"/>
  <c r="G11"/>
  <c r="G28" s="1"/>
  <c r="J10"/>
  <c r="J27" s="1"/>
  <c r="F10"/>
  <c r="F27" s="1"/>
  <c r="E25" i="6"/>
  <c r="I25" s="1"/>
  <c r="H11" s="1"/>
  <c r="E24" i="10"/>
  <c r="I24" s="1"/>
  <c r="H10" s="1"/>
  <c r="E23" i="11"/>
  <c r="E25" i="7"/>
  <c r="I25" i="5"/>
  <c r="H11" s="1"/>
  <c r="E23"/>
  <c r="I23" s="1"/>
  <c r="H9" s="1"/>
  <c r="Q31" i="1"/>
  <c r="I25" i="9"/>
  <c r="H11" s="1"/>
  <c r="I25" i="8"/>
  <c r="H11" s="1"/>
  <c r="I25" i="7"/>
  <c r="H11" s="1"/>
  <c r="E23" i="6"/>
  <c r="I23" s="1"/>
  <c r="H9" s="1"/>
  <c r="E24"/>
  <c r="I24" s="1"/>
  <c r="H10" s="1"/>
  <c r="E23" i="7"/>
  <c r="I23" s="1"/>
  <c r="H9" s="1"/>
  <c r="E23" i="8"/>
  <c r="I23" s="1"/>
  <c r="H9" s="1"/>
  <c r="D17" s="1"/>
  <c r="D36" s="1"/>
  <c r="F5" i="13" s="1"/>
  <c r="E24" i="8"/>
  <c r="I24" s="1"/>
  <c r="H10" s="1"/>
  <c r="E25" i="10"/>
  <c r="I25" s="1"/>
  <c r="H11" s="1"/>
  <c r="E25" i="11"/>
  <c r="I25" s="1"/>
  <c r="H11" s="1"/>
  <c r="E24" i="12"/>
  <c r="I24" s="1"/>
  <c r="H10" s="1"/>
  <c r="E24" i="7"/>
  <c r="I24" s="1"/>
  <c r="H10" s="1"/>
  <c r="E23" i="9"/>
  <c r="I23" s="1"/>
  <c r="H9" s="1"/>
  <c r="E24"/>
  <c r="I24" s="1"/>
  <c r="H10" s="1"/>
  <c r="E23" i="12"/>
  <c r="I23" s="1"/>
  <c r="H9" s="1"/>
  <c r="E23" i="10"/>
  <c r="I23" s="1"/>
  <c r="H9" s="1"/>
  <c r="E24" i="11"/>
  <c r="I24" s="1"/>
  <c r="H10" s="1"/>
  <c r="I25" i="12"/>
  <c r="H11" s="1"/>
  <c r="I23" i="11"/>
  <c r="H9" s="1"/>
  <c r="E24" i="5"/>
  <c r="I24" s="1"/>
  <c r="G24" i="4"/>
  <c r="H10" s="1"/>
  <c r="G23"/>
  <c r="H9" s="1"/>
  <c r="G25"/>
  <c r="H11" s="1"/>
  <c r="L33" i="3"/>
  <c r="L34"/>
  <c r="L32"/>
  <c r="H33"/>
  <c r="I33"/>
  <c r="J33"/>
  <c r="H34"/>
  <c r="I34"/>
  <c r="J34"/>
  <c r="I32"/>
  <c r="J32"/>
  <c r="H32"/>
  <c r="B36"/>
  <c r="B37"/>
  <c r="H26"/>
  <c r="B33"/>
  <c r="H22"/>
  <c r="H23"/>
  <c r="H21"/>
  <c r="J17"/>
  <c r="J16"/>
  <c r="J15"/>
  <c r="B26"/>
  <c r="C26"/>
  <c r="B27"/>
  <c r="C27"/>
  <c r="C25"/>
  <c r="B25"/>
  <c r="D26"/>
  <c r="D27"/>
  <c r="D25"/>
  <c r="D20"/>
  <c r="C20"/>
  <c r="B20"/>
  <c r="D19"/>
  <c r="C19"/>
  <c r="B19"/>
  <c r="D18"/>
  <c r="C18"/>
  <c r="B23" s="1"/>
  <c r="B18"/>
  <c r="D13"/>
  <c r="C13"/>
  <c r="B13"/>
  <c r="D12"/>
  <c r="C12"/>
  <c r="B12"/>
  <c r="D11"/>
  <c r="B16" s="1"/>
  <c r="C11"/>
  <c r="B11"/>
  <c r="B9"/>
  <c r="D14" i="15" l="1"/>
  <c r="G39" i="18"/>
  <c r="K39"/>
  <c r="G40"/>
  <c r="K40"/>
  <c r="H38"/>
  <c r="D38"/>
  <c r="F39"/>
  <c r="J39"/>
  <c r="F40"/>
  <c r="J40"/>
  <c r="G38"/>
  <c r="K38"/>
  <c r="E39"/>
  <c r="I39"/>
  <c r="E40"/>
  <c r="I40"/>
  <c r="F38"/>
  <c r="J38"/>
  <c r="F8"/>
  <c r="D39"/>
  <c r="H39"/>
  <c r="D40"/>
  <c r="H40"/>
  <c r="E38"/>
  <c r="I38"/>
  <c r="I63"/>
  <c r="I65" s="1"/>
  <c r="I14" i="15"/>
  <c r="F14"/>
  <c r="G14"/>
  <c r="D16" i="11"/>
  <c r="D35" s="1"/>
  <c r="I4" i="13" s="1"/>
  <c r="D63" i="18"/>
  <c r="D65" s="1"/>
  <c r="G63"/>
  <c r="G65" s="1"/>
  <c r="D10" i="14"/>
  <c r="D27" s="1"/>
  <c r="D9"/>
  <c r="D26" s="1"/>
  <c r="J14" i="15"/>
  <c r="K14"/>
  <c r="H63" i="18"/>
  <c r="H65" s="1"/>
  <c r="E63"/>
  <c r="E65" s="1"/>
  <c r="F63"/>
  <c r="F65" s="1"/>
  <c r="K63"/>
  <c r="K65" s="1"/>
  <c r="H14" i="15"/>
  <c r="J63" i="18"/>
  <c r="J65" s="1"/>
  <c r="E33" i="15"/>
  <c r="F35"/>
  <c r="F34"/>
  <c r="F33"/>
  <c r="G35"/>
  <c r="G34"/>
  <c r="G33"/>
  <c r="H35"/>
  <c r="H34"/>
  <c r="H33"/>
  <c r="I35"/>
  <c r="I34"/>
  <c r="I33"/>
  <c r="J35"/>
  <c r="J34"/>
  <c r="J33"/>
  <c r="K35"/>
  <c r="K34"/>
  <c r="K33"/>
  <c r="H33" i="14"/>
  <c r="H34" s="1"/>
  <c r="K33"/>
  <c r="K35" s="1"/>
  <c r="D33"/>
  <c r="G33"/>
  <c r="G34" s="1"/>
  <c r="J33"/>
  <c r="F33"/>
  <c r="I33"/>
  <c r="E33"/>
  <c r="D17" i="6"/>
  <c r="D36" s="1"/>
  <c r="D5" i="13" s="1"/>
  <c r="D15" i="7"/>
  <c r="D16" i="8"/>
  <c r="D35" s="1"/>
  <c r="F4" i="13" s="1"/>
  <c r="D15" i="11"/>
  <c r="D16" i="10"/>
  <c r="D35" s="1"/>
  <c r="H4" i="13" s="1"/>
  <c r="D15" i="10"/>
  <c r="D34" s="1"/>
  <c r="H3" i="13" s="1"/>
  <c r="D17" i="10"/>
  <c r="D36" s="1"/>
  <c r="H5" i="13" s="1"/>
  <c r="D16" i="9"/>
  <c r="D35" s="1"/>
  <c r="G4" i="13" s="1"/>
  <c r="D15" i="9"/>
  <c r="D17"/>
  <c r="D36" s="1"/>
  <c r="G5" i="13" s="1"/>
  <c r="D17" i="11"/>
  <c r="D36" s="1"/>
  <c r="I5" i="13" s="1"/>
  <c r="D16" i="6"/>
  <c r="D35" s="1"/>
  <c r="D4" i="13" s="1"/>
  <c r="D15" i="8"/>
  <c r="J20" s="1"/>
  <c r="D15" i="12"/>
  <c r="D17"/>
  <c r="D36" s="1"/>
  <c r="J5" i="13" s="1"/>
  <c r="D16" i="12"/>
  <c r="D35" s="1"/>
  <c r="J4" i="13" s="1"/>
  <c r="D15" i="6"/>
  <c r="D34" s="1"/>
  <c r="D16" i="7"/>
  <c r="D35" s="1"/>
  <c r="E4" i="13" s="1"/>
  <c r="D17" i="7"/>
  <c r="D36" s="1"/>
  <c r="E5" i="13" s="1"/>
  <c r="D34" i="11"/>
  <c r="I3" i="13" s="1"/>
  <c r="J18" i="11"/>
  <c r="D34" i="9"/>
  <c r="G3" i="13" s="1"/>
  <c r="D34" i="7"/>
  <c r="E3" i="13" s="1"/>
  <c r="H10" i="5"/>
  <c r="D17" i="4"/>
  <c r="D36" s="1"/>
  <c r="D16"/>
  <c r="D35" s="1"/>
  <c r="D15"/>
  <c r="B30" i="3"/>
  <c r="D42" i="18" l="1"/>
  <c r="D45" s="1"/>
  <c r="H42"/>
  <c r="D43"/>
  <c r="D46" s="1"/>
  <c r="H43"/>
  <c r="H46" s="1"/>
  <c r="E41"/>
  <c r="E44" s="1"/>
  <c r="I41"/>
  <c r="K43"/>
  <c r="D41"/>
  <c r="D44" s="1"/>
  <c r="G42"/>
  <c r="G45" s="1"/>
  <c r="K42"/>
  <c r="G43"/>
  <c r="G46" s="1"/>
  <c r="H41"/>
  <c r="H44" s="1"/>
  <c r="F42"/>
  <c r="F45" s="1"/>
  <c r="J42"/>
  <c r="J45" s="1"/>
  <c r="F43"/>
  <c r="F46" s="1"/>
  <c r="J43"/>
  <c r="J46" s="1"/>
  <c r="G41"/>
  <c r="K41"/>
  <c r="I43"/>
  <c r="I46" s="1"/>
  <c r="J41"/>
  <c r="J44" s="1"/>
  <c r="E42"/>
  <c r="E45" s="1"/>
  <c r="I42"/>
  <c r="E43"/>
  <c r="E46" s="1"/>
  <c r="F41"/>
  <c r="F44" s="1"/>
  <c r="K45"/>
  <c r="K46"/>
  <c r="K44"/>
  <c r="I44"/>
  <c r="H45"/>
  <c r="I45"/>
  <c r="G44"/>
  <c r="J20" i="11"/>
  <c r="F40" i="15"/>
  <c r="F41" s="1"/>
  <c r="F43" s="1"/>
  <c r="J40"/>
  <c r="J41" s="1"/>
  <c r="J43" s="1"/>
  <c r="I40"/>
  <c r="E40"/>
  <c r="H40"/>
  <c r="D40"/>
  <c r="J19" i="8"/>
  <c r="K40" i="15"/>
  <c r="G40"/>
  <c r="H35" i="14"/>
  <c r="K34"/>
  <c r="D34"/>
  <c r="D35"/>
  <c r="G35"/>
  <c r="I34"/>
  <c r="I35"/>
  <c r="F35"/>
  <c r="F34"/>
  <c r="E35"/>
  <c r="E34"/>
  <c r="J35"/>
  <c r="J34"/>
  <c r="B40" i="6"/>
  <c r="D3" i="13"/>
  <c r="J19" i="9"/>
  <c r="D34" i="8"/>
  <c r="J18"/>
  <c r="J19" i="10"/>
  <c r="B40" i="11"/>
  <c r="J19"/>
  <c r="B40" i="10"/>
  <c r="J18" i="9"/>
  <c r="J18" i="10"/>
  <c r="J20" i="9"/>
  <c r="J20" i="10"/>
  <c r="B40" i="9"/>
  <c r="J18" i="12"/>
  <c r="J19"/>
  <c r="J20"/>
  <c r="D34"/>
  <c r="J18" i="7"/>
  <c r="J19"/>
  <c r="J20"/>
  <c r="J19" i="6"/>
  <c r="J20"/>
  <c r="J18"/>
  <c r="B40" i="7"/>
  <c r="D15" i="5"/>
  <c r="D17"/>
  <c r="D36" s="1"/>
  <c r="C5" i="13" s="1"/>
  <c r="D16" i="5"/>
  <c r="D35" s="1"/>
  <c r="C4" i="13" s="1"/>
  <c r="J18" i="4"/>
  <c r="D34"/>
  <c r="J19"/>
  <c r="J20"/>
  <c r="J34" i="18" l="1"/>
  <c r="J35"/>
  <c r="H35"/>
  <c r="H34"/>
  <c r="D35"/>
  <c r="D34"/>
  <c r="F34"/>
  <c r="F35"/>
  <c r="G34"/>
  <c r="G35"/>
  <c r="E35"/>
  <c r="E34"/>
  <c r="I34"/>
  <c r="I35"/>
  <c r="K35"/>
  <c r="K34"/>
  <c r="F42" i="15"/>
  <c r="J42"/>
  <c r="I41"/>
  <c r="I43" s="1"/>
  <c r="I42"/>
  <c r="E41"/>
  <c r="E43" s="1"/>
  <c r="E42"/>
  <c r="K41"/>
  <c r="K43" s="1"/>
  <c r="K42"/>
  <c r="H41"/>
  <c r="H43" s="1"/>
  <c r="H42"/>
  <c r="G41"/>
  <c r="G43" s="1"/>
  <c r="G42"/>
  <c r="D41"/>
  <c r="D43" s="1"/>
  <c r="D42"/>
  <c r="B40" i="12"/>
  <c r="J3" i="13"/>
  <c r="B40" i="8"/>
  <c r="F3" i="13"/>
  <c r="D34" i="5"/>
  <c r="J20"/>
  <c r="J19"/>
  <c r="J18"/>
  <c r="B40" l="1"/>
  <c r="C3" i="13"/>
</calcChain>
</file>

<file path=xl/sharedStrings.xml><?xml version="1.0" encoding="utf-8"?>
<sst xmlns="http://schemas.openxmlformats.org/spreadsheetml/2006/main" count="650" uniqueCount="124">
  <si>
    <t>(0,0)</t>
  </si>
  <si>
    <t>(1,0)</t>
  </si>
  <si>
    <t>(0,1)</t>
  </si>
  <si>
    <t>(x_0,y_0,z_0)</t>
  </si>
  <si>
    <t>R_0</t>
  </si>
  <si>
    <t>Referenzpunkt</t>
  </si>
  <si>
    <t>Reproduzierbare Aufstellung</t>
  </si>
  <si>
    <t>A_j</t>
  </si>
  <si>
    <t>P_i</t>
  </si>
  <si>
    <t>Antennen Anordnung</t>
  </si>
  <si>
    <t>Modell</t>
  </si>
  <si>
    <t>y-y_j</t>
  </si>
  <si>
    <t>z-z_j</t>
  </si>
  <si>
    <t>x-x_j</t>
  </si>
  <si>
    <t>c_1j</t>
  </si>
  <si>
    <t>c_3j</t>
  </si>
  <si>
    <t>c_2j</t>
  </si>
  <si>
    <t>x_1-x_0</t>
  </si>
  <si>
    <t>x_2-x_0</t>
  </si>
  <si>
    <t>x_3-x_0</t>
  </si>
  <si>
    <t>y_1-y_0</t>
  </si>
  <si>
    <t>z_1-z_0</t>
  </si>
  <si>
    <t>y_2-y_0</t>
  </si>
  <si>
    <t>y_3-y_0</t>
  </si>
  <si>
    <t>z_3-z_0</t>
  </si>
  <si>
    <t>z_2-z_0</t>
  </si>
  <si>
    <t>c_bj</t>
  </si>
  <si>
    <t>=</t>
  </si>
  <si>
    <t>1/2[-r_j^2-r_ab^2+d_bj^2]</t>
  </si>
  <si>
    <t>d_10</t>
  </si>
  <si>
    <t>d_20</t>
  </si>
  <si>
    <t>d_30</t>
  </si>
  <si>
    <t>x_1</t>
  </si>
  <si>
    <t>x_2</t>
  </si>
  <si>
    <t>x_3</t>
  </si>
  <si>
    <t>Offset</t>
  </si>
  <si>
    <t>m</t>
  </si>
  <si>
    <t>Originaldaten</t>
  </si>
  <si>
    <t>Daten + Offset</t>
  </si>
  <si>
    <t>d_10=d_01</t>
  </si>
  <si>
    <t>d_12=d_21</t>
  </si>
  <si>
    <t>d_13=d_31</t>
  </si>
  <si>
    <t>d_20=d_02</t>
  </si>
  <si>
    <t>d_30=d_03</t>
  </si>
  <si>
    <t>d_23=d_32</t>
  </si>
  <si>
    <t>c_30</t>
  </si>
  <si>
    <t>c_20</t>
  </si>
  <si>
    <t>1/2[-r_0^2-r_1^2+d_10^2]</t>
  </si>
  <si>
    <t>c_10</t>
  </si>
  <si>
    <t>z-z_</t>
  </si>
  <si>
    <t>y-y_0</t>
  </si>
  <si>
    <t>x-x_0</t>
  </si>
  <si>
    <t>1/2[-r_0^2-r_2^2+d_20^2]</t>
  </si>
  <si>
    <t>1/2[-r_0^2-r_3^2+d_30^2]</t>
  </si>
  <si>
    <t>LSG</t>
  </si>
  <si>
    <t>z-z_0</t>
  </si>
  <si>
    <t>x_0</t>
  </si>
  <si>
    <t>y_0</t>
  </si>
  <si>
    <t>z_0</t>
  </si>
  <si>
    <t>x</t>
  </si>
  <si>
    <t>y</t>
  </si>
  <si>
    <t>z</t>
  </si>
  <si>
    <t>1/2[r_j^2-r_ab^2+d_bj^2]</t>
  </si>
  <si>
    <t>alt Messung vom 15.5.2013</t>
  </si>
  <si>
    <t>x_i</t>
  </si>
  <si>
    <t>y_i</t>
  </si>
  <si>
    <t>z_i</t>
  </si>
  <si>
    <t>Inertialkoordinaten von x_0</t>
  </si>
  <si>
    <t>*</t>
  </si>
  <si>
    <t>Ermittelte Koordinaten</t>
  </si>
  <si>
    <t>Lineare Modell für die Koordinatenberechnung</t>
  </si>
  <si>
    <t>Lösung des Modells</t>
  </si>
  <si>
    <t>Fehlerbetrachtung</t>
  </si>
  <si>
    <t>Fehler %</t>
  </si>
  <si>
    <t>Fehler ABS [m]</t>
  </si>
  <si>
    <t>berechnet [m]</t>
  </si>
  <si>
    <t>gemessen [m]</t>
  </si>
  <si>
    <t>c_k0</t>
  </si>
  <si>
    <t>1/2[r_0^2-r_k^2+d_k0^2]</t>
  </si>
  <si>
    <t>error</t>
  </si>
  <si>
    <t>a_1</t>
  </si>
  <si>
    <t>a_2</t>
  </si>
  <si>
    <t>a_0k</t>
  </si>
  <si>
    <t>k</t>
  </si>
  <si>
    <t>a_3k0</t>
  </si>
  <si>
    <t>Theta_k</t>
  </si>
  <si>
    <t>Konstanten</t>
  </si>
  <si>
    <t>n_0</t>
  </si>
  <si>
    <t>n_1</t>
  </si>
  <si>
    <t>n_2</t>
  </si>
  <si>
    <t>n_3</t>
  </si>
  <si>
    <t>Variabel</t>
  </si>
  <si>
    <t>TermB_1</t>
  </si>
  <si>
    <t>TermA_1</t>
  </si>
  <si>
    <t>TermA_2</t>
  </si>
  <si>
    <t>TermA_3</t>
  </si>
  <si>
    <t>TermB_3</t>
  </si>
  <si>
    <t>TermB_2</t>
  </si>
  <si>
    <t>predicted_c_10</t>
  </si>
  <si>
    <t>predicted_c_20</t>
  </si>
  <si>
    <t>predicted_c_30</t>
  </si>
  <si>
    <t>error^2</t>
  </si>
  <si>
    <t>For Debugging only</t>
  </si>
  <si>
    <t xml:space="preserve">c_0 </t>
  </si>
  <si>
    <t>[m/s]</t>
  </si>
  <si>
    <t xml:space="preserve">f_mess </t>
  </si>
  <si>
    <t>[1/s]</t>
  </si>
  <si>
    <t xml:space="preserve">lambda </t>
  </si>
  <si>
    <t>[m]</t>
  </si>
  <si>
    <t>Der Solver variiert hier</t>
  </si>
  <si>
    <t>-</t>
  </si>
  <si>
    <t>xxx</t>
  </si>
  <si>
    <t>Fehler^2</t>
  </si>
  <si>
    <t>b</t>
  </si>
  <si>
    <t>A</t>
  </si>
  <si>
    <t>Lineares Modell für die Koordinatenberechnung</t>
  </si>
  <si>
    <t>c_10'</t>
  </si>
  <si>
    <t>c_20'</t>
  </si>
  <si>
    <t>c_30'</t>
  </si>
  <si>
    <t>Vorhersage vom Solver</t>
  </si>
  <si>
    <t>x_k</t>
  </si>
  <si>
    <t>b_k</t>
  </si>
  <si>
    <t>y_k</t>
  </si>
  <si>
    <t>z_k</t>
  </si>
</sst>
</file>

<file path=xl/styles.xml><?xml version="1.0" encoding="utf-8"?>
<styleSheet xmlns="http://schemas.openxmlformats.org/spreadsheetml/2006/main">
  <numFmts count="1">
    <numFmt numFmtId="164" formatCode="0.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Ubuntu"/>
      <family val="2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49" fontId="0" fillId="0" borderId="0" xfId="0" applyNumberFormat="1"/>
    <xf numFmtId="0" fontId="0" fillId="0" borderId="0" xfId="0" applyBorder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0" borderId="6" xfId="0" applyFont="1" applyBorder="1"/>
    <xf numFmtId="0" fontId="0" fillId="0" borderId="8" xfId="0" applyBorder="1"/>
    <xf numFmtId="0" fontId="1" fillId="0" borderId="7" xfId="0" applyFont="1" applyBorder="1"/>
    <xf numFmtId="0" fontId="2" fillId="0" borderId="0" xfId="0" applyFont="1"/>
    <xf numFmtId="49" fontId="2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0" fillId="2" borderId="0" xfId="0" applyFill="1"/>
    <xf numFmtId="0" fontId="1" fillId="0" borderId="9" xfId="0" applyFont="1" applyFill="1" applyBorder="1"/>
    <xf numFmtId="0" fontId="1" fillId="0" borderId="6" xfId="0" applyFont="1" applyFill="1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/>
    <xf numFmtId="0" fontId="0" fillId="0" borderId="10" xfId="0" applyBorder="1"/>
    <xf numFmtId="0" fontId="2" fillId="0" borderId="0" xfId="0" applyFont="1" applyBorder="1"/>
    <xf numFmtId="0" fontId="1" fillId="0" borderId="0" xfId="0" applyFont="1" applyBorder="1"/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Font="1" applyBorder="1"/>
    <xf numFmtId="10" fontId="1" fillId="0" borderId="0" xfId="0" applyNumberFormat="1" applyFont="1" applyBorder="1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3" borderId="0" xfId="0" applyNumberFormat="1" applyFill="1" applyBorder="1"/>
    <xf numFmtId="164" fontId="0" fillId="4" borderId="0" xfId="0" applyNumberFormat="1" applyFill="1" applyBorder="1"/>
    <xf numFmtId="164" fontId="0" fillId="5" borderId="0" xfId="0" applyNumberFormat="1" applyFill="1"/>
    <xf numFmtId="0" fontId="0" fillId="3" borderId="0" xfId="0" applyFill="1"/>
    <xf numFmtId="10" fontId="1" fillId="3" borderId="0" xfId="0" applyNumberFormat="1" applyFont="1" applyFill="1" applyBorder="1"/>
    <xf numFmtId="164" fontId="0" fillId="6" borderId="0" xfId="0" applyNumberFormat="1" applyFill="1" applyBorder="1"/>
    <xf numFmtId="11" fontId="0" fillId="0" borderId="0" xfId="0" applyNumberFormat="1"/>
    <xf numFmtId="0" fontId="0" fillId="0" borderId="11" xfId="0" applyBorder="1"/>
    <xf numFmtId="11" fontId="0" fillId="0" borderId="12" xfId="0" applyNumberFormat="1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11" fontId="0" fillId="0" borderId="0" xfId="0" applyNumberFormat="1" applyBorder="1"/>
    <xf numFmtId="0" fontId="1" fillId="0" borderId="8" xfId="0" applyFont="1" applyBorder="1"/>
    <xf numFmtId="0" fontId="0" fillId="0" borderId="14" xfId="0" applyBorder="1"/>
    <xf numFmtId="0" fontId="0" fillId="0" borderId="0" xfId="0" applyFill="1" applyBorder="1"/>
    <xf numFmtId="0" fontId="0" fillId="4" borderId="0" xfId="0" applyFill="1" applyBorder="1"/>
    <xf numFmtId="0" fontId="1" fillId="0" borderId="10" xfId="0" applyFont="1" applyBorder="1"/>
    <xf numFmtId="0" fontId="5" fillId="0" borderId="0" xfId="0" applyFont="1" applyBorder="1"/>
    <xf numFmtId="0" fontId="1" fillId="0" borderId="16" xfId="0" applyFont="1" applyBorder="1"/>
    <xf numFmtId="0" fontId="1" fillId="0" borderId="15" xfId="0" applyFon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6" fillId="0" borderId="0" xfId="0" applyFont="1"/>
    <xf numFmtId="0" fontId="7" fillId="0" borderId="0" xfId="0" applyFont="1" applyBorder="1"/>
    <xf numFmtId="2" fontId="6" fillId="0" borderId="0" xfId="0" applyNumberFormat="1" applyFont="1" applyBorder="1" applyAlignment="1">
      <alignment horizontal="right"/>
    </xf>
    <xf numFmtId="0" fontId="6" fillId="0" borderId="0" xfId="0" applyFont="1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/>
    <xf numFmtId="164" fontId="8" fillId="4" borderId="0" xfId="0" applyNumberFormat="1" applyFont="1" applyFill="1" applyBorder="1"/>
    <xf numFmtId="164" fontId="9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 textRotation="90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Alignment="1"/>
    <xf numFmtId="0" fontId="0" fillId="0" borderId="0" xfId="0" applyFill="1" applyBorder="1" applyAlignment="1">
      <alignment horizontal="right"/>
    </xf>
    <xf numFmtId="49" fontId="2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Standard" xfId="0" builtinId="0"/>
  </cellStyles>
  <dxfs count="3">
    <dxf>
      <font>
        <color rgb="FF92D050"/>
      </font>
    </dxf>
    <dxf>
      <font>
        <color rgb="FF92D050"/>
      </font>
    </dxf>
    <dxf>
      <font>
        <color rgb="FF92D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3</xdr:row>
      <xdr:rowOff>0</xdr:rowOff>
    </xdr:from>
    <xdr:to>
      <xdr:col>7</xdr:col>
      <xdr:colOff>0</xdr:colOff>
      <xdr:row>6</xdr:row>
      <xdr:rowOff>180975</xdr:rowOff>
    </xdr:to>
    <xdr:cxnSp macro="">
      <xdr:nvCxnSpPr>
        <xdr:cNvPr id="3" name="Gerade Verbindung mit Pfeil 2"/>
        <xdr:cNvCxnSpPr/>
      </xdr:nvCxnSpPr>
      <xdr:spPr>
        <a:xfrm>
          <a:off x="3790950" y="571500"/>
          <a:ext cx="1543050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</xdr:row>
      <xdr:rowOff>0</xdr:rowOff>
    </xdr:from>
    <xdr:to>
      <xdr:col>7</xdr:col>
      <xdr:colOff>0</xdr:colOff>
      <xdr:row>6</xdr:row>
      <xdr:rowOff>180975</xdr:rowOff>
    </xdr:to>
    <xdr:cxnSp macro="">
      <xdr:nvCxnSpPr>
        <xdr:cNvPr id="6" name="Gerade Verbindung mit Pfeil 5"/>
        <xdr:cNvCxnSpPr/>
      </xdr:nvCxnSpPr>
      <xdr:spPr>
        <a:xfrm>
          <a:off x="1533525" y="571500"/>
          <a:ext cx="2905125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</xdr:row>
      <xdr:rowOff>180975</xdr:rowOff>
    </xdr:from>
    <xdr:to>
      <xdr:col>6</xdr:col>
      <xdr:colOff>752475</xdr:colOff>
      <xdr:row>11</xdr:row>
      <xdr:rowOff>180975</xdr:rowOff>
    </xdr:to>
    <xdr:cxnSp macro="">
      <xdr:nvCxnSpPr>
        <xdr:cNvPr id="7" name="Gerade Verbindung mit Pfeil 6"/>
        <xdr:cNvCxnSpPr/>
      </xdr:nvCxnSpPr>
      <xdr:spPr>
        <a:xfrm flipV="1">
          <a:off x="1514475" y="1323975"/>
          <a:ext cx="3810000" cy="952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318879</xdr:colOff>
      <xdr:row>8</xdr:row>
      <xdr:rowOff>44726</xdr:rowOff>
    </xdr:from>
    <xdr:ext cx="432939" cy="264560"/>
    <xdr:sp macro="" textlink="">
      <xdr:nvSpPr>
        <xdr:cNvPr id="10" name="Textfeld 9"/>
        <xdr:cNvSpPr txBox="1"/>
      </xdr:nvSpPr>
      <xdr:spPr>
        <a:xfrm rot="20526684">
          <a:off x="2604879" y="1577009"/>
          <a:ext cx="4329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de-DE" sz="1100" b="1"/>
            <a:t>d_i0</a:t>
          </a:r>
        </a:p>
      </xdr:txBody>
    </xdr:sp>
    <xdr:clientData/>
  </xdr:oneCellAnchor>
  <xdr:twoCellAnchor>
    <xdr:from>
      <xdr:col>2</xdr:col>
      <xdr:colOff>342900</xdr:colOff>
      <xdr:row>23</xdr:row>
      <xdr:rowOff>26817</xdr:rowOff>
    </xdr:from>
    <xdr:to>
      <xdr:col>2</xdr:col>
      <xdr:colOff>388619</xdr:colOff>
      <xdr:row>23</xdr:row>
      <xdr:rowOff>72536</xdr:rowOff>
    </xdr:to>
    <xdr:sp macro="" textlink="">
      <xdr:nvSpPr>
        <xdr:cNvPr id="11" name="Ellipse 10"/>
        <xdr:cNvSpPr/>
      </xdr:nvSpPr>
      <xdr:spPr>
        <a:xfrm>
          <a:off x="1866900" y="4420223"/>
          <a:ext cx="45719" cy="4571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3</xdr:col>
      <xdr:colOff>187569</xdr:colOff>
      <xdr:row>21</xdr:row>
      <xdr:rowOff>25352</xdr:rowOff>
    </xdr:from>
    <xdr:to>
      <xdr:col>3</xdr:col>
      <xdr:colOff>233288</xdr:colOff>
      <xdr:row>21</xdr:row>
      <xdr:rowOff>71071</xdr:rowOff>
    </xdr:to>
    <xdr:sp macro="" textlink="">
      <xdr:nvSpPr>
        <xdr:cNvPr id="12" name="Ellipse 11"/>
        <xdr:cNvSpPr/>
      </xdr:nvSpPr>
      <xdr:spPr>
        <a:xfrm>
          <a:off x="2473569" y="4033179"/>
          <a:ext cx="45719" cy="4571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3</xdr:col>
      <xdr:colOff>237392</xdr:colOff>
      <xdr:row>24</xdr:row>
      <xdr:rowOff>75175</xdr:rowOff>
    </xdr:from>
    <xdr:to>
      <xdr:col>3</xdr:col>
      <xdr:colOff>283111</xdr:colOff>
      <xdr:row>24</xdr:row>
      <xdr:rowOff>120894</xdr:rowOff>
    </xdr:to>
    <xdr:sp macro="" textlink="">
      <xdr:nvSpPr>
        <xdr:cNvPr id="13" name="Ellipse 12"/>
        <xdr:cNvSpPr/>
      </xdr:nvSpPr>
      <xdr:spPr>
        <a:xfrm>
          <a:off x="2523392" y="4654502"/>
          <a:ext cx="45719" cy="4571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de-DE" sz="1100"/>
            <a:t>sasdas</a:t>
          </a:r>
        </a:p>
      </xdr:txBody>
    </xdr:sp>
    <xdr:clientData/>
  </xdr:twoCellAnchor>
  <xdr:twoCellAnchor>
    <xdr:from>
      <xdr:col>4</xdr:col>
      <xdr:colOff>433754</xdr:colOff>
      <xdr:row>23</xdr:row>
      <xdr:rowOff>59056</xdr:rowOff>
    </xdr:from>
    <xdr:to>
      <xdr:col>4</xdr:col>
      <xdr:colOff>479473</xdr:colOff>
      <xdr:row>23</xdr:row>
      <xdr:rowOff>104775</xdr:rowOff>
    </xdr:to>
    <xdr:sp macro="" textlink="">
      <xdr:nvSpPr>
        <xdr:cNvPr id="14" name="Ellipse 13"/>
        <xdr:cNvSpPr/>
      </xdr:nvSpPr>
      <xdr:spPr>
        <a:xfrm>
          <a:off x="3481754" y="4447883"/>
          <a:ext cx="45719" cy="4571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2</xdr:col>
      <xdr:colOff>1</xdr:colOff>
      <xdr:row>11</xdr:row>
      <xdr:rowOff>190499</xdr:rowOff>
    </xdr:from>
    <xdr:to>
      <xdr:col>2</xdr:col>
      <xdr:colOff>365761</xdr:colOff>
      <xdr:row>23</xdr:row>
      <xdr:rowOff>26816</xdr:rowOff>
    </xdr:to>
    <xdr:cxnSp macro="">
      <xdr:nvCxnSpPr>
        <xdr:cNvPr id="15" name="Gerade Verbindung mit Pfeil 14"/>
        <xdr:cNvCxnSpPr>
          <a:endCxn id="11" idx="0"/>
        </xdr:cNvCxnSpPr>
      </xdr:nvCxnSpPr>
      <xdr:spPr>
        <a:xfrm rot="16200000" flipH="1">
          <a:off x="645722" y="3173571"/>
          <a:ext cx="2122317" cy="36576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4645</xdr:colOff>
      <xdr:row>2</xdr:row>
      <xdr:rowOff>195149</xdr:rowOff>
    </xdr:from>
    <xdr:to>
      <xdr:col>2</xdr:col>
      <xdr:colOff>349594</xdr:colOff>
      <xdr:row>23</xdr:row>
      <xdr:rowOff>33512</xdr:rowOff>
    </xdr:to>
    <xdr:cxnSp macro="">
      <xdr:nvCxnSpPr>
        <xdr:cNvPr id="19" name="Gerade Verbindung mit Pfeil 18"/>
        <xdr:cNvCxnSpPr>
          <a:endCxn id="11" idx="1"/>
        </xdr:cNvCxnSpPr>
      </xdr:nvCxnSpPr>
      <xdr:spPr>
        <a:xfrm rot="16200000" flipH="1">
          <a:off x="-222958" y="2327752"/>
          <a:ext cx="3848156" cy="344949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381924</xdr:colOff>
      <xdr:row>2</xdr:row>
      <xdr:rowOff>195149</xdr:rowOff>
    </xdr:from>
    <xdr:to>
      <xdr:col>4</xdr:col>
      <xdr:colOff>757354</xdr:colOff>
      <xdr:row>23</xdr:row>
      <xdr:rowOff>33512</xdr:rowOff>
    </xdr:to>
    <xdr:cxnSp macro="">
      <xdr:nvCxnSpPr>
        <xdr:cNvPr id="21" name="Gerade Verbindung mit Pfeil 20"/>
        <xdr:cNvCxnSpPr>
          <a:endCxn id="11" idx="7"/>
        </xdr:cNvCxnSpPr>
      </xdr:nvCxnSpPr>
      <xdr:spPr>
        <a:xfrm rot="5400000">
          <a:off x="931561" y="1550512"/>
          <a:ext cx="3848156" cy="189943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3</xdr:col>
      <xdr:colOff>337038</xdr:colOff>
      <xdr:row>20</xdr:row>
      <xdr:rowOff>109904</xdr:rowOff>
    </xdr:from>
    <xdr:ext cx="967957" cy="264560"/>
    <xdr:sp macro="" textlink="">
      <xdr:nvSpPr>
        <xdr:cNvPr id="26" name="Textfeld 25"/>
        <xdr:cNvSpPr txBox="1"/>
      </xdr:nvSpPr>
      <xdr:spPr>
        <a:xfrm>
          <a:off x="2623038" y="3927231"/>
          <a:ext cx="9679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de-DE" sz="1100"/>
            <a:t>Antennen A_j</a:t>
          </a:r>
        </a:p>
      </xdr:txBody>
    </xdr:sp>
    <xdr:clientData/>
  </xdr:oneCellAnchor>
  <xdr:oneCellAnchor>
    <xdr:from>
      <xdr:col>3</xdr:col>
      <xdr:colOff>240730</xdr:colOff>
      <xdr:row>12</xdr:row>
      <xdr:rowOff>88089</xdr:rowOff>
    </xdr:from>
    <xdr:ext cx="264560" cy="432939"/>
    <xdr:sp macro="" textlink="">
      <xdr:nvSpPr>
        <xdr:cNvPr id="27" name="Textfeld 26"/>
        <xdr:cNvSpPr txBox="1"/>
      </xdr:nvSpPr>
      <xdr:spPr>
        <a:xfrm rot="17792813">
          <a:off x="2442540" y="2466562"/>
          <a:ext cx="4329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de-DE" sz="1100" b="1"/>
            <a:t>r_ij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AA45"/>
  <sheetViews>
    <sheetView zoomScale="85" zoomScaleNormal="85" workbookViewId="0">
      <selection activeCell="I35" sqref="I35"/>
    </sheetView>
  </sheetViews>
  <sheetFormatPr baseColWidth="10" defaultRowHeight="15"/>
  <cols>
    <col min="6" max="7" width="4.7109375" customWidth="1"/>
    <col min="8" max="8" width="5.42578125" bestFit="1" customWidth="1"/>
  </cols>
  <sheetData>
    <row r="1" spans="2:10">
      <c r="B1" s="75" t="s">
        <v>6</v>
      </c>
      <c r="C1" s="75"/>
      <c r="D1" s="75"/>
      <c r="E1" s="75"/>
      <c r="G1" s="7"/>
    </row>
    <row r="2" spans="2:10">
      <c r="G2" s="7"/>
    </row>
    <row r="3" spans="2:10" ht="15.75" thickBot="1">
      <c r="B3" s="1" t="s">
        <v>0</v>
      </c>
      <c r="C3" s="3"/>
      <c r="D3" s="3"/>
      <c r="E3" s="4" t="s">
        <v>1</v>
      </c>
      <c r="G3" s="7"/>
      <c r="H3" t="s">
        <v>35</v>
      </c>
    </row>
    <row r="4" spans="2:10">
      <c r="B4" s="5"/>
      <c r="C4" s="2"/>
      <c r="D4" s="2"/>
      <c r="E4" s="2"/>
      <c r="G4" s="7"/>
      <c r="I4">
        <v>0.08</v>
      </c>
      <c r="J4" t="s">
        <v>36</v>
      </c>
    </row>
    <row r="5" spans="2:10">
      <c r="B5" s="5"/>
      <c r="C5" s="2"/>
      <c r="G5" s="7"/>
    </row>
    <row r="6" spans="2:10">
      <c r="B6" s="5"/>
      <c r="C6" s="2"/>
      <c r="G6" s="7"/>
      <c r="H6" s="74" t="s">
        <v>5</v>
      </c>
      <c r="I6" s="74"/>
    </row>
    <row r="7" spans="2:10">
      <c r="B7" s="5"/>
      <c r="C7" s="2"/>
      <c r="G7" s="7"/>
      <c r="H7" t="s">
        <v>4</v>
      </c>
      <c r="I7" t="s">
        <v>3</v>
      </c>
    </row>
    <row r="8" spans="2:10">
      <c r="B8" s="5"/>
      <c r="C8" s="2"/>
      <c r="G8" s="7"/>
    </row>
    <row r="9" spans="2:10">
      <c r="B9" s="5"/>
      <c r="C9" s="2"/>
      <c r="G9" s="7"/>
      <c r="H9" t="s">
        <v>29</v>
      </c>
      <c r="I9">
        <v>2.71</v>
      </c>
    </row>
    <row r="10" spans="2:10">
      <c r="B10" s="5"/>
      <c r="C10" s="2"/>
      <c r="G10" s="7"/>
      <c r="H10" t="s">
        <v>30</v>
      </c>
      <c r="I10">
        <v>1.972</v>
      </c>
    </row>
    <row r="11" spans="2:10">
      <c r="B11" s="5"/>
      <c r="C11" s="2"/>
      <c r="G11" s="7"/>
      <c r="H11" t="s">
        <v>31</v>
      </c>
      <c r="I11">
        <v>2.87</v>
      </c>
    </row>
    <row r="12" spans="2:10">
      <c r="B12" s="6" t="s">
        <v>2</v>
      </c>
      <c r="C12" s="2"/>
      <c r="G12" s="7"/>
    </row>
    <row r="13" spans="2:10">
      <c r="G13" s="7"/>
    </row>
    <row r="14" spans="2:10">
      <c r="G14" s="7"/>
    </row>
    <row r="15" spans="2:10">
      <c r="G15" s="7"/>
    </row>
    <row r="16" spans="2:10">
      <c r="G16" s="7"/>
      <c r="H16" t="s">
        <v>37</v>
      </c>
    </row>
    <row r="17" spans="1:27">
      <c r="G17" s="7"/>
      <c r="J17" t="s">
        <v>7</v>
      </c>
    </row>
    <row r="18" spans="1:27">
      <c r="G18" s="7"/>
      <c r="I18" s="11" t="s">
        <v>8</v>
      </c>
      <c r="J18" s="12">
        <v>1</v>
      </c>
      <c r="K18" s="12">
        <v>2</v>
      </c>
      <c r="L18" s="12">
        <v>3</v>
      </c>
      <c r="M18" s="12">
        <v>4</v>
      </c>
      <c r="N18" s="12">
        <v>5</v>
      </c>
      <c r="O18" s="12">
        <v>6</v>
      </c>
      <c r="P18" s="12">
        <v>7</v>
      </c>
      <c r="Q18" s="12">
        <v>8</v>
      </c>
      <c r="T18" t="s">
        <v>63</v>
      </c>
    </row>
    <row r="19" spans="1:27">
      <c r="B19" s="75" t="s">
        <v>9</v>
      </c>
      <c r="C19" s="75"/>
      <c r="D19" s="75"/>
      <c r="E19" s="75"/>
      <c r="G19" s="7"/>
      <c r="I19" s="19">
        <v>1</v>
      </c>
      <c r="J19">
        <v>1.1200000000000001</v>
      </c>
      <c r="K19">
        <v>2.238</v>
      </c>
      <c r="L19">
        <v>1.843</v>
      </c>
      <c r="M19">
        <v>2.105</v>
      </c>
      <c r="N19">
        <v>1.7609999999999999</v>
      </c>
      <c r="O19">
        <v>2.1280000000000001</v>
      </c>
      <c r="P19">
        <v>1.7030000000000001</v>
      </c>
      <c r="Q19">
        <v>1.46</v>
      </c>
      <c r="T19" s="18">
        <v>1.04</v>
      </c>
      <c r="U19" s="18">
        <v>1.36</v>
      </c>
      <c r="V19" s="18">
        <v>1.89</v>
      </c>
      <c r="W19" s="18">
        <v>1.05</v>
      </c>
      <c r="X19" s="18">
        <v>1.96</v>
      </c>
      <c r="Y19" s="18">
        <v>1.25</v>
      </c>
      <c r="Z19" s="18">
        <v>1.56</v>
      </c>
      <c r="AA19" s="18">
        <v>1.35</v>
      </c>
    </row>
    <row r="20" spans="1:27">
      <c r="G20" s="7"/>
      <c r="I20" s="10">
        <v>2</v>
      </c>
      <c r="J20">
        <v>1.853</v>
      </c>
      <c r="K20">
        <v>2.3260000000000001</v>
      </c>
      <c r="L20">
        <v>2.6880000000000002</v>
      </c>
      <c r="M20">
        <v>1.8320000000000001</v>
      </c>
      <c r="N20">
        <v>2.4300000000000002</v>
      </c>
      <c r="O20">
        <v>1.4490000000000001</v>
      </c>
      <c r="P20">
        <v>1.6990000000000001</v>
      </c>
      <c r="Q20">
        <v>0.91200000000000003</v>
      </c>
      <c r="T20" s="18">
        <v>1.1200000000000001</v>
      </c>
      <c r="U20" s="18">
        <v>2.2400000000000002</v>
      </c>
      <c r="V20" s="18">
        <v>1.84</v>
      </c>
      <c r="W20" s="18">
        <v>2.1</v>
      </c>
      <c r="X20" s="18">
        <v>1.76</v>
      </c>
      <c r="Y20" s="18">
        <v>2.13</v>
      </c>
      <c r="Z20" s="18">
        <v>1.7</v>
      </c>
      <c r="AA20" s="18">
        <v>1.46</v>
      </c>
    </row>
    <row r="21" spans="1:27">
      <c r="G21" s="7"/>
      <c r="I21" s="20">
        <v>3</v>
      </c>
      <c r="J21">
        <v>1.04</v>
      </c>
      <c r="K21">
        <v>1.36</v>
      </c>
      <c r="L21">
        <v>1.89</v>
      </c>
      <c r="M21">
        <v>1.05</v>
      </c>
      <c r="N21">
        <v>1.96</v>
      </c>
      <c r="O21">
        <v>1.25</v>
      </c>
      <c r="P21">
        <v>1.56</v>
      </c>
      <c r="Q21">
        <v>1.35</v>
      </c>
      <c r="T21" s="18">
        <v>1.81</v>
      </c>
      <c r="U21" s="18">
        <v>2.29</v>
      </c>
      <c r="V21" s="18">
        <v>2.66</v>
      </c>
      <c r="W21" s="18">
        <v>1.8</v>
      </c>
      <c r="X21" s="18">
        <v>2.42</v>
      </c>
      <c r="Y21" s="18">
        <v>1.45</v>
      </c>
      <c r="Z21" s="18">
        <v>1.7</v>
      </c>
      <c r="AA21" s="18">
        <v>0.94</v>
      </c>
    </row>
    <row r="22" spans="1:27">
      <c r="G22" s="7"/>
      <c r="I22" s="10">
        <v>0</v>
      </c>
      <c r="J22">
        <v>1.179</v>
      </c>
      <c r="K22">
        <v>1.8140000000000001</v>
      </c>
      <c r="L22">
        <v>2.254</v>
      </c>
      <c r="M22">
        <v>1.581</v>
      </c>
      <c r="N22">
        <v>2.319</v>
      </c>
      <c r="O22">
        <v>1.7709999999999999</v>
      </c>
      <c r="P22">
        <v>1.9750000000000001</v>
      </c>
      <c r="Q22">
        <v>1.494</v>
      </c>
      <c r="T22" s="18">
        <v>1.18</v>
      </c>
      <c r="U22" s="18">
        <v>1.81</v>
      </c>
      <c r="V22" s="18">
        <v>2.2599999999999998</v>
      </c>
      <c r="W22" s="18">
        <v>1.58</v>
      </c>
      <c r="X22" s="18">
        <v>2.3199999999999998</v>
      </c>
      <c r="Y22" s="18">
        <v>1.71</v>
      </c>
      <c r="Z22" s="18">
        <v>1.95</v>
      </c>
      <c r="AA22" s="18">
        <v>1.49</v>
      </c>
    </row>
    <row r="23" spans="1:27">
      <c r="G23" s="7"/>
    </row>
    <row r="24" spans="1:27">
      <c r="G24" s="7"/>
      <c r="H24" t="s">
        <v>38</v>
      </c>
    </row>
    <row r="25" spans="1:27">
      <c r="G25" s="7"/>
      <c r="J25" t="s">
        <v>7</v>
      </c>
    </row>
    <row r="26" spans="1:27">
      <c r="G26" s="7"/>
      <c r="I26" s="11" t="s">
        <v>8</v>
      </c>
      <c r="J26" s="12">
        <v>1</v>
      </c>
      <c r="K26" s="12">
        <v>2</v>
      </c>
      <c r="L26" s="12">
        <v>3</v>
      </c>
      <c r="M26" s="12">
        <v>4</v>
      </c>
      <c r="N26" s="12">
        <v>5</v>
      </c>
      <c r="O26" s="12">
        <v>6</v>
      </c>
      <c r="P26" s="12">
        <v>7</v>
      </c>
      <c r="Q26" s="12">
        <v>8</v>
      </c>
    </row>
    <row r="27" spans="1:27" ht="15.75" thickBot="1">
      <c r="A27" s="8"/>
      <c r="B27" s="8"/>
      <c r="C27" s="8"/>
      <c r="D27" s="8"/>
      <c r="E27" s="8"/>
      <c r="F27" s="8"/>
      <c r="G27" s="9"/>
      <c r="I27" s="19">
        <v>1</v>
      </c>
      <c r="J27">
        <f t="shared" ref="J27:Q30" si="0">J19+OFFSET</f>
        <v>1.2000000000000002</v>
      </c>
      <c r="K27">
        <f t="shared" si="0"/>
        <v>2.3180000000000001</v>
      </c>
      <c r="L27">
        <f t="shared" si="0"/>
        <v>1.923</v>
      </c>
      <c r="M27">
        <f t="shared" si="0"/>
        <v>2.1850000000000001</v>
      </c>
      <c r="N27">
        <f t="shared" si="0"/>
        <v>1.841</v>
      </c>
      <c r="O27">
        <f t="shared" si="0"/>
        <v>2.2080000000000002</v>
      </c>
      <c r="P27">
        <f t="shared" si="0"/>
        <v>1.7830000000000001</v>
      </c>
      <c r="Q27">
        <f t="shared" si="0"/>
        <v>1.54</v>
      </c>
    </row>
    <row r="28" spans="1:27" ht="15.75" thickTop="1">
      <c r="I28" s="10">
        <v>2</v>
      </c>
      <c r="J28">
        <f t="shared" si="0"/>
        <v>1.9330000000000001</v>
      </c>
      <c r="K28">
        <f t="shared" si="0"/>
        <v>2.4060000000000001</v>
      </c>
      <c r="L28">
        <f t="shared" si="0"/>
        <v>2.7680000000000002</v>
      </c>
      <c r="M28">
        <f t="shared" si="0"/>
        <v>1.9120000000000001</v>
      </c>
      <c r="N28">
        <f t="shared" si="0"/>
        <v>2.5100000000000002</v>
      </c>
      <c r="O28">
        <f t="shared" si="0"/>
        <v>1.5290000000000001</v>
      </c>
      <c r="P28">
        <f t="shared" si="0"/>
        <v>1.7790000000000001</v>
      </c>
      <c r="Q28">
        <f t="shared" si="0"/>
        <v>0.99199999999999999</v>
      </c>
    </row>
    <row r="29" spans="1:27">
      <c r="I29" s="10">
        <v>3</v>
      </c>
      <c r="J29">
        <f t="shared" si="0"/>
        <v>1.1200000000000001</v>
      </c>
      <c r="K29">
        <f t="shared" si="0"/>
        <v>1.4400000000000002</v>
      </c>
      <c r="L29">
        <f t="shared" si="0"/>
        <v>1.97</v>
      </c>
      <c r="M29">
        <f t="shared" si="0"/>
        <v>1.1300000000000001</v>
      </c>
      <c r="N29">
        <f t="shared" si="0"/>
        <v>2.04</v>
      </c>
      <c r="O29">
        <f t="shared" si="0"/>
        <v>1.33</v>
      </c>
      <c r="P29">
        <f t="shared" si="0"/>
        <v>1.6400000000000001</v>
      </c>
      <c r="Q29">
        <f t="shared" si="0"/>
        <v>1.4300000000000002</v>
      </c>
    </row>
    <row r="30" spans="1:27">
      <c r="I30" s="10">
        <v>0</v>
      </c>
      <c r="J30">
        <f t="shared" si="0"/>
        <v>1.2590000000000001</v>
      </c>
      <c r="K30">
        <f t="shared" si="0"/>
        <v>1.8940000000000001</v>
      </c>
      <c r="L30">
        <f t="shared" si="0"/>
        <v>2.3340000000000001</v>
      </c>
      <c r="M30">
        <f t="shared" si="0"/>
        <v>1.661</v>
      </c>
      <c r="N30">
        <f t="shared" si="0"/>
        <v>2.399</v>
      </c>
      <c r="O30">
        <f t="shared" si="0"/>
        <v>1.851</v>
      </c>
      <c r="P30">
        <f t="shared" si="0"/>
        <v>2.0550000000000002</v>
      </c>
      <c r="Q30">
        <f t="shared" si="0"/>
        <v>1.5740000000000001</v>
      </c>
    </row>
    <row r="31" spans="1:27">
      <c r="J31" s="17">
        <f>J30*J30</f>
        <v>1.5850810000000004</v>
      </c>
      <c r="K31" s="17">
        <f t="shared" ref="K31:Q31" si="1">K30*K30</f>
        <v>3.5872360000000003</v>
      </c>
      <c r="L31" s="17">
        <f t="shared" si="1"/>
        <v>5.4475560000000005</v>
      </c>
      <c r="M31" s="17">
        <f t="shared" si="1"/>
        <v>2.758921</v>
      </c>
      <c r="N31" s="17">
        <f t="shared" si="1"/>
        <v>5.7552010000000005</v>
      </c>
      <c r="O31" s="17">
        <f t="shared" si="1"/>
        <v>3.4262009999999998</v>
      </c>
      <c r="P31" s="17">
        <f t="shared" si="1"/>
        <v>4.2230250000000007</v>
      </c>
      <c r="Q31" s="17">
        <f t="shared" si="1"/>
        <v>2.4774760000000002</v>
      </c>
    </row>
    <row r="34" spans="9:10">
      <c r="I34" s="17" t="s">
        <v>39</v>
      </c>
    </row>
    <row r="35" spans="9:10">
      <c r="I35">
        <v>0.77</v>
      </c>
      <c r="J35" t="s">
        <v>36</v>
      </c>
    </row>
    <row r="36" spans="9:10">
      <c r="I36" s="17" t="s">
        <v>40</v>
      </c>
    </row>
    <row r="37" spans="9:10">
      <c r="I37">
        <f>SQRT(0.77^2+0.77^2)</f>
        <v>1.0889444430272832</v>
      </c>
      <c r="J37" t="s">
        <v>36</v>
      </c>
    </row>
    <row r="38" spans="9:10">
      <c r="I38" s="17" t="s">
        <v>41</v>
      </c>
    </row>
    <row r="39" spans="9:10">
      <c r="I39">
        <f>SQRT(0.77^2+0.8^2)</f>
        <v>1.1103603018840327</v>
      </c>
      <c r="J39" t="s">
        <v>36</v>
      </c>
    </row>
    <row r="40" spans="9:10">
      <c r="I40" s="17" t="s">
        <v>42</v>
      </c>
    </row>
    <row r="41" spans="9:10">
      <c r="I41">
        <v>0.77</v>
      </c>
      <c r="J41" t="s">
        <v>36</v>
      </c>
    </row>
    <row r="42" spans="9:10">
      <c r="I42" s="17" t="s">
        <v>43</v>
      </c>
    </row>
    <row r="43" spans="9:10">
      <c r="I43">
        <v>0.8</v>
      </c>
      <c r="J43" t="s">
        <v>36</v>
      </c>
    </row>
    <row r="44" spans="9:10">
      <c r="I44" s="17" t="s">
        <v>44</v>
      </c>
    </row>
    <row r="45" spans="9:10">
      <c r="I45">
        <f>SQRT(0.77^2+0.8^2)</f>
        <v>1.1103603018840327</v>
      </c>
      <c r="J45" t="s">
        <v>36</v>
      </c>
    </row>
  </sheetData>
  <mergeCells count="3">
    <mergeCell ref="H6:I6"/>
    <mergeCell ref="B1:E1"/>
    <mergeCell ref="B19:E19"/>
  </mergeCells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Tabelle10"/>
  <dimension ref="A3:J40"/>
  <sheetViews>
    <sheetView workbookViewId="0">
      <selection activeCell="I23" sqref="I23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48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45</v>
      </c>
    </row>
    <row r="9" spans="1:10">
      <c r="B9">
        <v>0.77</v>
      </c>
      <c r="C9">
        <v>0</v>
      </c>
      <c r="D9">
        <v>0</v>
      </c>
      <c r="F9" t="s">
        <v>51</v>
      </c>
      <c r="H9">
        <f>I23</f>
        <v>-0.71120200000000022</v>
      </c>
    </row>
    <row r="10" spans="1:10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-0.15196150000000042</v>
      </c>
    </row>
    <row r="11" spans="1:10">
      <c r="B11">
        <v>0</v>
      </c>
      <c r="C11">
        <v>0</v>
      </c>
      <c r="D11">
        <v>0.8</v>
      </c>
      <c r="F11" t="s">
        <v>55</v>
      </c>
      <c r="H11">
        <f>I25</f>
        <v>1.0610104999999999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-0.92363896103896137</v>
      </c>
      <c r="J15">
        <f>MDETERM(B9:D11)</f>
        <v>0.47432000000000002</v>
      </c>
    </row>
    <row r="16" spans="1:10">
      <c r="B16" t="s">
        <v>50</v>
      </c>
      <c r="C16" t="s">
        <v>27</v>
      </c>
      <c r="D16">
        <f t="shared" ref="D16:D17" si="0">INDEX(MMULT(MINVERSE($B$9:$D$11),$H$9:$H$11),ROW(A2))</f>
        <v>-0.19735259740259795</v>
      </c>
    </row>
    <row r="17" spans="2:10">
      <c r="B17" t="s">
        <v>55</v>
      </c>
      <c r="D17">
        <f t="shared" si="0"/>
        <v>1.3262631249999999</v>
      </c>
    </row>
    <row r="18" spans="2:10">
      <c r="J18">
        <f>INDEX(MMULT($B$9:$D$11,$D$15:$D$17),ROW(A1))</f>
        <v>-0.71120200000000022</v>
      </c>
    </row>
    <row r="19" spans="2:10">
      <c r="J19">
        <f t="shared" ref="J19:J20" si="1">INDEX(MMULT($B$9:$D$11,$D$15:$D$17),ROW(A2))</f>
        <v>-0.15196150000000042</v>
      </c>
    </row>
    <row r="20" spans="2:10">
      <c r="J20">
        <f t="shared" si="1"/>
        <v>1.0610104999999999</v>
      </c>
    </row>
    <row r="21" spans="2:10" ht="18.75">
      <c r="B21" s="13" t="s">
        <v>26</v>
      </c>
      <c r="C21" s="13" t="s">
        <v>27</v>
      </c>
      <c r="D21" s="14" t="s">
        <v>62</v>
      </c>
    </row>
    <row r="23" spans="2:10">
      <c r="B23" t="s">
        <v>48</v>
      </c>
      <c r="C23" t="s">
        <v>27</v>
      </c>
      <c r="D23">
        <v>0.5</v>
      </c>
      <c r="E23">
        <f>(Messaufbau_Messdaten!$M$30^2)</f>
        <v>2.758921</v>
      </c>
      <c r="F23">
        <f>(Messaufbau_Messdaten!M27^2 )</f>
        <v>4.7742250000000004</v>
      </c>
      <c r="G23">
        <f>(Messaufbau_Messdaten!$I$35^2)</f>
        <v>0.59289999999999998</v>
      </c>
      <c r="H23" t="s">
        <v>27</v>
      </c>
      <c r="I23">
        <f>D23*(E23-F23+G23)</f>
        <v>-0.71120200000000022</v>
      </c>
    </row>
    <row r="24" spans="2:10">
      <c r="B24" t="s">
        <v>46</v>
      </c>
      <c r="C24" t="s">
        <v>27</v>
      </c>
      <c r="D24">
        <v>0.5</v>
      </c>
      <c r="E24">
        <f>(Messaufbau_Messdaten!$M$30^2)</f>
        <v>2.758921</v>
      </c>
      <c r="F24">
        <f>(Messaufbau_Messdaten!M28^2 )</f>
        <v>3.6557440000000008</v>
      </c>
      <c r="G24">
        <f>(Messaufbau_Messdaten!$I$41^2)</f>
        <v>0.59289999999999998</v>
      </c>
      <c r="H24" t="s">
        <v>27</v>
      </c>
      <c r="I24">
        <f t="shared" ref="I24:I25" si="2">D24*(E24-F24+G24)</f>
        <v>-0.15196150000000042</v>
      </c>
    </row>
    <row r="25" spans="2:10">
      <c r="B25" t="s">
        <v>45</v>
      </c>
      <c r="C25" t="s">
        <v>27</v>
      </c>
      <c r="D25">
        <v>0.5</v>
      </c>
      <c r="E25">
        <f>(Messaufbau_Messdaten!$M$30^2)</f>
        <v>2.758921</v>
      </c>
      <c r="F25">
        <f>(Messaufbau_Messdaten!M29^2 )</f>
        <v>1.2769000000000004</v>
      </c>
      <c r="G25">
        <f>(Messaufbau_Messdaten!$I$43^2)</f>
        <v>0.64000000000000012</v>
      </c>
      <c r="H25" t="s">
        <v>27</v>
      </c>
      <c r="I25">
        <f t="shared" si="2"/>
        <v>1.0610104999999999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</v>
      </c>
    </row>
    <row r="34" spans="2:4">
      <c r="B34" s="17" t="s">
        <v>59</v>
      </c>
      <c r="C34" s="17" t="s">
        <v>27</v>
      </c>
      <c r="D34" s="17">
        <f>D15+D29</f>
        <v>-0.92363896103896137</v>
      </c>
    </row>
    <row r="35" spans="2:4">
      <c r="B35" s="17" t="s">
        <v>60</v>
      </c>
      <c r="C35" s="17" t="s">
        <v>27</v>
      </c>
      <c r="D35" s="17">
        <f>D16+D30</f>
        <v>-0.19735259740259795</v>
      </c>
    </row>
    <row r="36" spans="2:4">
      <c r="B36" s="17" t="s">
        <v>61</v>
      </c>
      <c r="C36" s="17" t="s">
        <v>27</v>
      </c>
      <c r="D36" s="17">
        <f>D17+D31</f>
        <v>1.3262631249999999</v>
      </c>
    </row>
    <row r="40" spans="2:4">
      <c r="B40">
        <f>SQRT(D34^2+D35^2+D36^2)</f>
        <v>1.6281986533545127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Tabelle11"/>
  <dimension ref="A3:J40"/>
  <sheetViews>
    <sheetView topLeftCell="A4" workbookViewId="0">
      <selection activeCell="I24" sqref="I24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48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45</v>
      </c>
    </row>
    <row r="9" spans="1:10">
      <c r="B9">
        <v>0.77</v>
      </c>
      <c r="C9">
        <v>0</v>
      </c>
      <c r="D9">
        <v>0</v>
      </c>
      <c r="F9" t="s">
        <v>51</v>
      </c>
      <c r="H9">
        <f>I23</f>
        <v>1.4794100000000001</v>
      </c>
    </row>
    <row r="10" spans="1:10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2.4000499999999536E-2</v>
      </c>
    </row>
    <row r="11" spans="1:10">
      <c r="B11">
        <v>0</v>
      </c>
      <c r="C11">
        <v>0</v>
      </c>
      <c r="D11">
        <v>0.8</v>
      </c>
      <c r="F11" t="s">
        <v>55</v>
      </c>
      <c r="H11">
        <f>I25</f>
        <v>1.1168005000000003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1.9213116883116885</v>
      </c>
      <c r="J15">
        <f>MDETERM(B9:D11)</f>
        <v>0.47432000000000002</v>
      </c>
    </row>
    <row r="16" spans="1:10">
      <c r="B16" t="s">
        <v>50</v>
      </c>
      <c r="C16" t="s">
        <v>27</v>
      </c>
      <c r="D16">
        <f t="shared" ref="D16:D17" si="0">INDEX(MMULT(MINVERSE($B$9:$D$11),$H$9:$H$11),ROW(A2))</f>
        <v>3.1169480519479917E-2</v>
      </c>
    </row>
    <row r="17" spans="2:10">
      <c r="B17" t="s">
        <v>55</v>
      </c>
      <c r="D17">
        <f t="shared" si="0"/>
        <v>1.3960006250000003</v>
      </c>
    </row>
    <row r="18" spans="2:10">
      <c r="J18">
        <f>INDEX(MMULT($B$9:$D$11,$D$15:$D$17),ROW(A1))</f>
        <v>1.4794100000000001</v>
      </c>
    </row>
    <row r="19" spans="2:10">
      <c r="J19">
        <f t="shared" ref="J19:J20" si="1">INDEX(MMULT($B$9:$D$11,$D$15:$D$17),ROW(A2))</f>
        <v>2.4000499999999536E-2</v>
      </c>
    </row>
    <row r="20" spans="2:10">
      <c r="J20">
        <f t="shared" si="1"/>
        <v>1.1168005000000003</v>
      </c>
    </row>
    <row r="21" spans="2:10" ht="18.75">
      <c r="B21" s="13" t="s">
        <v>26</v>
      </c>
      <c r="C21" s="13" t="s">
        <v>27</v>
      </c>
      <c r="D21" s="14" t="s">
        <v>62</v>
      </c>
    </row>
    <row r="23" spans="2:10">
      <c r="B23" t="s">
        <v>48</v>
      </c>
      <c r="C23" t="s">
        <v>27</v>
      </c>
      <c r="D23">
        <v>0.5</v>
      </c>
      <c r="E23">
        <f>(Messaufbau_Messdaten!$N$30^2)</f>
        <v>5.7552010000000005</v>
      </c>
      <c r="F23">
        <f>(Messaufbau_Messdaten!N27^2 )</f>
        <v>3.389281</v>
      </c>
      <c r="G23">
        <f>(Messaufbau_Messdaten!$I$35^2)</f>
        <v>0.59289999999999998</v>
      </c>
      <c r="H23" t="s">
        <v>27</v>
      </c>
      <c r="I23">
        <f>D23*(E23-F23+G23)</f>
        <v>1.4794100000000001</v>
      </c>
    </row>
    <row r="24" spans="2:10">
      <c r="B24" t="s">
        <v>46</v>
      </c>
      <c r="C24" t="s">
        <v>27</v>
      </c>
      <c r="D24">
        <v>0.5</v>
      </c>
      <c r="E24">
        <f>(Messaufbau_Messdaten!$N$30^2)</f>
        <v>5.7552010000000005</v>
      </c>
      <c r="F24">
        <f>(Messaufbau_Messdaten!N28^2 )</f>
        <v>6.3001000000000014</v>
      </c>
      <c r="G24">
        <f>(Messaufbau_Messdaten!$I$41^2)</f>
        <v>0.59289999999999998</v>
      </c>
      <c r="H24" t="s">
        <v>27</v>
      </c>
      <c r="I24">
        <f t="shared" ref="I24:I25" si="2">D24*(E24-F24+G24)</f>
        <v>2.4000499999999536E-2</v>
      </c>
    </row>
    <row r="25" spans="2:10">
      <c r="B25" t="s">
        <v>45</v>
      </c>
      <c r="C25" t="s">
        <v>27</v>
      </c>
      <c r="D25">
        <v>0.5</v>
      </c>
      <c r="E25">
        <f>(Messaufbau_Messdaten!$N$30^2)</f>
        <v>5.7552010000000005</v>
      </c>
      <c r="F25">
        <f>(Messaufbau_Messdaten!N29^2 )</f>
        <v>4.1616</v>
      </c>
      <c r="G25">
        <f>(Messaufbau_Messdaten!$I$43^2)</f>
        <v>0.64000000000000012</v>
      </c>
      <c r="H25" t="s">
        <v>27</v>
      </c>
      <c r="I25">
        <f t="shared" si="2"/>
        <v>1.1168005000000003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</v>
      </c>
    </row>
    <row r="34" spans="2:4">
      <c r="B34" s="17" t="s">
        <v>59</v>
      </c>
      <c r="C34" s="17" t="s">
        <v>27</v>
      </c>
      <c r="D34" s="17">
        <f>D15+D29</f>
        <v>1.9213116883116885</v>
      </c>
    </row>
    <row r="35" spans="2:4">
      <c r="B35" s="17" t="s">
        <v>60</v>
      </c>
      <c r="C35" s="17" t="s">
        <v>27</v>
      </c>
      <c r="D35" s="17">
        <f>D16+D30</f>
        <v>3.1169480519479917E-2</v>
      </c>
    </row>
    <row r="36" spans="2:4">
      <c r="B36" s="17" t="s">
        <v>61</v>
      </c>
      <c r="C36" s="17" t="s">
        <v>27</v>
      </c>
      <c r="D36" s="17">
        <f>D17+D31</f>
        <v>1.3960006250000003</v>
      </c>
    </row>
    <row r="40" spans="2:4">
      <c r="B40">
        <f>SQRT(D34^2+D35^2+D36^2)</f>
        <v>2.3751269198001519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Tabelle12"/>
  <dimension ref="A3:J40"/>
  <sheetViews>
    <sheetView workbookViewId="0">
      <selection activeCell="I23" sqref="I23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48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45</v>
      </c>
    </row>
    <row r="9" spans="1:10">
      <c r="B9">
        <v>0.77</v>
      </c>
      <c r="C9">
        <v>0</v>
      </c>
      <c r="D9">
        <v>0</v>
      </c>
      <c r="F9" t="s">
        <v>51</v>
      </c>
      <c r="H9">
        <f>I23</f>
        <v>-0.42808150000000034</v>
      </c>
    </row>
    <row r="10" spans="1:10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0.84062999999999966</v>
      </c>
    </row>
    <row r="11" spans="1:10">
      <c r="B11">
        <v>0</v>
      </c>
      <c r="C11">
        <v>0</v>
      </c>
      <c r="D11">
        <v>0.8</v>
      </c>
      <c r="F11" t="s">
        <v>55</v>
      </c>
      <c r="H11">
        <f>I25</f>
        <v>1.1486505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-0.55595000000000039</v>
      </c>
      <c r="J15">
        <f>MDETERM(B9:D11)</f>
        <v>0.47432000000000002</v>
      </c>
    </row>
    <row r="16" spans="1:10">
      <c r="B16" t="s">
        <v>50</v>
      </c>
      <c r="C16" t="s">
        <v>27</v>
      </c>
      <c r="D16">
        <f t="shared" ref="D16:D17" si="0">INDEX(MMULT(MINVERSE($B$9:$D$11),$H$9:$H$11),ROW(A2))</f>
        <v>1.0917272727272722</v>
      </c>
    </row>
    <row r="17" spans="2:10">
      <c r="B17" t="s">
        <v>55</v>
      </c>
      <c r="D17">
        <f t="shared" si="0"/>
        <v>1.4358131250000001</v>
      </c>
    </row>
    <row r="18" spans="2:10">
      <c r="J18">
        <f>INDEX(MMULT($B$9:$D$11,$D$15:$D$17),ROW(A1))</f>
        <v>-0.42808150000000028</v>
      </c>
    </row>
    <row r="19" spans="2:10">
      <c r="J19">
        <f t="shared" ref="J19:J20" si="1">INDEX(MMULT($B$9:$D$11,$D$15:$D$17),ROW(A2))</f>
        <v>0.84062999999999966</v>
      </c>
    </row>
    <row r="20" spans="2:10">
      <c r="J20">
        <f t="shared" si="1"/>
        <v>1.1486505000000002</v>
      </c>
    </row>
    <row r="21" spans="2:10" ht="18.75">
      <c r="B21" s="13" t="s">
        <v>26</v>
      </c>
      <c r="C21" s="13" t="s">
        <v>27</v>
      </c>
      <c r="D21" s="14" t="s">
        <v>62</v>
      </c>
    </row>
    <row r="23" spans="2:10">
      <c r="B23" t="s">
        <v>48</v>
      </c>
      <c r="C23" t="s">
        <v>27</v>
      </c>
      <c r="D23">
        <v>0.5</v>
      </c>
      <c r="E23">
        <f>(Messaufbau_Messdaten!$O$30^2)</f>
        <v>3.4262009999999998</v>
      </c>
      <c r="F23">
        <f>(Messaufbau_Messdaten!O27^2 )</f>
        <v>4.8752640000000005</v>
      </c>
      <c r="G23">
        <f>(Messaufbau_Messdaten!$I$35^2)</f>
        <v>0.59289999999999998</v>
      </c>
      <c r="H23" t="s">
        <v>27</v>
      </c>
      <c r="I23">
        <f>D23*(E23-F23+G23)</f>
        <v>-0.42808150000000034</v>
      </c>
    </row>
    <row r="24" spans="2:10">
      <c r="B24" t="s">
        <v>46</v>
      </c>
      <c r="C24" t="s">
        <v>27</v>
      </c>
      <c r="D24">
        <v>0.5</v>
      </c>
      <c r="E24">
        <f>(Messaufbau_Messdaten!$O$30^2)</f>
        <v>3.4262009999999998</v>
      </c>
      <c r="F24">
        <f>(Messaufbau_Messdaten!O28^2 )</f>
        <v>2.3378410000000005</v>
      </c>
      <c r="G24">
        <f>(Messaufbau_Messdaten!$I$41^2)</f>
        <v>0.59289999999999998</v>
      </c>
      <c r="H24" t="s">
        <v>27</v>
      </c>
      <c r="I24">
        <f t="shared" ref="I24:I25" si="2">D24*(E24-F24+G24)</f>
        <v>0.84062999999999966</v>
      </c>
    </row>
    <row r="25" spans="2:10">
      <c r="B25" t="s">
        <v>45</v>
      </c>
      <c r="C25" t="s">
        <v>27</v>
      </c>
      <c r="D25">
        <v>0.5</v>
      </c>
      <c r="E25">
        <f>(Messaufbau_Messdaten!$O$30^2)</f>
        <v>3.4262009999999998</v>
      </c>
      <c r="F25">
        <f>(Messaufbau_Messdaten!O29^2 )</f>
        <v>1.7689000000000001</v>
      </c>
      <c r="G25">
        <f>(Messaufbau_Messdaten!$I$43^2)</f>
        <v>0.64000000000000012</v>
      </c>
      <c r="H25" t="s">
        <v>27</v>
      </c>
      <c r="I25">
        <f t="shared" si="2"/>
        <v>1.1486505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</v>
      </c>
    </row>
    <row r="34" spans="2:4">
      <c r="B34" s="17" t="s">
        <v>59</v>
      </c>
      <c r="C34" s="17" t="s">
        <v>27</v>
      </c>
      <c r="D34" s="17">
        <f>D15+D29</f>
        <v>-0.55595000000000039</v>
      </c>
    </row>
    <row r="35" spans="2:4">
      <c r="B35" s="17" t="s">
        <v>60</v>
      </c>
      <c r="C35" s="17" t="s">
        <v>27</v>
      </c>
      <c r="D35" s="17">
        <f>D16+D30</f>
        <v>1.0917272727272722</v>
      </c>
    </row>
    <row r="36" spans="2:4">
      <c r="B36" s="17" t="s">
        <v>61</v>
      </c>
      <c r="C36" s="17" t="s">
        <v>27</v>
      </c>
      <c r="D36" s="17">
        <f>D17+D31</f>
        <v>1.4358131250000001</v>
      </c>
    </row>
    <row r="40" spans="2:4">
      <c r="B40">
        <f>SQRT(D34^2+D35^2+D36^2)</f>
        <v>1.8874607732185573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Tabelle13"/>
  <dimension ref="A3:J40"/>
  <sheetViews>
    <sheetView workbookViewId="0">
      <selection activeCell="I23" sqref="I23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48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45</v>
      </c>
    </row>
    <row r="9" spans="1:10">
      <c r="B9">
        <v>0.77</v>
      </c>
      <c r="C9">
        <v>0</v>
      </c>
      <c r="D9">
        <v>0</v>
      </c>
      <c r="F9" t="s">
        <v>51</v>
      </c>
      <c r="H9">
        <f>I23</f>
        <v>0.81841799999999998</v>
      </c>
    </row>
    <row r="10" spans="1:10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0.82554200000000011</v>
      </c>
    </row>
    <row r="11" spans="1:10">
      <c r="B11">
        <v>0</v>
      </c>
      <c r="C11">
        <v>0</v>
      </c>
      <c r="D11">
        <v>0.8</v>
      </c>
      <c r="F11" t="s">
        <v>55</v>
      </c>
      <c r="H11">
        <f>I25</f>
        <v>1.0867125000000002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1.0628805194805195</v>
      </c>
      <c r="J15">
        <f>MDETERM(B9:D11)</f>
        <v>0.47432000000000002</v>
      </c>
    </row>
    <row r="16" spans="1:10">
      <c r="B16" t="s">
        <v>50</v>
      </c>
      <c r="C16" t="s">
        <v>27</v>
      </c>
      <c r="D16">
        <f t="shared" ref="D16:D17" si="0">INDEX(MMULT(MINVERSE($B$9:$D$11),$H$9:$H$11),ROW(A2))</f>
        <v>1.0721324675324677</v>
      </c>
    </row>
    <row r="17" spans="2:10">
      <c r="B17" t="s">
        <v>55</v>
      </c>
      <c r="D17">
        <f t="shared" si="0"/>
        <v>1.3583906250000002</v>
      </c>
    </row>
    <row r="18" spans="2:10">
      <c r="J18">
        <f>INDEX(MMULT($B$9:$D$11,$D$15:$D$17),ROW(A1))</f>
        <v>0.81841800000000009</v>
      </c>
    </row>
    <row r="19" spans="2:10">
      <c r="J19">
        <f t="shared" ref="J19:J20" si="1">INDEX(MMULT($B$9:$D$11,$D$15:$D$17),ROW(A2))</f>
        <v>0.82554200000000011</v>
      </c>
    </row>
    <row r="20" spans="2:10">
      <c r="J20">
        <f t="shared" si="1"/>
        <v>1.0867125000000002</v>
      </c>
    </row>
    <row r="21" spans="2:10" ht="18.75">
      <c r="B21" s="13" t="s">
        <v>26</v>
      </c>
      <c r="C21" s="13" t="s">
        <v>27</v>
      </c>
      <c r="D21" s="14" t="s">
        <v>62</v>
      </c>
    </row>
    <row r="23" spans="2:10">
      <c r="B23" t="s">
        <v>48</v>
      </c>
      <c r="C23" t="s">
        <v>27</v>
      </c>
      <c r="D23">
        <v>0.5</v>
      </c>
      <c r="E23">
        <f>(Messaufbau_Messdaten!$P$30^2)</f>
        <v>4.2230250000000007</v>
      </c>
      <c r="F23">
        <f>(Messaufbau_Messdaten!P27^2 )</f>
        <v>3.1790890000000007</v>
      </c>
      <c r="G23">
        <f>(Messaufbau_Messdaten!$I$35^2)</f>
        <v>0.59289999999999998</v>
      </c>
      <c r="H23" t="s">
        <v>27</v>
      </c>
      <c r="I23">
        <f>D23*(E23-F23+G23)</f>
        <v>0.81841799999999998</v>
      </c>
    </row>
    <row r="24" spans="2:10">
      <c r="B24" t="s">
        <v>46</v>
      </c>
      <c r="C24" t="s">
        <v>27</v>
      </c>
      <c r="D24">
        <v>0.5</v>
      </c>
      <c r="E24">
        <f>(Messaufbau_Messdaten!$P$30^2)</f>
        <v>4.2230250000000007</v>
      </c>
      <c r="F24">
        <f>(Messaufbau_Messdaten!P28^2 )</f>
        <v>3.1648410000000005</v>
      </c>
      <c r="G24">
        <f>(Messaufbau_Messdaten!$I$41^2)</f>
        <v>0.59289999999999998</v>
      </c>
      <c r="H24" t="s">
        <v>27</v>
      </c>
      <c r="I24">
        <f t="shared" ref="I24:I25" si="2">D24*(E24-F24+G24)</f>
        <v>0.82554200000000011</v>
      </c>
    </row>
    <row r="25" spans="2:10">
      <c r="B25" t="s">
        <v>45</v>
      </c>
      <c r="C25" t="s">
        <v>27</v>
      </c>
      <c r="D25">
        <v>0.5</v>
      </c>
      <c r="E25">
        <f>(Messaufbau_Messdaten!$P$30^2)</f>
        <v>4.2230250000000007</v>
      </c>
      <c r="F25">
        <f>(Messaufbau_Messdaten!P29^2 )</f>
        <v>2.6896000000000004</v>
      </c>
      <c r="G25">
        <f>(Messaufbau_Messdaten!$I$43^2)</f>
        <v>0.64000000000000012</v>
      </c>
      <c r="H25" t="s">
        <v>27</v>
      </c>
      <c r="I25">
        <f t="shared" si="2"/>
        <v>1.0867125000000002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</v>
      </c>
    </row>
    <row r="34" spans="2:4">
      <c r="B34" s="17" t="s">
        <v>59</v>
      </c>
      <c r="C34" s="17" t="s">
        <v>27</v>
      </c>
      <c r="D34" s="17">
        <f>D15+D29</f>
        <v>1.0628805194805195</v>
      </c>
    </row>
    <row r="35" spans="2:4">
      <c r="B35" s="17" t="s">
        <v>60</v>
      </c>
      <c r="C35" s="17" t="s">
        <v>27</v>
      </c>
      <c r="D35" s="17">
        <f>D16+D30</f>
        <v>1.0721324675324677</v>
      </c>
    </row>
    <row r="36" spans="2:4">
      <c r="B36" s="17" t="s">
        <v>61</v>
      </c>
      <c r="C36" s="17" t="s">
        <v>27</v>
      </c>
      <c r="D36" s="17">
        <f>D17+D31</f>
        <v>1.3583906250000002</v>
      </c>
    </row>
    <row r="40" spans="2:4">
      <c r="B40">
        <f>SQRT(D34^2+D35^2+D36^2)</f>
        <v>2.0308638843399445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Tabelle14"/>
  <dimension ref="A3:J40"/>
  <sheetViews>
    <sheetView workbookViewId="0">
      <selection activeCell="I23" sqref="I23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48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45</v>
      </c>
    </row>
    <row r="9" spans="1:10">
      <c r="B9">
        <v>0.77</v>
      </c>
      <c r="C9">
        <v>0</v>
      </c>
      <c r="D9">
        <v>0</v>
      </c>
      <c r="F9" t="s">
        <v>51</v>
      </c>
      <c r="H9">
        <f>I23</f>
        <v>0.34938800000000014</v>
      </c>
    </row>
    <row r="10" spans="1:10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1.0431560000000002</v>
      </c>
    </row>
    <row r="11" spans="1:10">
      <c r="B11">
        <v>0</v>
      </c>
      <c r="C11">
        <v>0</v>
      </c>
      <c r="D11">
        <v>0.8</v>
      </c>
      <c r="F11" t="s">
        <v>55</v>
      </c>
      <c r="H11">
        <f>I25</f>
        <v>0.53628799999999988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0.45375064935064952</v>
      </c>
      <c r="J15">
        <f>MDETERM(B9:D11)</f>
        <v>0.47432000000000002</v>
      </c>
    </row>
    <row r="16" spans="1:10">
      <c r="B16" t="s">
        <v>50</v>
      </c>
      <c r="C16" t="s">
        <v>27</v>
      </c>
      <c r="D16">
        <f t="shared" ref="D16:D17" si="0">INDEX(MMULT(MINVERSE($B$9:$D$11),$H$9:$H$11),ROW(A2))</f>
        <v>1.3547480519480521</v>
      </c>
    </row>
    <row r="17" spans="2:10">
      <c r="B17" t="s">
        <v>55</v>
      </c>
      <c r="D17">
        <f t="shared" si="0"/>
        <v>0.67035999999999984</v>
      </c>
    </row>
    <row r="18" spans="2:10">
      <c r="J18">
        <f>INDEX(MMULT($B$9:$D$11,$D$15:$D$17),ROW(A1))</f>
        <v>0.34938800000000014</v>
      </c>
    </row>
    <row r="19" spans="2:10">
      <c r="J19">
        <f t="shared" ref="J19:J20" si="1">INDEX(MMULT($B$9:$D$11,$D$15:$D$17),ROW(A2))</f>
        <v>1.0431560000000002</v>
      </c>
    </row>
    <row r="20" spans="2:10">
      <c r="J20">
        <f t="shared" si="1"/>
        <v>0.53628799999999988</v>
      </c>
    </row>
    <row r="21" spans="2:10" ht="18.75">
      <c r="B21" s="13" t="s">
        <v>26</v>
      </c>
      <c r="C21" s="13" t="s">
        <v>27</v>
      </c>
      <c r="D21" s="14" t="s">
        <v>62</v>
      </c>
    </row>
    <row r="23" spans="2:10">
      <c r="B23" t="s">
        <v>48</v>
      </c>
      <c r="C23" t="s">
        <v>27</v>
      </c>
      <c r="D23">
        <v>0.5</v>
      </c>
      <c r="E23">
        <f>(Messaufbau_Messdaten!$Q$30^2)</f>
        <v>2.4774760000000002</v>
      </c>
      <c r="F23">
        <f>(Messaufbau_Messdaten!Q27^2 )</f>
        <v>2.3715999999999999</v>
      </c>
      <c r="G23">
        <f>(Messaufbau_Messdaten!$I$35^2)</f>
        <v>0.59289999999999998</v>
      </c>
      <c r="H23" t="s">
        <v>27</v>
      </c>
      <c r="I23">
        <f>D23*(E23-F23+G23)</f>
        <v>0.34938800000000014</v>
      </c>
    </row>
    <row r="24" spans="2:10">
      <c r="B24" t="s">
        <v>46</v>
      </c>
      <c r="C24" t="s">
        <v>27</v>
      </c>
      <c r="D24">
        <v>0.5</v>
      </c>
      <c r="E24">
        <f>(Messaufbau_Messdaten!$Q$30^2)</f>
        <v>2.4774760000000002</v>
      </c>
      <c r="F24">
        <f>(Messaufbau_Messdaten!Q28^2 )</f>
        <v>0.98406399999999994</v>
      </c>
      <c r="G24">
        <f>(Messaufbau_Messdaten!$I$41^2)</f>
        <v>0.59289999999999998</v>
      </c>
      <c r="H24" t="s">
        <v>27</v>
      </c>
      <c r="I24">
        <f t="shared" ref="I24:I25" si="2">D24*(E24-F24+G24)</f>
        <v>1.0431560000000002</v>
      </c>
    </row>
    <row r="25" spans="2:10">
      <c r="B25" t="s">
        <v>45</v>
      </c>
      <c r="C25" t="s">
        <v>27</v>
      </c>
      <c r="D25">
        <v>0.5</v>
      </c>
      <c r="E25">
        <f>(Messaufbau_Messdaten!$Q$30^2)</f>
        <v>2.4774760000000002</v>
      </c>
      <c r="F25">
        <f>(Messaufbau_Messdaten!Q29^2 )</f>
        <v>2.0449000000000006</v>
      </c>
      <c r="G25">
        <f>(Messaufbau_Messdaten!$I$43^2)</f>
        <v>0.64000000000000012</v>
      </c>
      <c r="H25" t="s">
        <v>27</v>
      </c>
      <c r="I25">
        <f t="shared" si="2"/>
        <v>0.53628799999999988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</v>
      </c>
    </row>
    <row r="34" spans="2:4">
      <c r="B34" s="17" t="s">
        <v>59</v>
      </c>
      <c r="C34" s="17" t="s">
        <v>27</v>
      </c>
      <c r="D34" s="17">
        <f>D15+D29</f>
        <v>0.45375064935064952</v>
      </c>
    </row>
    <row r="35" spans="2:4">
      <c r="B35" s="17" t="s">
        <v>60</v>
      </c>
      <c r="C35" s="17" t="s">
        <v>27</v>
      </c>
      <c r="D35" s="17">
        <f>D16+D30</f>
        <v>1.3547480519480521</v>
      </c>
    </row>
    <row r="36" spans="2:4">
      <c r="B36" s="17" t="s">
        <v>61</v>
      </c>
      <c r="C36" s="17" t="s">
        <v>27</v>
      </c>
      <c r="D36" s="17">
        <f>D17+D31</f>
        <v>0.67035999999999984</v>
      </c>
    </row>
    <row r="40" spans="2:4">
      <c r="B40">
        <f>SQRT(D34^2+D35^2+D36^2)</f>
        <v>1.5781680726852823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Tabelle15"/>
  <dimension ref="B4:L37"/>
  <sheetViews>
    <sheetView workbookViewId="0">
      <selection activeCell="B35" sqref="B35"/>
    </sheetView>
  </sheetViews>
  <sheetFormatPr baseColWidth="10" defaultRowHeight="15"/>
  <sheetData>
    <row r="4" spans="2:10">
      <c r="B4">
        <v>3</v>
      </c>
      <c r="C4">
        <v>4</v>
      </c>
      <c r="D4">
        <v>6</v>
      </c>
      <c r="H4">
        <v>15</v>
      </c>
    </row>
    <row r="5" spans="2:10">
      <c r="B5">
        <v>5</v>
      </c>
      <c r="C5">
        <v>7</v>
      </c>
      <c r="D5">
        <v>-5</v>
      </c>
      <c r="H5">
        <v>20</v>
      </c>
    </row>
    <row r="6" spans="2:10">
      <c r="B6">
        <v>4</v>
      </c>
      <c r="C6">
        <v>8</v>
      </c>
      <c r="D6">
        <v>2</v>
      </c>
      <c r="H6">
        <v>-3</v>
      </c>
    </row>
    <row r="9" spans="2:10">
      <c r="B9">
        <f>MDETERM(B4:D6)</f>
        <v>113.99999999999997</v>
      </c>
    </row>
    <row r="11" spans="2:10">
      <c r="B11">
        <f>$H4</f>
        <v>15</v>
      </c>
      <c r="C11">
        <f t="shared" ref="C11:D13" si="0">C4</f>
        <v>4</v>
      </c>
      <c r="D11">
        <f t="shared" si="0"/>
        <v>6</v>
      </c>
    </row>
    <row r="12" spans="2:10">
      <c r="B12">
        <f>$H5</f>
        <v>20</v>
      </c>
      <c r="C12">
        <f t="shared" si="0"/>
        <v>7</v>
      </c>
      <c r="D12">
        <f t="shared" si="0"/>
        <v>-5</v>
      </c>
    </row>
    <row r="13" spans="2:10">
      <c r="B13">
        <f>$H6</f>
        <v>-3</v>
      </c>
      <c r="C13">
        <f t="shared" si="0"/>
        <v>8</v>
      </c>
      <c r="D13">
        <f t="shared" si="0"/>
        <v>2</v>
      </c>
    </row>
    <row r="15" spans="2:10">
      <c r="H15" t="s">
        <v>32</v>
      </c>
      <c r="I15" t="s">
        <v>27</v>
      </c>
      <c r="J15">
        <f>B16/$B$9</f>
        <v>15.754385964912286</v>
      </c>
    </row>
    <row r="16" spans="2:10">
      <c r="B16">
        <f>MDETERM(B11:D13)</f>
        <v>1796.0000000000002</v>
      </c>
      <c r="H16" t="s">
        <v>33</v>
      </c>
      <c r="I16" t="s">
        <v>27</v>
      </c>
      <c r="J16">
        <f>B23/$B$9</f>
        <v>-8.2894736842105292</v>
      </c>
    </row>
    <row r="17" spans="2:12">
      <c r="H17" t="s">
        <v>34</v>
      </c>
      <c r="I17" t="s">
        <v>27</v>
      </c>
      <c r="J17">
        <f>B30/$B$9</f>
        <v>0.14912280701754368</v>
      </c>
    </row>
    <row r="18" spans="2:12">
      <c r="B18">
        <f>B4</f>
        <v>3</v>
      </c>
      <c r="C18">
        <f>$H4</f>
        <v>15</v>
      </c>
      <c r="D18">
        <f>D4</f>
        <v>6</v>
      </c>
    </row>
    <row r="19" spans="2:12">
      <c r="B19">
        <f>B5</f>
        <v>5</v>
      </c>
      <c r="C19">
        <f>$H5</f>
        <v>20</v>
      </c>
      <c r="D19">
        <f>D5</f>
        <v>-5</v>
      </c>
    </row>
    <row r="20" spans="2:12">
      <c r="B20">
        <f>B6</f>
        <v>4</v>
      </c>
      <c r="C20">
        <f>$H6</f>
        <v>-3</v>
      </c>
      <c r="D20">
        <f>D6</f>
        <v>2</v>
      </c>
    </row>
    <row r="21" spans="2:12">
      <c r="H21">
        <f>MMULT(B4:D4,$J$15:$J$17)</f>
        <v>15.000000000000002</v>
      </c>
    </row>
    <row r="22" spans="2:12">
      <c r="H22">
        <f t="shared" ref="H22:H23" si="1">MMULT(B5:D5,$J$15:$J$17)</f>
        <v>20</v>
      </c>
    </row>
    <row r="23" spans="2:12">
      <c r="B23">
        <f>MDETERM(B18:D20)</f>
        <v>-945</v>
      </c>
      <c r="H23">
        <f t="shared" si="1"/>
        <v>-3.0000000000000018</v>
      </c>
    </row>
    <row r="25" spans="2:12">
      <c r="B25">
        <f>B4</f>
        <v>3</v>
      </c>
      <c r="C25">
        <f>C4</f>
        <v>4</v>
      </c>
      <c r="D25">
        <f>$H4</f>
        <v>15</v>
      </c>
    </row>
    <row r="26" spans="2:12">
      <c r="B26">
        <f t="shared" ref="B26:C26" si="2">B5</f>
        <v>5</v>
      </c>
      <c r="C26">
        <f t="shared" si="2"/>
        <v>7</v>
      </c>
      <c r="D26">
        <f t="shared" ref="D26:D27" si="3">$H5</f>
        <v>20</v>
      </c>
      <c r="H26">
        <f>MMULT(MINVERSE(B4:D6),H4:H6)</f>
        <v>15.754385964912284</v>
      </c>
    </row>
    <row r="27" spans="2:12">
      <c r="B27">
        <f t="shared" ref="B27:C27" si="4">B6</f>
        <v>4</v>
      </c>
      <c r="C27">
        <f t="shared" si="4"/>
        <v>8</v>
      </c>
      <c r="D27">
        <f t="shared" si="3"/>
        <v>-3</v>
      </c>
    </row>
    <row r="30" spans="2:12">
      <c r="B30">
        <f>MDETERM(B25:D27)</f>
        <v>16.999999999999975</v>
      </c>
    </row>
    <row r="32" spans="2:12">
      <c r="H32" s="16">
        <f>INDEX(MINVERSE($B$4:$D$6),ROW(A1),COLUMN(A1))</f>
        <v>0.47368421052631582</v>
      </c>
      <c r="I32" s="16">
        <f t="shared" ref="I32:J32" si="5">INDEX(MINVERSE($B$4:$D$6),ROW(B1),COLUMN(B1))</f>
        <v>0.35087719298245623</v>
      </c>
      <c r="J32" s="16">
        <f t="shared" si="5"/>
        <v>-0.54385964912280715</v>
      </c>
      <c r="L32">
        <f>MMULT($H$32:$J$34,$H$4:$H$6)</f>
        <v>15.754385964912284</v>
      </c>
    </row>
    <row r="33" spans="2:12">
      <c r="B33">
        <f>MINVERSE(B4:D6)</f>
        <v>0.47368421052631582</v>
      </c>
      <c r="H33" s="16">
        <f t="shared" ref="H33:H34" si="6">INDEX(MINVERSE($B$4:$D$6),ROW(A2),COLUMN(A2))</f>
        <v>-0.26315789473684215</v>
      </c>
      <c r="I33" s="16">
        <f t="shared" ref="I33:I34" si="7">INDEX(MINVERSE($B$4:$D$6),ROW(B2),COLUMN(B2))</f>
        <v>-0.15789473684210528</v>
      </c>
      <c r="J33" s="16">
        <f t="shared" ref="J33:J34" si="8">INDEX(MINVERSE($B$4:$D$6),ROW(C2),COLUMN(C2))</f>
        <v>0.39473684210526322</v>
      </c>
      <c r="L33">
        <f t="shared" ref="L33:L34" si="9">MMULT($H$32:$J$34,$H$4:$H$6)</f>
        <v>15.754385964912284</v>
      </c>
    </row>
    <row r="34" spans="2:12">
      <c r="H34" s="16">
        <f t="shared" si="6"/>
        <v>0.10526315789473684</v>
      </c>
      <c r="I34" s="16">
        <f t="shared" si="7"/>
        <v>-7.0175438596491238E-2</v>
      </c>
      <c r="J34" s="16">
        <f t="shared" si="8"/>
        <v>8.7719298245614134E-3</v>
      </c>
      <c r="L34">
        <f t="shared" si="9"/>
        <v>15.754385964912284</v>
      </c>
    </row>
    <row r="35" spans="2:12">
      <c r="B35" s="16">
        <f>INDEX(MMULT(MINVERSE($B$4:$D$6),$H$4:$H$6),ROW(A1),COLUMN(A1))</f>
        <v>15.754385964912284</v>
      </c>
      <c r="C35" s="16"/>
      <c r="D35" s="16"/>
    </row>
    <row r="36" spans="2:12">
      <c r="B36" s="16">
        <f t="shared" ref="B36" si="10">INDEX(MMULT(MINVERSE($B$4:$D$6),$H$4:$H$6),ROW(A2),COLUMN(A2))</f>
        <v>-8.2894736842105274</v>
      </c>
      <c r="C36" s="16"/>
      <c r="D36" s="16"/>
    </row>
    <row r="37" spans="2:12">
      <c r="B37" s="16">
        <f t="shared" ref="B37" si="11">INDEX(MMULT(MINVERSE($B$4:$D$6),$H$4:$H$6),ROW(A3),COLUMN(A3))</f>
        <v>0.14912280701754371</v>
      </c>
      <c r="C37" s="16"/>
      <c r="D37" s="1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2:P65"/>
  <sheetViews>
    <sheetView zoomScale="115" zoomScaleNormal="115" workbookViewId="0">
      <selection activeCell="G16" sqref="G16"/>
    </sheetView>
  </sheetViews>
  <sheetFormatPr baseColWidth="10" defaultRowHeight="15"/>
  <sheetData>
    <row r="2" spans="1:15">
      <c r="A2" s="77" t="s">
        <v>86</v>
      </c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5">
      <c r="B3" s="45" t="s">
        <v>103</v>
      </c>
      <c r="C3" s="46">
        <v>300000000</v>
      </c>
      <c r="D3" s="47" t="s">
        <v>104</v>
      </c>
      <c r="E3" s="47"/>
      <c r="F3" s="47"/>
      <c r="G3" s="47"/>
      <c r="H3" s="47"/>
      <c r="I3" s="47"/>
      <c r="J3" s="47"/>
      <c r="K3" s="48"/>
    </row>
    <row r="4" spans="1:15">
      <c r="B4" s="49" t="s">
        <v>105</v>
      </c>
      <c r="C4" s="50">
        <v>866300000</v>
      </c>
      <c r="D4" s="2" t="s">
        <v>106</v>
      </c>
      <c r="E4" s="2"/>
      <c r="F4" s="2"/>
      <c r="G4" s="2"/>
      <c r="H4" s="2"/>
      <c r="I4" s="2"/>
      <c r="J4" s="2"/>
      <c r="K4" s="21"/>
    </row>
    <row r="5" spans="1:15">
      <c r="B5" s="49" t="s">
        <v>107</v>
      </c>
      <c r="C5" s="2">
        <f>$C$3/$C$4</f>
        <v>0.34630035784370311</v>
      </c>
      <c r="D5" s="2" t="s">
        <v>108</v>
      </c>
      <c r="E5" s="2"/>
      <c r="F5" s="2"/>
      <c r="G5" s="2"/>
      <c r="H5" s="2"/>
      <c r="I5" s="2"/>
      <c r="J5" s="2"/>
      <c r="K5" s="21"/>
    </row>
    <row r="6" spans="1:15">
      <c r="B6" s="49"/>
      <c r="C6" s="2"/>
      <c r="I6" s="2"/>
      <c r="J6" s="2"/>
      <c r="K6" s="21"/>
    </row>
    <row r="7" spans="1:15">
      <c r="A7" s="21"/>
      <c r="B7" s="58" t="s">
        <v>83</v>
      </c>
      <c r="C7" s="22"/>
      <c r="D7" s="12" t="s">
        <v>82</v>
      </c>
      <c r="E7" s="12" t="s">
        <v>80</v>
      </c>
      <c r="F7" s="12" t="s">
        <v>81</v>
      </c>
      <c r="G7" s="12" t="s">
        <v>84</v>
      </c>
      <c r="H7" s="12" t="s">
        <v>85</v>
      </c>
      <c r="I7" s="12"/>
      <c r="J7" s="12"/>
      <c r="K7" s="51"/>
    </row>
    <row r="8" spans="1:15">
      <c r="A8" s="21"/>
      <c r="B8" s="57">
        <v>1</v>
      </c>
      <c r="C8" s="2"/>
      <c r="D8" s="2">
        <f>0.5*Messaufbau_Messdaten!$I$35</f>
        <v>0.38500000000000001</v>
      </c>
      <c r="E8" s="2">
        <f>$C$5^2/8</f>
        <v>1.4990492230334603E-2</v>
      </c>
      <c r="F8" s="2">
        <f>E$8/PI()</f>
        <v>4.7716218756768064E-3</v>
      </c>
      <c r="G8" s="2">
        <f>A_1*(1/(2*PI())^2)*$H$11^2-$H8^2</f>
        <v>-1</v>
      </c>
      <c r="H8" s="2">
        <v>1</v>
      </c>
      <c r="I8" s="2"/>
      <c r="J8" s="2"/>
      <c r="K8" s="21"/>
      <c r="L8" s="2"/>
      <c r="M8" s="2"/>
      <c r="N8" s="2"/>
      <c r="O8" s="2"/>
    </row>
    <row r="9" spans="1:15">
      <c r="A9" s="21"/>
      <c r="B9" s="55">
        <v>2</v>
      </c>
      <c r="C9" s="2"/>
      <c r="D9" s="2">
        <f>0.5*Messaufbau_Messdaten!$I$41</f>
        <v>0.38500000000000001</v>
      </c>
      <c r="E9" s="66" t="s">
        <v>111</v>
      </c>
      <c r="F9" s="66" t="s">
        <v>111</v>
      </c>
      <c r="G9" s="2">
        <f>A_1*(1/(2*PI())^2)*$H$11^2-$H9^2</f>
        <v>-4</v>
      </c>
      <c r="H9" s="2">
        <v>2</v>
      </c>
      <c r="I9" s="2"/>
      <c r="J9" s="2"/>
      <c r="K9" s="21"/>
      <c r="L9" s="2"/>
      <c r="M9" s="2"/>
      <c r="N9" s="2"/>
      <c r="O9" s="2"/>
    </row>
    <row r="10" spans="1:15">
      <c r="A10" s="21"/>
      <c r="B10" s="55">
        <v>3</v>
      </c>
      <c r="C10" s="2"/>
      <c r="D10" s="2">
        <f>0.5*Messaufbau_Messdaten!$I$43</f>
        <v>0.4</v>
      </c>
      <c r="E10" s="66" t="s">
        <v>111</v>
      </c>
      <c r="F10" s="66" t="s">
        <v>111</v>
      </c>
      <c r="G10" s="2">
        <f>A_1*(1/(2*PI())^2)*$H$11^2-$H10^2</f>
        <v>-36</v>
      </c>
      <c r="H10" s="2">
        <v>6</v>
      </c>
      <c r="I10" s="2"/>
      <c r="J10" s="2"/>
      <c r="K10" s="21"/>
      <c r="L10" s="2"/>
      <c r="M10" s="2"/>
      <c r="N10" s="2"/>
      <c r="O10" s="2"/>
    </row>
    <row r="11" spans="1:15">
      <c r="A11" s="21"/>
      <c r="B11" s="55">
        <v>0</v>
      </c>
      <c r="C11" s="56"/>
      <c r="D11" s="66"/>
      <c r="E11" s="66"/>
      <c r="F11" s="66"/>
      <c r="G11" s="66"/>
      <c r="H11" s="2">
        <v>0</v>
      </c>
      <c r="I11" s="2"/>
      <c r="J11" s="2"/>
      <c r="K11" s="21"/>
      <c r="L11" s="2"/>
      <c r="M11" s="2"/>
      <c r="N11" s="2"/>
      <c r="O11" s="2"/>
    </row>
    <row r="12" spans="1:15">
      <c r="B12" s="52"/>
      <c r="C12" s="22"/>
      <c r="D12" s="22"/>
      <c r="E12" s="22"/>
      <c r="F12" s="22"/>
      <c r="G12" s="22"/>
      <c r="H12" s="22"/>
      <c r="I12" s="22"/>
      <c r="J12" s="22"/>
      <c r="K12" s="11"/>
    </row>
    <row r="13" spans="1:1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5">
      <c r="A14" s="25" t="s">
        <v>91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5">
      <c r="B15" s="2"/>
      <c r="C15" s="2"/>
      <c r="D15" s="12">
        <v>1</v>
      </c>
      <c r="E15" s="12">
        <v>2</v>
      </c>
      <c r="F15" s="12">
        <v>3</v>
      </c>
      <c r="G15" s="12">
        <v>4</v>
      </c>
      <c r="H15" s="12">
        <v>5</v>
      </c>
      <c r="I15" s="12">
        <v>6</v>
      </c>
      <c r="J15" s="12">
        <v>7</v>
      </c>
      <c r="K15" s="12">
        <v>8</v>
      </c>
    </row>
    <row r="16" spans="1:15">
      <c r="B16" s="2" t="s">
        <v>87</v>
      </c>
      <c r="C16" s="2"/>
      <c r="D16" s="54"/>
      <c r="E16" s="54"/>
      <c r="F16" s="54"/>
      <c r="G16" s="54"/>
      <c r="H16" s="54"/>
      <c r="I16" s="54"/>
      <c r="J16" s="54"/>
      <c r="K16" s="54"/>
      <c r="M16" s="76" t="s">
        <v>109</v>
      </c>
    </row>
    <row r="17" spans="1:13">
      <c r="B17" s="2" t="s">
        <v>88</v>
      </c>
      <c r="C17" s="2"/>
      <c r="D17" s="54"/>
      <c r="E17" s="54"/>
      <c r="F17" s="54"/>
      <c r="G17" s="54"/>
      <c r="H17" s="54"/>
      <c r="I17" s="54"/>
      <c r="J17" s="54"/>
      <c r="K17" s="54"/>
      <c r="M17" s="76"/>
    </row>
    <row r="18" spans="1:13">
      <c r="B18" s="2" t="s">
        <v>89</v>
      </c>
      <c r="C18" s="2"/>
      <c r="D18" s="54"/>
      <c r="E18" s="54"/>
      <c r="F18" s="54"/>
      <c r="G18" s="54"/>
      <c r="H18" s="54"/>
      <c r="I18" s="54"/>
      <c r="J18" s="54"/>
      <c r="K18" s="54"/>
      <c r="M18" s="76"/>
    </row>
    <row r="19" spans="1:13">
      <c r="B19" s="53" t="s">
        <v>90</v>
      </c>
      <c r="C19" s="2" t="s">
        <v>27</v>
      </c>
      <c r="D19" s="54"/>
      <c r="E19" s="54"/>
      <c r="F19" s="54"/>
      <c r="G19" s="54"/>
      <c r="H19" s="54"/>
      <c r="I19" s="54"/>
      <c r="J19" s="54"/>
      <c r="K19" s="54"/>
      <c r="M19" s="76"/>
    </row>
    <row r="20" spans="1:13">
      <c r="B20" s="2" t="s">
        <v>51</v>
      </c>
      <c r="C20" s="2"/>
      <c r="D20" s="39">
        <v>0.47920820717399498</v>
      </c>
      <c r="E20" s="39">
        <v>-0.7746678940563656</v>
      </c>
      <c r="F20" s="39">
        <v>1.5211207734350594</v>
      </c>
      <c r="G20" s="39">
        <v>-0.92363913249376062</v>
      </c>
      <c r="H20" s="39">
        <v>1.9213108140141657</v>
      </c>
      <c r="I20" s="39">
        <v>-0.5559502324740031</v>
      </c>
      <c r="J20" s="39">
        <v>1.0628800131422067</v>
      </c>
      <c r="K20" s="39">
        <v>0.45375042022567252</v>
      </c>
      <c r="M20" s="76"/>
    </row>
    <row r="21" spans="1:13">
      <c r="B21" t="s">
        <v>50</v>
      </c>
      <c r="D21" s="39">
        <v>-1.0120186360932779</v>
      </c>
      <c r="E21" s="39">
        <v>-1.0446109004008435</v>
      </c>
      <c r="F21" s="39">
        <v>-1.0528368912562995</v>
      </c>
      <c r="G21" s="39">
        <v>-0.19735288075445023</v>
      </c>
      <c r="H21" s="39">
        <v>3.1169431027432318E-2</v>
      </c>
      <c r="I21" s="39">
        <v>1.0917266627962099</v>
      </c>
      <c r="J21" s="39">
        <v>1.0721319549838608</v>
      </c>
      <c r="K21" s="39">
        <v>1.3547475145351064</v>
      </c>
      <c r="M21" s="76"/>
    </row>
    <row r="22" spans="1:13">
      <c r="B22" t="s">
        <v>55</v>
      </c>
      <c r="C22" s="2"/>
      <c r="D22" s="39">
        <v>0.60667550022108041</v>
      </c>
      <c r="E22" s="39">
        <v>1.346022304408635</v>
      </c>
      <c r="F22" s="39">
        <v>1.3791594930279794</v>
      </c>
      <c r="G22" s="39">
        <v>1.3262631202056154</v>
      </c>
      <c r="H22" s="39">
        <v>1.3960002720243607</v>
      </c>
      <c r="I22" s="39">
        <v>1.4358129552779264</v>
      </c>
      <c r="J22" s="39">
        <v>1.3583903887765414</v>
      </c>
      <c r="K22" s="39">
        <v>0.67035998451614454</v>
      </c>
      <c r="M22" s="76"/>
    </row>
    <row r="23" spans="1:13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3">
      <c r="A24" s="77" t="s">
        <v>70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1:13">
      <c r="A25" s="21"/>
      <c r="B25" s="31">
        <v>0.77</v>
      </c>
      <c r="C25" s="31">
        <v>0</v>
      </c>
      <c r="D25" s="23">
        <v>0</v>
      </c>
      <c r="E25" s="26"/>
      <c r="F25" s="30" t="s">
        <v>51</v>
      </c>
      <c r="G25" s="21"/>
      <c r="H25" s="32" t="s">
        <v>48</v>
      </c>
    </row>
    <row r="26" spans="1:13">
      <c r="A26" s="21"/>
      <c r="B26" s="31">
        <v>0</v>
      </c>
      <c r="C26" s="31">
        <v>0.77</v>
      </c>
      <c r="D26" s="23">
        <v>0</v>
      </c>
      <c r="E26" s="29" t="s">
        <v>68</v>
      </c>
      <c r="F26" s="30" t="s">
        <v>50</v>
      </c>
      <c r="G26" s="64" t="s">
        <v>110</v>
      </c>
      <c r="H26" s="32" t="s">
        <v>46</v>
      </c>
      <c r="I26" s="65" t="s">
        <v>27</v>
      </c>
      <c r="J26">
        <v>0</v>
      </c>
    </row>
    <row r="27" spans="1:13">
      <c r="A27" s="21"/>
      <c r="B27" s="31">
        <v>0</v>
      </c>
      <c r="C27" s="31">
        <v>0</v>
      </c>
      <c r="D27" s="23">
        <v>0.8</v>
      </c>
      <c r="E27" s="26"/>
      <c r="F27" s="30" t="s">
        <v>55</v>
      </c>
      <c r="G27" s="21"/>
      <c r="H27" s="32" t="s">
        <v>45</v>
      </c>
    </row>
    <row r="28" spans="1:13">
      <c r="D28" s="2"/>
      <c r="E28" s="2"/>
      <c r="F28" s="2"/>
      <c r="G28" s="2"/>
      <c r="H28" s="2"/>
    </row>
    <row r="29" spans="1:13">
      <c r="D29" s="2"/>
      <c r="E29" s="2"/>
      <c r="F29" s="2"/>
      <c r="G29" s="2"/>
      <c r="H29" s="2"/>
    </row>
    <row r="30" spans="1:13">
      <c r="D30" s="12">
        <v>1</v>
      </c>
      <c r="E30" s="12">
        <v>2</v>
      </c>
      <c r="F30" s="12">
        <v>3</v>
      </c>
      <c r="G30" s="12">
        <v>4</v>
      </c>
      <c r="H30" s="12">
        <v>5</v>
      </c>
      <c r="I30" s="12">
        <v>6</v>
      </c>
      <c r="J30" s="12">
        <v>7</v>
      </c>
      <c r="K30" s="12">
        <v>8</v>
      </c>
    </row>
    <row r="31" spans="1:13">
      <c r="B31" t="s">
        <v>98</v>
      </c>
      <c r="D31" s="40">
        <f t="shared" ref="D31:K33" si="0">INDEX(MMULT($B$25:$D$27,D$20:D$22),ROW($A1))</f>
        <v>0.36899031952397615</v>
      </c>
      <c r="E31" s="40">
        <f t="shared" si="0"/>
        <v>-0.59649427842340152</v>
      </c>
      <c r="F31" s="40">
        <f t="shared" si="0"/>
        <v>1.1712629955449958</v>
      </c>
      <c r="G31" s="40">
        <f t="shared" si="0"/>
        <v>-0.71120213202019567</v>
      </c>
      <c r="H31" s="40">
        <f t="shared" si="0"/>
        <v>1.4794093267909076</v>
      </c>
      <c r="I31" s="40">
        <f t="shared" si="0"/>
        <v>-0.4280816790049824</v>
      </c>
      <c r="J31" s="40">
        <f t="shared" si="0"/>
        <v>0.81841761011949921</v>
      </c>
      <c r="K31" s="40">
        <f t="shared" si="0"/>
        <v>0.34938782357376785</v>
      </c>
      <c r="M31" s="33"/>
    </row>
    <row r="32" spans="1:13">
      <c r="B32" t="s">
        <v>99</v>
      </c>
      <c r="D32" s="40">
        <f t="shared" si="0"/>
        <v>-0.77925434979182406</v>
      </c>
      <c r="E32" s="40">
        <f t="shared" si="0"/>
        <v>-0.80435039330864955</v>
      </c>
      <c r="F32" s="40">
        <f t="shared" si="0"/>
        <v>-0.81068440626735061</v>
      </c>
      <c r="G32" s="40">
        <f t="shared" si="0"/>
        <v>-0.15196171818092669</v>
      </c>
      <c r="H32" s="40">
        <f t="shared" si="0"/>
        <v>2.4000461891122885E-2</v>
      </c>
      <c r="I32" s="40">
        <f t="shared" si="0"/>
        <v>0.84062953035308163</v>
      </c>
      <c r="J32" s="40">
        <f t="shared" si="0"/>
        <v>0.82554160533757281</v>
      </c>
      <c r="K32" s="40">
        <f t="shared" si="0"/>
        <v>1.0431555861920321</v>
      </c>
      <c r="M32" s="33"/>
    </row>
    <row r="33" spans="1:16">
      <c r="B33" t="s">
        <v>100</v>
      </c>
      <c r="D33" s="40">
        <f t="shared" si="0"/>
        <v>0.48534040017686436</v>
      </c>
      <c r="E33" s="40">
        <f t="shared" si="0"/>
        <v>1.076817843526908</v>
      </c>
      <c r="F33" s="40">
        <f t="shared" si="0"/>
        <v>1.1033275944223835</v>
      </c>
      <c r="G33" s="40">
        <f t="shared" si="0"/>
        <v>1.0610104961644924</v>
      </c>
      <c r="H33" s="40">
        <f t="shared" si="0"/>
        <v>1.1168002176194887</v>
      </c>
      <c r="I33" s="40">
        <f t="shared" si="0"/>
        <v>1.1486503642223411</v>
      </c>
      <c r="J33" s="40">
        <f t="shared" si="0"/>
        <v>1.0867123110212331</v>
      </c>
      <c r="K33" s="40">
        <f t="shared" si="0"/>
        <v>0.53628798761291563</v>
      </c>
      <c r="M33" s="33"/>
    </row>
    <row r="34" spans="1:16">
      <c r="B34" t="s">
        <v>101</v>
      </c>
      <c r="D34" s="43">
        <f t="shared" ref="D34:K34" si="1">(D$31-D$44)^2+(D$32-D$45)^2+(D$33-D$46)^2</f>
        <v>2.2059654366038135</v>
      </c>
      <c r="E34" s="43">
        <f t="shared" si="1"/>
        <v>2.8984436488532479</v>
      </c>
      <c r="F34" s="43">
        <f t="shared" si="1"/>
        <v>6.1816775978630023</v>
      </c>
      <c r="G34" s="43">
        <f t="shared" si="1"/>
        <v>3.0326704838887384</v>
      </c>
      <c r="H34" s="43">
        <f t="shared" si="1"/>
        <v>7.7940040121927199</v>
      </c>
      <c r="I34" s="43">
        <f t="shared" si="1"/>
        <v>5.2642583955811251</v>
      </c>
      <c r="J34" s="43">
        <f t="shared" si="1"/>
        <v>7.0256709511904738</v>
      </c>
      <c r="K34" s="43">
        <f t="shared" si="1"/>
        <v>5.0049878526989868</v>
      </c>
    </row>
    <row r="35" spans="1:16">
      <c r="D35" s="43">
        <f t="shared" ref="D35:K35" si="2">(D$31-D$44)+(D$32-D$45)+(D$33-D$46)</f>
        <v>1.9200763699090164</v>
      </c>
      <c r="E35" s="43">
        <f t="shared" si="2"/>
        <v>1.5209731717948569</v>
      </c>
      <c r="F35" s="43">
        <f t="shared" si="2"/>
        <v>3.3089061837000289</v>
      </c>
      <c r="G35" s="43">
        <f t="shared" si="2"/>
        <v>2.0428466459633698</v>
      </c>
      <c r="H35" s="43">
        <f t="shared" si="2"/>
        <v>4.4652100063015192</v>
      </c>
      <c r="I35" s="43">
        <f t="shared" si="2"/>
        <v>3.4061982155704404</v>
      </c>
      <c r="J35" s="43">
        <f t="shared" si="2"/>
        <v>4.5756715264783052</v>
      </c>
      <c r="K35" s="43">
        <f t="shared" si="2"/>
        <v>3.7738313973787152</v>
      </c>
    </row>
    <row r="36" spans="1:16">
      <c r="D36" s="33"/>
      <c r="E36" s="33"/>
      <c r="F36" s="2"/>
      <c r="G36" s="2"/>
      <c r="H36" s="2"/>
    </row>
    <row r="37" spans="1:16">
      <c r="D37" s="33"/>
      <c r="E37" s="33"/>
      <c r="F37" s="2"/>
      <c r="G37" s="2"/>
      <c r="H37" s="2"/>
    </row>
    <row r="38" spans="1:16" ht="14.25" customHeight="1">
      <c r="B38" s="60" t="s">
        <v>93</v>
      </c>
      <c r="C38" s="61"/>
      <c r="D38" s="62">
        <f t="shared" ref="D38:K40" si="3">A_1*(D$16^2-D17^2)</f>
        <v>0</v>
      </c>
      <c r="E38" s="62">
        <f t="shared" si="3"/>
        <v>0</v>
      </c>
      <c r="F38" s="62">
        <f t="shared" si="3"/>
        <v>0</v>
      </c>
      <c r="G38" s="62">
        <f t="shared" si="3"/>
        <v>0</v>
      </c>
      <c r="H38" s="62">
        <f t="shared" si="3"/>
        <v>0</v>
      </c>
      <c r="I38" s="62">
        <f t="shared" si="3"/>
        <v>0</v>
      </c>
      <c r="J38" s="62">
        <f t="shared" si="3"/>
        <v>0</v>
      </c>
      <c r="K38" s="62">
        <f t="shared" si="3"/>
        <v>0</v>
      </c>
      <c r="M38" s="76" t="s">
        <v>102</v>
      </c>
    </row>
    <row r="39" spans="1:16" ht="14.25" customHeight="1">
      <c r="B39" s="60" t="s">
        <v>94</v>
      </c>
      <c r="C39" s="61"/>
      <c r="D39" s="62">
        <f t="shared" si="3"/>
        <v>0</v>
      </c>
      <c r="E39" s="62">
        <f t="shared" si="3"/>
        <v>0</v>
      </c>
      <c r="F39" s="62">
        <f t="shared" si="3"/>
        <v>0</v>
      </c>
      <c r="G39" s="62">
        <f t="shared" si="3"/>
        <v>0</v>
      </c>
      <c r="H39" s="62">
        <f t="shared" si="3"/>
        <v>0</v>
      </c>
      <c r="I39" s="62">
        <f t="shared" si="3"/>
        <v>0</v>
      </c>
      <c r="J39" s="62">
        <f t="shared" si="3"/>
        <v>0</v>
      </c>
      <c r="K39" s="62">
        <f t="shared" si="3"/>
        <v>0</v>
      </c>
      <c r="M39" s="76"/>
    </row>
    <row r="40" spans="1:16" ht="14.25" customHeight="1">
      <c r="B40" s="60" t="s">
        <v>95</v>
      </c>
      <c r="C40" s="61"/>
      <c r="D40" s="62">
        <f t="shared" si="3"/>
        <v>0</v>
      </c>
      <c r="E40" s="62">
        <f t="shared" si="3"/>
        <v>0</v>
      </c>
      <c r="F40" s="62">
        <f t="shared" si="3"/>
        <v>0</v>
      </c>
      <c r="G40" s="62">
        <f t="shared" si="3"/>
        <v>0</v>
      </c>
      <c r="H40" s="62">
        <f t="shared" si="3"/>
        <v>0</v>
      </c>
      <c r="I40" s="62">
        <f t="shared" si="3"/>
        <v>0</v>
      </c>
      <c r="J40" s="62">
        <f t="shared" si="3"/>
        <v>0</v>
      </c>
      <c r="K40" s="62">
        <f t="shared" si="3"/>
        <v>0</v>
      </c>
      <c r="M40" s="76"/>
    </row>
    <row r="41" spans="1:16">
      <c r="B41" s="60" t="s">
        <v>92</v>
      </c>
      <c r="C41" s="63"/>
      <c r="D41" s="62">
        <f t="shared" ref="D41:K43" si="4">A_2*($H$11*D$16^2-$H8*D17^2)</f>
        <v>0</v>
      </c>
      <c r="E41" s="62">
        <f t="shared" si="4"/>
        <v>0</v>
      </c>
      <c r="F41" s="62">
        <f t="shared" si="4"/>
        <v>0</v>
      </c>
      <c r="G41" s="62">
        <f t="shared" si="4"/>
        <v>0</v>
      </c>
      <c r="H41" s="62">
        <f t="shared" si="4"/>
        <v>0</v>
      </c>
      <c r="I41" s="62">
        <f t="shared" si="4"/>
        <v>0</v>
      </c>
      <c r="J41" s="62">
        <f t="shared" si="4"/>
        <v>0</v>
      </c>
      <c r="K41" s="62">
        <f t="shared" si="4"/>
        <v>0</v>
      </c>
      <c r="M41" s="76"/>
      <c r="O41" s="37"/>
      <c r="P41" s="37"/>
    </row>
    <row r="42" spans="1:16">
      <c r="B42" s="60" t="s">
        <v>97</v>
      </c>
      <c r="C42" s="63" t="s">
        <v>27</v>
      </c>
      <c r="D42" s="62">
        <f t="shared" si="4"/>
        <v>0</v>
      </c>
      <c r="E42" s="62">
        <f t="shared" si="4"/>
        <v>0</v>
      </c>
      <c r="F42" s="62">
        <f t="shared" si="4"/>
        <v>0</v>
      </c>
      <c r="G42" s="62">
        <f t="shared" si="4"/>
        <v>0</v>
      </c>
      <c r="H42" s="62">
        <f t="shared" si="4"/>
        <v>0</v>
      </c>
      <c r="I42" s="62">
        <f t="shared" si="4"/>
        <v>0</v>
      </c>
      <c r="J42" s="62">
        <f t="shared" si="4"/>
        <v>0</v>
      </c>
      <c r="K42" s="62">
        <f t="shared" si="4"/>
        <v>0</v>
      </c>
      <c r="M42" s="76"/>
      <c r="O42" s="37"/>
      <c r="P42" s="37"/>
    </row>
    <row r="43" spans="1:16">
      <c r="B43" s="60" t="s">
        <v>96</v>
      </c>
      <c r="C43" s="63"/>
      <c r="D43" s="62">
        <f t="shared" si="4"/>
        <v>0</v>
      </c>
      <c r="E43" s="62">
        <f t="shared" si="4"/>
        <v>0</v>
      </c>
      <c r="F43" s="62">
        <f t="shared" si="4"/>
        <v>0</v>
      </c>
      <c r="G43" s="62">
        <f t="shared" si="4"/>
        <v>0</v>
      </c>
      <c r="H43" s="62">
        <f t="shared" si="4"/>
        <v>0</v>
      </c>
      <c r="I43" s="62">
        <f t="shared" si="4"/>
        <v>0</v>
      </c>
      <c r="J43" s="62">
        <f t="shared" si="4"/>
        <v>0</v>
      </c>
      <c r="K43" s="62">
        <f t="shared" si="4"/>
        <v>0</v>
      </c>
      <c r="M43" s="76"/>
      <c r="O43" s="37"/>
      <c r="P43" s="37"/>
    </row>
    <row r="44" spans="1:16">
      <c r="B44" t="s">
        <v>48</v>
      </c>
      <c r="C44" s="2"/>
      <c r="D44" s="59">
        <f>$D$8+$G$8+D38+D41</f>
        <v>-0.61499999999999999</v>
      </c>
      <c r="E44" s="59">
        <f t="shared" ref="E44:K44" si="5">$D$8+$G$8+E38+E41</f>
        <v>-0.61499999999999999</v>
      </c>
      <c r="F44" s="59">
        <f t="shared" si="5"/>
        <v>-0.61499999999999999</v>
      </c>
      <c r="G44" s="59">
        <f t="shared" si="5"/>
        <v>-0.61499999999999999</v>
      </c>
      <c r="H44" s="59">
        <f t="shared" si="5"/>
        <v>-0.61499999999999999</v>
      </c>
      <c r="I44" s="59">
        <f t="shared" si="5"/>
        <v>-0.61499999999999999</v>
      </c>
      <c r="J44" s="59">
        <f t="shared" si="5"/>
        <v>-0.61499999999999999</v>
      </c>
      <c r="K44" s="59">
        <f t="shared" si="5"/>
        <v>-0.61499999999999999</v>
      </c>
      <c r="O44" s="37"/>
    </row>
    <row r="45" spans="1:16">
      <c r="B45" t="s">
        <v>46</v>
      </c>
      <c r="D45" s="59">
        <f t="shared" ref="D45:K46" si="6">$D$8+$G$8+D39+D42</f>
        <v>-0.61499999999999999</v>
      </c>
      <c r="E45" s="59">
        <f t="shared" si="6"/>
        <v>-0.61499999999999999</v>
      </c>
      <c r="F45" s="59">
        <f t="shared" si="6"/>
        <v>-0.61499999999999999</v>
      </c>
      <c r="G45" s="59">
        <f t="shared" si="6"/>
        <v>-0.61499999999999999</v>
      </c>
      <c r="H45" s="59">
        <f t="shared" si="6"/>
        <v>-0.61499999999999999</v>
      </c>
      <c r="I45" s="59">
        <f t="shared" si="6"/>
        <v>-0.61499999999999999</v>
      </c>
      <c r="J45" s="59">
        <f t="shared" si="6"/>
        <v>-0.61499999999999999</v>
      </c>
      <c r="K45" s="59">
        <f t="shared" si="6"/>
        <v>-0.61499999999999999</v>
      </c>
      <c r="O45" s="37"/>
    </row>
    <row r="46" spans="1:16">
      <c r="B46" t="s">
        <v>45</v>
      </c>
      <c r="C46" s="2"/>
      <c r="D46" s="59">
        <f t="shared" si="6"/>
        <v>-0.61499999999999999</v>
      </c>
      <c r="E46" s="59">
        <f t="shared" si="6"/>
        <v>-0.61499999999999999</v>
      </c>
      <c r="F46" s="59">
        <f t="shared" si="6"/>
        <v>-0.61499999999999999</v>
      </c>
      <c r="G46" s="59">
        <f t="shared" si="6"/>
        <v>-0.61499999999999999</v>
      </c>
      <c r="H46" s="59">
        <f t="shared" si="6"/>
        <v>-0.61499999999999999</v>
      </c>
      <c r="I46" s="59">
        <f t="shared" si="6"/>
        <v>-0.61499999999999999</v>
      </c>
      <c r="J46" s="59">
        <f t="shared" si="6"/>
        <v>-0.61499999999999999</v>
      </c>
      <c r="K46" s="59">
        <f t="shared" si="6"/>
        <v>-0.61499999999999999</v>
      </c>
    </row>
    <row r="47" spans="1:16">
      <c r="C47" s="2"/>
      <c r="D47" s="2"/>
      <c r="E47" s="2"/>
      <c r="F47" s="2"/>
      <c r="G47" s="2"/>
      <c r="H47" s="2"/>
      <c r="I47" s="2"/>
      <c r="J47" s="2"/>
      <c r="K47" s="2"/>
    </row>
    <row r="48" spans="1:16">
      <c r="A48" s="77" t="s">
        <v>67</v>
      </c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1:11">
      <c r="B49" t="s">
        <v>56</v>
      </c>
      <c r="C49" s="2" t="s">
        <v>27</v>
      </c>
      <c r="D49" s="2">
        <v>0</v>
      </c>
      <c r="E49" s="2"/>
      <c r="F49" s="2"/>
      <c r="G49" s="2"/>
      <c r="H49" s="2"/>
      <c r="I49" s="2"/>
      <c r="J49" s="2"/>
      <c r="K49" s="2"/>
    </row>
    <row r="50" spans="1:11">
      <c r="B50" t="s">
        <v>57</v>
      </c>
      <c r="C50" s="2" t="s">
        <v>27</v>
      </c>
      <c r="D50" s="2">
        <v>0</v>
      </c>
      <c r="E50" s="2"/>
      <c r="F50" s="2"/>
      <c r="G50" s="2"/>
      <c r="H50" s="2"/>
      <c r="I50" s="2"/>
      <c r="J50" s="2"/>
      <c r="K50" s="2"/>
    </row>
    <row r="51" spans="1:11">
      <c r="B51" t="s">
        <v>58</v>
      </c>
      <c r="C51" s="2" t="s">
        <v>27</v>
      </c>
      <c r="D51" s="2">
        <v>0</v>
      </c>
      <c r="E51" s="2"/>
      <c r="F51" s="2"/>
      <c r="G51" s="2"/>
      <c r="H51" s="2"/>
      <c r="I51" s="2"/>
      <c r="J51" s="2"/>
      <c r="K51" s="2"/>
    </row>
    <row r="52" spans="1:11">
      <c r="C52" s="2"/>
      <c r="D52" s="2"/>
      <c r="E52" s="2"/>
      <c r="F52" s="2"/>
      <c r="G52" s="2"/>
      <c r="H52" s="2"/>
      <c r="I52" s="2"/>
      <c r="J52" s="2"/>
      <c r="K52" s="2"/>
    </row>
    <row r="53" spans="1:11">
      <c r="A53" s="77" t="s">
        <v>69</v>
      </c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1:11">
      <c r="A54" s="25"/>
      <c r="B54" s="22"/>
      <c r="C54" s="22"/>
      <c r="D54" s="12">
        <v>1</v>
      </c>
      <c r="E54" s="12">
        <v>2</v>
      </c>
      <c r="F54" s="12">
        <v>3</v>
      </c>
      <c r="G54" s="12">
        <v>4</v>
      </c>
      <c r="H54" s="12">
        <v>5</v>
      </c>
      <c r="I54" s="12">
        <v>6</v>
      </c>
      <c r="J54" s="12">
        <v>7</v>
      </c>
      <c r="K54" s="12">
        <v>8</v>
      </c>
    </row>
    <row r="55" spans="1:11">
      <c r="B55" s="28" t="s">
        <v>64</v>
      </c>
      <c r="C55" s="28" t="s">
        <v>27</v>
      </c>
      <c r="D55" s="34">
        <f>D20+$D$49</f>
        <v>0.47920820717399498</v>
      </c>
      <c r="E55" s="34">
        <f t="shared" ref="E55:K55" si="7">E20+$D$49</f>
        <v>-0.7746678940563656</v>
      </c>
      <c r="F55" s="34">
        <f t="shared" si="7"/>
        <v>1.5211207734350594</v>
      </c>
      <c r="G55" s="34">
        <f t="shared" si="7"/>
        <v>-0.92363913249376062</v>
      </c>
      <c r="H55" s="34">
        <f t="shared" si="7"/>
        <v>1.9213108140141657</v>
      </c>
      <c r="I55" s="34">
        <f t="shared" si="7"/>
        <v>-0.5559502324740031</v>
      </c>
      <c r="J55" s="34">
        <f t="shared" si="7"/>
        <v>1.0628800131422067</v>
      </c>
      <c r="K55" s="34">
        <f t="shared" si="7"/>
        <v>0.45375042022567252</v>
      </c>
    </row>
    <row r="56" spans="1:11">
      <c r="B56" s="28" t="s">
        <v>65</v>
      </c>
      <c r="C56" s="28" t="s">
        <v>27</v>
      </c>
      <c r="D56" s="34">
        <f t="shared" ref="D56:K57" si="8">D21+$D$49</f>
        <v>-1.0120186360932779</v>
      </c>
      <c r="E56" s="34">
        <f t="shared" si="8"/>
        <v>-1.0446109004008435</v>
      </c>
      <c r="F56" s="34">
        <f t="shared" si="8"/>
        <v>-1.0528368912562995</v>
      </c>
      <c r="G56" s="34">
        <f t="shared" si="8"/>
        <v>-0.19735288075445023</v>
      </c>
      <c r="H56" s="34">
        <f t="shared" si="8"/>
        <v>3.1169431027432318E-2</v>
      </c>
      <c r="I56" s="34">
        <f t="shared" si="8"/>
        <v>1.0917266627962099</v>
      </c>
      <c r="J56" s="34">
        <f t="shared" si="8"/>
        <v>1.0721319549838608</v>
      </c>
      <c r="K56" s="34">
        <f t="shared" si="8"/>
        <v>1.3547475145351064</v>
      </c>
    </row>
    <row r="57" spans="1:11">
      <c r="B57" s="28" t="s">
        <v>66</v>
      </c>
      <c r="C57" s="28" t="s">
        <v>27</v>
      </c>
      <c r="D57" s="34">
        <f t="shared" si="8"/>
        <v>0.60667550022108041</v>
      </c>
      <c r="E57" s="34">
        <f t="shared" si="8"/>
        <v>1.346022304408635</v>
      </c>
      <c r="F57" s="34">
        <f t="shared" si="8"/>
        <v>1.3791594930279794</v>
      </c>
      <c r="G57" s="34">
        <f t="shared" si="8"/>
        <v>1.3262631202056154</v>
      </c>
      <c r="H57" s="34">
        <f t="shared" si="8"/>
        <v>1.3960002720243607</v>
      </c>
      <c r="I57" s="34">
        <f t="shared" si="8"/>
        <v>1.4358129552779264</v>
      </c>
      <c r="J57" s="34">
        <f t="shared" si="8"/>
        <v>1.3583903887765414</v>
      </c>
      <c r="K57" s="34">
        <f t="shared" si="8"/>
        <v>0.67035998451614454</v>
      </c>
    </row>
    <row r="58" spans="1:11"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>
      <c r="A59" s="77" t="s">
        <v>72</v>
      </c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1:11">
      <c r="B60" s="22"/>
      <c r="C60" s="22"/>
      <c r="D60" s="12">
        <v>1</v>
      </c>
      <c r="E60" s="12">
        <v>2</v>
      </c>
      <c r="F60" s="12">
        <v>3</v>
      </c>
      <c r="G60" s="12">
        <v>4</v>
      </c>
      <c r="H60" s="12">
        <v>5</v>
      </c>
      <c r="I60" s="12">
        <v>6</v>
      </c>
      <c r="J60" s="12">
        <v>7</v>
      </c>
      <c r="K60" s="12">
        <v>8</v>
      </c>
    </row>
    <row r="61" spans="1:11">
      <c r="B61" s="79" t="s">
        <v>76</v>
      </c>
      <c r="C61" s="79"/>
      <c r="D61" s="41">
        <f>Messaufbau_Messdaten!J30</f>
        <v>1.2590000000000001</v>
      </c>
      <c r="E61" s="41">
        <f>Messaufbau_Messdaten!K30</f>
        <v>1.8940000000000001</v>
      </c>
      <c r="F61" s="41">
        <f>Messaufbau_Messdaten!L30</f>
        <v>2.3340000000000001</v>
      </c>
      <c r="G61" s="41">
        <f>Messaufbau_Messdaten!M30</f>
        <v>1.661</v>
      </c>
      <c r="H61" s="41">
        <f>Messaufbau_Messdaten!N30</f>
        <v>2.399</v>
      </c>
      <c r="I61" s="41">
        <f>Messaufbau_Messdaten!O30</f>
        <v>1.851</v>
      </c>
      <c r="J61" s="41">
        <f>Messaufbau_Messdaten!P30</f>
        <v>2.0550000000000002</v>
      </c>
      <c r="K61" s="41">
        <f>Messaufbau_Messdaten!Q30</f>
        <v>1.5740000000000001</v>
      </c>
    </row>
    <row r="62" spans="1:11">
      <c r="B62" s="80" t="s">
        <v>75</v>
      </c>
      <c r="C62" s="80"/>
      <c r="D62" s="38">
        <f>SQRT(D55^2+D56^2+D57^2)</f>
        <v>1.2735295003224349</v>
      </c>
      <c r="E62" s="38">
        <f t="shared" ref="E62:K62" si="9">SQRT(E55^2+E56^2+E57^2)</f>
        <v>1.8716565719392855</v>
      </c>
      <c r="F62" s="38">
        <f t="shared" si="9"/>
        <v>2.3074563558548826</v>
      </c>
      <c r="G62" s="38">
        <f t="shared" si="9"/>
        <v>1.6281987810563676</v>
      </c>
      <c r="H62" s="38">
        <f t="shared" si="9"/>
        <v>2.3751260044406988</v>
      </c>
      <c r="I62" s="38">
        <f t="shared" si="9"/>
        <v>1.8874603597935455</v>
      </c>
      <c r="J62" s="38">
        <f t="shared" si="9"/>
        <v>2.0308631907529309</v>
      </c>
      <c r="K62" s="38">
        <f t="shared" si="9"/>
        <v>1.5781675388989942</v>
      </c>
    </row>
    <row r="63" spans="1:11">
      <c r="B63" s="80" t="s">
        <v>74</v>
      </c>
      <c r="C63" s="80"/>
      <c r="D63" s="38">
        <f>D62-D61</f>
        <v>1.452950032243483E-2</v>
      </c>
      <c r="E63" s="38">
        <f t="shared" ref="E63:K63" si="10">E62-E61</f>
        <v>-2.2343428060714654E-2</v>
      </c>
      <c r="F63" s="38">
        <f t="shared" si="10"/>
        <v>-2.6543644145117451E-2</v>
      </c>
      <c r="G63" s="38">
        <f t="shared" si="10"/>
        <v>-3.2801218943632415E-2</v>
      </c>
      <c r="H63" s="38">
        <f t="shared" si="10"/>
        <v>-2.3873995559301253E-2</v>
      </c>
      <c r="I63" s="38">
        <f t="shared" si="10"/>
        <v>3.646035979354556E-2</v>
      </c>
      <c r="J63" s="38">
        <f t="shared" si="10"/>
        <v>-2.4136809247069291E-2</v>
      </c>
      <c r="K63" s="38">
        <f t="shared" si="10"/>
        <v>4.1675388989941275E-3</v>
      </c>
    </row>
    <row r="64" spans="1:11">
      <c r="B64" s="81" t="s">
        <v>73</v>
      </c>
      <c r="C64" s="81"/>
      <c r="D64" s="42">
        <f>1-D61/D62</f>
        <v>1.1408844725431355E-2</v>
      </c>
      <c r="E64" s="42">
        <f t="shared" ref="E64:K64" si="11">1-E61/E62</f>
        <v>-1.193778196048223E-2</v>
      </c>
      <c r="F64" s="42">
        <f t="shared" si="11"/>
        <v>-1.1503421972756334E-2</v>
      </c>
      <c r="G64" s="42">
        <f t="shared" si="11"/>
        <v>-2.014570906529678E-2</v>
      </c>
      <c r="H64" s="42">
        <f t="shared" si="11"/>
        <v>-1.0051675369923352E-2</v>
      </c>
      <c r="I64" s="42">
        <f t="shared" si="11"/>
        <v>1.9317152598390841E-2</v>
      </c>
      <c r="J64" s="42">
        <f t="shared" si="11"/>
        <v>-1.1885000110775978E-2</v>
      </c>
      <c r="K64" s="42">
        <f t="shared" si="11"/>
        <v>2.640745545876344E-3</v>
      </c>
    </row>
    <row r="65" spans="4:11">
      <c r="D65">
        <f>D63*D63</f>
        <v>2.1110637961963382E-4</v>
      </c>
      <c r="E65">
        <f t="shared" ref="E65:K65" si="12">E63*E63</f>
        <v>4.9922877750433099E-4</v>
      </c>
      <c r="F65">
        <f t="shared" si="12"/>
        <v>7.0456504450262792E-4</v>
      </c>
      <c r="G65">
        <f t="shared" si="12"/>
        <v>1.07591996418811E-3</v>
      </c>
      <c r="H65">
        <f t="shared" si="12"/>
        <v>5.6996766396553598E-4</v>
      </c>
      <c r="I65">
        <f t="shared" si="12"/>
        <v>1.3293578362747937E-3</v>
      </c>
      <c r="J65">
        <f t="shared" si="12"/>
        <v>5.8258556062940959E-4</v>
      </c>
      <c r="K65">
        <f t="shared" si="12"/>
        <v>1.7368380474629186E-5</v>
      </c>
    </row>
  </sheetData>
  <mergeCells count="11">
    <mergeCell ref="B61:C61"/>
    <mergeCell ref="B62:C62"/>
    <mergeCell ref="B63:C63"/>
    <mergeCell ref="B64:C64"/>
    <mergeCell ref="A2:K2"/>
    <mergeCell ref="A59:K59"/>
    <mergeCell ref="M38:M43"/>
    <mergeCell ref="M16:M22"/>
    <mergeCell ref="A24:K24"/>
    <mergeCell ref="A48:K48"/>
    <mergeCell ref="A53:K53"/>
  </mergeCells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/>
  <dimension ref="A2:ID43"/>
  <sheetViews>
    <sheetView tabSelected="1" topLeftCell="A7" zoomScale="115" zoomScaleNormal="115" workbookViewId="0">
      <selection activeCell="N25" sqref="N25"/>
    </sheetView>
  </sheetViews>
  <sheetFormatPr baseColWidth="10" defaultRowHeight="15"/>
  <sheetData>
    <row r="2" spans="1:13">
      <c r="A2" s="77" t="s">
        <v>115</v>
      </c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3">
      <c r="A3" s="21"/>
      <c r="B3" s="31">
        <v>0.77</v>
      </c>
      <c r="C3" s="31">
        <v>0</v>
      </c>
      <c r="D3" s="23">
        <v>0</v>
      </c>
      <c r="E3" s="26"/>
      <c r="F3" s="30" t="s">
        <v>51</v>
      </c>
      <c r="G3" s="21"/>
      <c r="H3" s="32" t="s">
        <v>48</v>
      </c>
    </row>
    <row r="4" spans="1:13">
      <c r="A4" s="21"/>
      <c r="B4" s="31">
        <v>0</v>
      </c>
      <c r="C4" s="31">
        <v>0.77</v>
      </c>
      <c r="D4" s="23">
        <v>0</v>
      </c>
      <c r="E4" s="29" t="s">
        <v>68</v>
      </c>
      <c r="F4" s="30" t="s">
        <v>50</v>
      </c>
      <c r="G4" s="64" t="s">
        <v>27</v>
      </c>
      <c r="H4" s="32" t="s">
        <v>46</v>
      </c>
    </row>
    <row r="5" spans="1:13">
      <c r="A5" s="21"/>
      <c r="B5" s="31">
        <v>0</v>
      </c>
      <c r="C5" s="31">
        <v>0</v>
      </c>
      <c r="D5" s="23">
        <v>0.8</v>
      </c>
      <c r="E5" s="26"/>
      <c r="F5" s="30" t="s">
        <v>55</v>
      </c>
      <c r="G5" s="21"/>
      <c r="H5" s="32" t="s">
        <v>45</v>
      </c>
    </row>
    <row r="6" spans="1:13">
      <c r="A6" s="2"/>
      <c r="B6" s="36"/>
      <c r="C6" s="36"/>
      <c r="D6" s="71"/>
      <c r="E6" s="2"/>
      <c r="F6" s="73"/>
      <c r="G6" s="2"/>
      <c r="H6" s="71"/>
    </row>
    <row r="7" spans="1:13">
      <c r="B7" s="75" t="s">
        <v>114</v>
      </c>
      <c r="C7" s="75"/>
      <c r="D7" s="75"/>
      <c r="E7" s="72" t="s">
        <v>68</v>
      </c>
      <c r="F7" s="69" t="s">
        <v>59</v>
      </c>
      <c r="G7" s="72" t="s">
        <v>27</v>
      </c>
      <c r="H7" s="70" t="s">
        <v>113</v>
      </c>
      <c r="I7" s="17"/>
    </row>
    <row r="8" spans="1:13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</row>
    <row r="9" spans="1:13">
      <c r="A9" s="77" t="s">
        <v>119</v>
      </c>
      <c r="B9" s="77"/>
      <c r="C9" s="77"/>
      <c r="D9" s="77"/>
      <c r="E9" s="77"/>
      <c r="F9" s="77"/>
      <c r="G9" s="77"/>
      <c r="H9" s="77"/>
      <c r="I9" s="77"/>
      <c r="J9" s="77"/>
      <c r="K9" s="77"/>
    </row>
    <row r="10" spans="1:13">
      <c r="B10" s="22"/>
      <c r="C10" s="22"/>
      <c r="D10" s="12">
        <v>1</v>
      </c>
      <c r="E10" s="12">
        <v>2</v>
      </c>
      <c r="F10" s="12">
        <v>3</v>
      </c>
      <c r="G10" s="12">
        <v>4</v>
      </c>
      <c r="H10" s="12">
        <v>5</v>
      </c>
      <c r="I10" s="12">
        <v>6</v>
      </c>
      <c r="J10" s="12">
        <v>7</v>
      </c>
      <c r="K10" s="12">
        <v>8</v>
      </c>
    </row>
    <row r="11" spans="1:13">
      <c r="B11" t="s">
        <v>116</v>
      </c>
      <c r="D11" s="40">
        <f t="shared" ref="D11:K13" si="0">INDEX(MMULT($B$3:$D$5,D$18:D$20),ROW(A1))</f>
        <v>0.36899026901232779</v>
      </c>
      <c r="E11" s="40">
        <f t="shared" si="0"/>
        <v>-0.59649394925779853</v>
      </c>
      <c r="F11" s="40">
        <f t="shared" si="0"/>
        <v>1.1712628398783298</v>
      </c>
      <c r="G11" s="40">
        <f t="shared" si="0"/>
        <v>-0.71120197140404484</v>
      </c>
      <c r="H11" s="40">
        <f t="shared" si="0"/>
        <v>1.4794094563027429</v>
      </c>
      <c r="I11" s="40">
        <f t="shared" si="0"/>
        <v>-0.42808172119826038</v>
      </c>
      <c r="J11" s="40">
        <f t="shared" si="0"/>
        <v>0.81841763824108571</v>
      </c>
      <c r="K11" s="40">
        <f t="shared" si="0"/>
        <v>0.34938783058863671</v>
      </c>
      <c r="M11" s="33"/>
    </row>
    <row r="12" spans="1:13">
      <c r="B12" t="s">
        <v>117</v>
      </c>
      <c r="D12" s="40">
        <f t="shared" si="0"/>
        <v>-0.77925436805870341</v>
      </c>
      <c r="E12" s="40">
        <f t="shared" si="0"/>
        <v>-0.80434997362287264</v>
      </c>
      <c r="F12" s="40">
        <f t="shared" si="0"/>
        <v>-0.81068426978662689</v>
      </c>
      <c r="G12" s="40">
        <f t="shared" si="0"/>
        <v>-0.15196149507388176</v>
      </c>
      <c r="H12" s="40">
        <f t="shared" si="0"/>
        <v>2.4000464668363787E-2</v>
      </c>
      <c r="I12" s="40">
        <f t="shared" si="0"/>
        <v>0.84062961146326609</v>
      </c>
      <c r="J12" s="40">
        <f t="shared" si="0"/>
        <v>0.82554167512759768</v>
      </c>
      <c r="K12" s="40">
        <f t="shared" si="0"/>
        <v>1.0431555973722477</v>
      </c>
      <c r="M12" s="33"/>
    </row>
    <row r="13" spans="1:13">
      <c r="B13" t="s">
        <v>118</v>
      </c>
      <c r="D13" s="40">
        <f t="shared" si="0"/>
        <v>0.48534039469457019</v>
      </c>
      <c r="E13" s="40">
        <f t="shared" si="0"/>
        <v>1.0768179344776232</v>
      </c>
      <c r="F13" s="40">
        <f t="shared" si="0"/>
        <v>1.1033277611497334</v>
      </c>
      <c r="G13" s="40">
        <f t="shared" si="0"/>
        <v>1.0610104775930136</v>
      </c>
      <c r="H13" s="40">
        <f t="shared" si="0"/>
        <v>1.1167999867360103</v>
      </c>
      <c r="I13" s="40">
        <f t="shared" si="0"/>
        <v>1.1486501038695196</v>
      </c>
      <c r="J13" s="40">
        <f t="shared" si="0"/>
        <v>1.086712076612425</v>
      </c>
      <c r="K13" s="40">
        <f t="shared" si="0"/>
        <v>0.53628776615435059</v>
      </c>
      <c r="M13" s="33"/>
    </row>
    <row r="14" spans="1:13">
      <c r="B14" t="s">
        <v>79</v>
      </c>
      <c r="D14" s="43">
        <f t="shared" ref="D14:K14" si="1">(D$11-D$22)^2+(D$12-D$23)^2+(D$13-D$24)^2</f>
        <v>1.9991174744988518E-13</v>
      </c>
      <c r="E14" s="43">
        <f t="shared" si="1"/>
        <v>7.5637057587059667E-15</v>
      </c>
      <c r="F14" s="43">
        <f t="shared" si="1"/>
        <v>5.6559489366726085E-13</v>
      </c>
      <c r="G14" s="43">
        <f t="shared" si="1"/>
        <v>1.3440683426918248E-15</v>
      </c>
      <c r="H14" s="43">
        <f t="shared" si="1"/>
        <v>5.60294955395223E-13</v>
      </c>
      <c r="I14" s="43">
        <f t="shared" si="1"/>
        <v>3.5680882109051077E-13</v>
      </c>
      <c r="J14" s="43">
        <f t="shared" si="1"/>
        <v>4.156686287616834E-13</v>
      </c>
      <c r="K14" s="43">
        <f t="shared" si="1"/>
        <v>2.45493104813483E-13</v>
      </c>
    </row>
    <row r="15" spans="1:13">
      <c r="D15" s="33"/>
      <c r="E15" s="33"/>
      <c r="F15" s="2"/>
      <c r="G15" s="2"/>
      <c r="H15" s="2"/>
    </row>
    <row r="16" spans="1:13">
      <c r="A16" s="77" t="s">
        <v>71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</row>
    <row r="17" spans="1:238">
      <c r="B17" s="22"/>
      <c r="C17" s="22"/>
      <c r="D17" s="12">
        <v>1</v>
      </c>
      <c r="E17" s="12">
        <v>2</v>
      </c>
      <c r="F17" s="12">
        <v>3</v>
      </c>
      <c r="G17" s="12">
        <v>4</v>
      </c>
      <c r="H17" s="12">
        <v>5</v>
      </c>
      <c r="I17" s="12">
        <v>6</v>
      </c>
      <c r="J17" s="12">
        <v>7</v>
      </c>
      <c r="K17" s="12">
        <v>8</v>
      </c>
    </row>
    <row r="18" spans="1:238">
      <c r="B18" s="2"/>
      <c r="C18" s="2"/>
      <c r="D18" s="67">
        <v>0.47920814157445163</v>
      </c>
      <c r="E18" s="67">
        <v>-0.77466746656856955</v>
      </c>
      <c r="F18" s="67">
        <v>1.5211205712705582</v>
      </c>
      <c r="G18" s="67">
        <v>-0.92363892390135693</v>
      </c>
      <c r="H18" s="67">
        <v>1.9213109822113543</v>
      </c>
      <c r="I18" s="67">
        <v>-0.55595028727046802</v>
      </c>
      <c r="J18" s="67">
        <v>1.0628800496637476</v>
      </c>
      <c r="K18" s="67">
        <v>0.45375042933589183</v>
      </c>
      <c r="M18" s="68">
        <f ca="1">RAND()-RAND()</f>
        <v>0.3078668767290742</v>
      </c>
      <c r="ID18">
        <v>0</v>
      </c>
    </row>
    <row r="19" spans="1:238">
      <c r="B19" s="17" t="s">
        <v>120</v>
      </c>
      <c r="C19" s="2" t="s">
        <v>27</v>
      </c>
      <c r="D19" s="67">
        <v>-1.012018659816498</v>
      </c>
      <c r="E19" s="67">
        <v>-1.04461035535438</v>
      </c>
      <c r="F19" s="67">
        <v>-1.0528367140086063</v>
      </c>
      <c r="G19" s="67">
        <v>-0.19735259100504124</v>
      </c>
      <c r="H19" s="67">
        <v>3.1169434634238682E-2</v>
      </c>
      <c r="I19" s="67">
        <v>1.0917267681341118</v>
      </c>
      <c r="J19" s="67">
        <v>1.0721320456202568</v>
      </c>
      <c r="K19" s="67">
        <v>1.3547475290548672</v>
      </c>
      <c r="M19" s="68">
        <f t="shared" ref="M19" ca="1" si="2">RAND()-RAND()</f>
        <v>-6.5572014866428496E-2</v>
      </c>
    </row>
    <row r="20" spans="1:238">
      <c r="C20" s="2"/>
      <c r="D20" s="67">
        <v>0.60667549336821269</v>
      </c>
      <c r="E20" s="67">
        <v>1.3460224180970288</v>
      </c>
      <c r="F20" s="67">
        <v>1.3791597014371668</v>
      </c>
      <c r="G20" s="67">
        <v>1.326263096991267</v>
      </c>
      <c r="H20" s="67">
        <v>1.3959999834200127</v>
      </c>
      <c r="I20" s="67">
        <v>1.4358126298368994</v>
      </c>
      <c r="J20" s="67">
        <v>1.3583900957655313</v>
      </c>
      <c r="K20" s="67">
        <v>0.67035970769293818</v>
      </c>
      <c r="M20" s="68">
        <f ca="1">IF(RAND()-RAND()&lt;0,-1*RAND()-RAND(),RAND()-RAND())</f>
        <v>-1.3510373698399407</v>
      </c>
      <c r="ID20">
        <v>0</v>
      </c>
    </row>
    <row r="21" spans="1:238">
      <c r="C21" s="2"/>
      <c r="D21" s="2"/>
      <c r="E21" s="2"/>
      <c r="F21" s="2"/>
      <c r="G21" s="2"/>
      <c r="H21" s="2"/>
      <c r="I21" s="2"/>
      <c r="J21" s="2"/>
      <c r="K21" s="2"/>
    </row>
    <row r="22" spans="1:238">
      <c r="C22" s="2"/>
      <c r="D22" s="33">
        <f>((Messaufbau_Messdaten!J$30)^2-(Messaufbau_Messdaten!J27)^2+(Messaufbau_Messdaten!$I$35)^2)/2</f>
        <v>0.3689905</v>
      </c>
      <c r="E22" s="33">
        <v>-0.59649400000000019</v>
      </c>
      <c r="F22" s="33">
        <f>((Messaufbau_Messdaten!L$30)^2-(Messaufbau_Messdaten!L27)^2+(Messaufbau_Messdaten!$I$35)^2)/2</f>
        <v>1.1712635000000002</v>
      </c>
      <c r="G22" s="33">
        <f>((Messaufbau_Messdaten!M$30)^2-(Messaufbau_Messdaten!M27)^2+(Messaufbau_Messdaten!$I$35)^2)/2</f>
        <v>-0.71120200000000022</v>
      </c>
      <c r="H22" s="33">
        <f>((Messaufbau_Messdaten!N$30)^2-(Messaufbau_Messdaten!N27)^2+(Messaufbau_Messdaten!$I$35)^2)/2</f>
        <v>1.4794100000000001</v>
      </c>
      <c r="I22" s="33">
        <f>((Messaufbau_Messdaten!O$30)^2-(Messaufbau_Messdaten!O27)^2+(Messaufbau_Messdaten!$I$35)^2)/2</f>
        <v>-0.42808150000000034</v>
      </c>
      <c r="J22" s="33">
        <f>((Messaufbau_Messdaten!P$30)^2-(Messaufbau_Messdaten!P27)^2+(Messaufbau_Messdaten!$I$35)^2)/2</f>
        <v>0.81841799999999998</v>
      </c>
      <c r="K22" s="33">
        <f>((Messaufbau_Messdaten!Q$30)^2-(Messaufbau_Messdaten!Q27)^2+(Messaufbau_Messdaten!$I$35)^2)/2</f>
        <v>0.34938800000000014</v>
      </c>
      <c r="O22" s="37"/>
    </row>
    <row r="23" spans="1:238">
      <c r="B23" s="17" t="s">
        <v>121</v>
      </c>
      <c r="C23" s="2" t="s">
        <v>27</v>
      </c>
      <c r="D23" s="33">
        <f>((Messaufbau_Messdaten!J$30)^2-(Messaufbau_Messdaten!J28)^2+(Messaufbau_Messdaten!$I$41)^2)/2</f>
        <v>-0.779254</v>
      </c>
      <c r="E23" s="33">
        <v>-0.80435000000000023</v>
      </c>
      <c r="F23" s="33">
        <f>((Messaufbau_Messdaten!L$30)^2-(Messaufbau_Messdaten!L28)^2+(Messaufbau_Messdaten!$I$41)^2)/2</f>
        <v>-0.81068400000000029</v>
      </c>
      <c r="G23" s="33">
        <f>((Messaufbau_Messdaten!M$30)^2-(Messaufbau_Messdaten!M28)^2+(Messaufbau_Messdaten!$I$41)^2)/2</f>
        <v>-0.15196150000000042</v>
      </c>
      <c r="H23" s="33">
        <f>((Messaufbau_Messdaten!N$30)^2-(Messaufbau_Messdaten!N28)^2+(Messaufbau_Messdaten!$I$41)^2)/2</f>
        <v>2.4000499999999536E-2</v>
      </c>
      <c r="I23" s="33">
        <f>((Messaufbau_Messdaten!O$30)^2-(Messaufbau_Messdaten!O28)^2+(Messaufbau_Messdaten!$I$41)^2)/2</f>
        <v>0.84062999999999966</v>
      </c>
      <c r="J23" s="33">
        <f>((Messaufbau_Messdaten!P$30)^2-(Messaufbau_Messdaten!P28)^2+(Messaufbau_Messdaten!$I$41)^2)/2</f>
        <v>0.82554200000000011</v>
      </c>
      <c r="K23" s="33">
        <f>((Messaufbau_Messdaten!Q$30)^2-(Messaufbau_Messdaten!Q28)^2+(Messaufbau_Messdaten!$I$41)^2)/2</f>
        <v>1.0431560000000002</v>
      </c>
      <c r="O23" s="37"/>
    </row>
    <row r="24" spans="1:238">
      <c r="C24" s="2"/>
      <c r="D24" s="33">
        <f>((Messaufbau_Messdaten!J$30)^2-(Messaufbau_Messdaten!J29)^2+(Messaufbau_Messdaten!$I$43)^2)/2</f>
        <v>0.48534050000000017</v>
      </c>
      <c r="E24" s="33">
        <v>1.0768180000000001</v>
      </c>
      <c r="F24" s="33">
        <f>((Messaufbau_Messdaten!L$30)^2-(Messaufbau_Messdaten!L29)^2+(Messaufbau_Messdaten!$I$43)^2)/2</f>
        <v>1.1033280000000003</v>
      </c>
      <c r="G24" s="33">
        <f>((Messaufbau_Messdaten!M$30)^2-(Messaufbau_Messdaten!M29)^2+(Messaufbau_Messdaten!$I$43)^2)/2</f>
        <v>1.0610104999999999</v>
      </c>
      <c r="H24" s="33">
        <f>((Messaufbau_Messdaten!N$30)^2-(Messaufbau_Messdaten!N29)^2+(Messaufbau_Messdaten!$I$43)^2)/2</f>
        <v>1.1168005000000003</v>
      </c>
      <c r="I24" s="33">
        <f>((Messaufbau_Messdaten!O$30)^2-(Messaufbau_Messdaten!O29)^2+(Messaufbau_Messdaten!$I$43)^2)/2</f>
        <v>1.1486505</v>
      </c>
      <c r="J24" s="33">
        <f>((Messaufbau_Messdaten!P$30)^2-(Messaufbau_Messdaten!P29)^2+(Messaufbau_Messdaten!$I$43)^2)/2</f>
        <v>1.0867125000000002</v>
      </c>
      <c r="K24" s="33">
        <f>((Messaufbau_Messdaten!Q$30)^2-(Messaufbau_Messdaten!Q29)^2+(Messaufbau_Messdaten!$I$43)^2)/2</f>
        <v>0.53628799999999988</v>
      </c>
    </row>
    <row r="25" spans="1:238">
      <c r="C25" s="2"/>
      <c r="D25" s="2"/>
      <c r="E25" s="2"/>
      <c r="F25" s="2"/>
      <c r="G25" s="2"/>
      <c r="H25" s="2"/>
      <c r="I25" s="2"/>
      <c r="J25" s="2"/>
      <c r="K25" s="2"/>
    </row>
    <row r="26" spans="1:238">
      <c r="A26" s="77" t="s">
        <v>67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1:238">
      <c r="B27" t="s">
        <v>56</v>
      </c>
      <c r="C27" s="2" t="s">
        <v>27</v>
      </c>
      <c r="D27" s="2">
        <v>0</v>
      </c>
      <c r="E27" s="2"/>
      <c r="F27" s="2"/>
      <c r="G27" s="2"/>
      <c r="H27" s="2"/>
      <c r="I27" s="2"/>
      <c r="J27" s="2"/>
      <c r="K27" s="2"/>
    </row>
    <row r="28" spans="1:238">
      <c r="B28" t="s">
        <v>57</v>
      </c>
      <c r="C28" s="2" t="s">
        <v>27</v>
      </c>
      <c r="D28" s="2">
        <v>0</v>
      </c>
      <c r="E28" s="2"/>
      <c r="F28" s="2"/>
      <c r="G28" s="2"/>
      <c r="H28" s="2"/>
      <c r="I28" s="2"/>
      <c r="J28" s="2"/>
      <c r="K28" s="2"/>
    </row>
    <row r="29" spans="1:238">
      <c r="B29" t="s">
        <v>58</v>
      </c>
      <c r="C29" s="2" t="s">
        <v>27</v>
      </c>
      <c r="D29" s="2">
        <v>0</v>
      </c>
      <c r="E29" s="2"/>
      <c r="F29" s="2"/>
      <c r="G29" s="2"/>
      <c r="H29" s="2"/>
      <c r="I29" s="2"/>
      <c r="J29" s="2"/>
      <c r="K29" s="2"/>
    </row>
    <row r="30" spans="1:238">
      <c r="C30" s="2"/>
      <c r="D30" s="2"/>
      <c r="E30" s="2"/>
      <c r="F30" s="2"/>
      <c r="G30" s="2"/>
      <c r="H30" s="2"/>
      <c r="I30" s="2"/>
      <c r="J30" s="2"/>
      <c r="K30" s="2"/>
    </row>
    <row r="31" spans="1:238">
      <c r="A31" s="77" t="s">
        <v>69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1:238">
      <c r="A32" s="25"/>
      <c r="B32" s="22"/>
      <c r="C32" s="22"/>
      <c r="D32" s="12">
        <v>1</v>
      </c>
      <c r="E32" s="12">
        <v>2</v>
      </c>
      <c r="F32" s="12">
        <v>3</v>
      </c>
      <c r="G32" s="12">
        <v>4</v>
      </c>
      <c r="H32" s="12">
        <v>5</v>
      </c>
      <c r="I32" s="12">
        <v>6</v>
      </c>
      <c r="J32" s="12">
        <v>7</v>
      </c>
      <c r="K32" s="12">
        <v>8</v>
      </c>
    </row>
    <row r="33" spans="1:11">
      <c r="B33" s="28" t="s">
        <v>120</v>
      </c>
      <c r="C33" s="28" t="s">
        <v>27</v>
      </c>
      <c r="D33" s="34">
        <f t="shared" ref="D33:K33" si="3">D18+$D$27</f>
        <v>0.47920814157445163</v>
      </c>
      <c r="E33" s="34">
        <f t="shared" si="3"/>
        <v>-0.77466746656856955</v>
      </c>
      <c r="F33" s="34">
        <f t="shared" si="3"/>
        <v>1.5211205712705582</v>
      </c>
      <c r="G33" s="34">
        <f t="shared" si="3"/>
        <v>-0.92363892390135693</v>
      </c>
      <c r="H33" s="34">
        <f t="shared" si="3"/>
        <v>1.9213109822113543</v>
      </c>
      <c r="I33" s="34">
        <f t="shared" si="3"/>
        <v>-0.55595028727046802</v>
      </c>
      <c r="J33" s="34">
        <f t="shared" si="3"/>
        <v>1.0628800496637476</v>
      </c>
      <c r="K33" s="34">
        <f t="shared" si="3"/>
        <v>0.45375042933589183</v>
      </c>
    </row>
    <row r="34" spans="1:11">
      <c r="B34" s="28" t="s">
        <v>122</v>
      </c>
      <c r="C34" s="28" t="s">
        <v>27</v>
      </c>
      <c r="D34" s="34">
        <f t="shared" ref="D34:E34" si="4">D19+$D$27</f>
        <v>-1.012018659816498</v>
      </c>
      <c r="E34" s="34">
        <f t="shared" si="4"/>
        <v>-1.04461035535438</v>
      </c>
      <c r="F34" s="34">
        <f t="shared" ref="F34:K35" si="5">F19+$D$27</f>
        <v>-1.0528367140086063</v>
      </c>
      <c r="G34" s="34">
        <f t="shared" si="5"/>
        <v>-0.19735259100504124</v>
      </c>
      <c r="H34" s="34">
        <f t="shared" si="5"/>
        <v>3.1169434634238682E-2</v>
      </c>
      <c r="I34" s="34">
        <f t="shared" si="5"/>
        <v>1.0917267681341118</v>
      </c>
      <c r="J34" s="34">
        <f t="shared" si="5"/>
        <v>1.0721320456202568</v>
      </c>
      <c r="K34" s="34">
        <f t="shared" si="5"/>
        <v>1.3547475290548672</v>
      </c>
    </row>
    <row r="35" spans="1:11">
      <c r="B35" s="28" t="s">
        <v>123</v>
      </c>
      <c r="C35" s="28" t="s">
        <v>27</v>
      </c>
      <c r="D35" s="34">
        <f t="shared" ref="D35:E35" si="6">D20+$D$27</f>
        <v>0.60667549336821269</v>
      </c>
      <c r="E35" s="34">
        <f t="shared" si="6"/>
        <v>1.3460224180970288</v>
      </c>
      <c r="F35" s="34">
        <f t="shared" si="5"/>
        <v>1.3791597014371668</v>
      </c>
      <c r="G35" s="34">
        <f t="shared" si="5"/>
        <v>1.326263096991267</v>
      </c>
      <c r="H35" s="34">
        <f t="shared" si="5"/>
        <v>1.3959999834200127</v>
      </c>
      <c r="I35" s="34">
        <f t="shared" si="5"/>
        <v>1.4358126298368994</v>
      </c>
      <c r="J35" s="34">
        <f t="shared" si="5"/>
        <v>1.3583900957655313</v>
      </c>
      <c r="K35" s="34">
        <f t="shared" si="5"/>
        <v>0.67035970769293818</v>
      </c>
    </row>
    <row r="36" spans="1:11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>
      <c r="A37" s="77" t="s">
        <v>72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1:11">
      <c r="B38" s="22"/>
      <c r="C38" s="22"/>
      <c r="D38" s="12">
        <v>1</v>
      </c>
      <c r="E38" s="12">
        <v>2</v>
      </c>
      <c r="F38" s="12">
        <v>3</v>
      </c>
      <c r="G38" s="12">
        <v>4</v>
      </c>
      <c r="H38" s="12">
        <v>5</v>
      </c>
      <c r="I38" s="12">
        <v>6</v>
      </c>
      <c r="J38" s="12">
        <v>7</v>
      </c>
      <c r="K38" s="12">
        <v>8</v>
      </c>
    </row>
    <row r="39" spans="1:11">
      <c r="B39" s="79" t="s">
        <v>76</v>
      </c>
      <c r="C39" s="79"/>
      <c r="D39" s="41">
        <f>Messaufbau_Messdaten!J30</f>
        <v>1.2590000000000001</v>
      </c>
      <c r="E39" s="41">
        <f>Messaufbau_Messdaten!K30</f>
        <v>1.8940000000000001</v>
      </c>
      <c r="F39" s="41">
        <f>Messaufbau_Messdaten!L30</f>
        <v>2.3340000000000001</v>
      </c>
      <c r="G39" s="41">
        <f>Messaufbau_Messdaten!M30</f>
        <v>1.661</v>
      </c>
      <c r="H39" s="41">
        <f>Messaufbau_Messdaten!N30</f>
        <v>2.399</v>
      </c>
      <c r="I39" s="41">
        <f>Messaufbau_Messdaten!O30</f>
        <v>1.851</v>
      </c>
      <c r="J39" s="41">
        <f>Messaufbau_Messdaten!P30</f>
        <v>2.0550000000000002</v>
      </c>
      <c r="K39" s="41">
        <f>Messaufbau_Messdaten!Q30</f>
        <v>1.5740000000000001</v>
      </c>
    </row>
    <row r="40" spans="1:11">
      <c r="B40" s="80" t="s">
        <v>75</v>
      </c>
      <c r="C40" s="80"/>
      <c r="D40" s="38">
        <f>SQRT(D33^2+D34^2+D35^2)</f>
        <v>1.2735294912256978</v>
      </c>
      <c r="E40" s="38">
        <f t="shared" ref="E40:K40" si="7">SQRT(E33^2+E34^2+E35^2)</f>
        <v>1.8716561725629905</v>
      </c>
      <c r="F40" s="38">
        <f t="shared" si="7"/>
        <v>2.3074562662757367</v>
      </c>
      <c r="G40" s="38">
        <f t="shared" si="7"/>
        <v>1.6281986086970244</v>
      </c>
      <c r="H40" s="38">
        <f t="shared" si="7"/>
        <v>2.3751259709181856</v>
      </c>
      <c r="I40" s="38">
        <f t="shared" si="7"/>
        <v>1.8874601892956104</v>
      </c>
      <c r="J40" s="38">
        <f t="shared" si="7"/>
        <v>2.0308630617284309</v>
      </c>
      <c r="K40" s="38">
        <f t="shared" si="7"/>
        <v>1.5781674363960676</v>
      </c>
    </row>
    <row r="41" spans="1:11">
      <c r="B41" s="80" t="s">
        <v>74</v>
      </c>
      <c r="C41" s="80"/>
      <c r="D41" s="38">
        <f>D40-D39</f>
        <v>1.4529491225697688E-2</v>
      </c>
      <c r="E41" s="38">
        <f t="shared" ref="E41:K41" si="8">E40-E39</f>
        <v>-2.2343827437009578E-2</v>
      </c>
      <c r="F41" s="38">
        <f t="shared" si="8"/>
        <v>-2.654373372426333E-2</v>
      </c>
      <c r="G41" s="38">
        <f t="shared" si="8"/>
        <v>-3.2801391302975658E-2</v>
      </c>
      <c r="H41" s="38">
        <f t="shared" si="8"/>
        <v>-2.3874029081814463E-2</v>
      </c>
      <c r="I41" s="38">
        <f t="shared" si="8"/>
        <v>3.6460189295610457E-2</v>
      </c>
      <c r="J41" s="38">
        <f t="shared" si="8"/>
        <v>-2.4136938271569264E-2</v>
      </c>
      <c r="K41" s="38">
        <f t="shared" si="8"/>
        <v>4.1674363960675365E-3</v>
      </c>
    </row>
    <row r="42" spans="1:11">
      <c r="B42" s="81" t="s">
        <v>73</v>
      </c>
      <c r="C42" s="81"/>
      <c r="D42" s="42">
        <f>1-D39/D40</f>
        <v>1.1408837663989924E-2</v>
      </c>
      <c r="E42" s="42">
        <f t="shared" ref="E42:K42" si="9">1-E39/E40</f>
        <v>-1.1937997889009955E-2</v>
      </c>
      <c r="F42" s="42">
        <f t="shared" si="9"/>
        <v>-1.1503461240938373E-2</v>
      </c>
      <c r="G42" s="42">
        <f t="shared" si="9"/>
        <v>-2.0145817056817839E-2</v>
      </c>
      <c r="H42" s="42">
        <f t="shared" si="9"/>
        <v>-1.0051689625786508E-2</v>
      </c>
      <c r="I42" s="42">
        <f t="shared" si="9"/>
        <v>1.9317064011409535E-2</v>
      </c>
      <c r="J42" s="42">
        <f t="shared" si="9"/>
        <v>-1.18850643977082E-2</v>
      </c>
      <c r="K42" s="42">
        <f t="shared" si="9"/>
        <v>2.640680766791359E-3</v>
      </c>
    </row>
    <row r="43" spans="1:11">
      <c r="B43" s="83" t="s">
        <v>112</v>
      </c>
      <c r="C43" s="83"/>
      <c r="D43" s="44">
        <f>D41*D41</f>
        <v>2.1110611527762612E-4</v>
      </c>
      <c r="E43" s="44">
        <f t="shared" ref="E43:K43" si="10">E41*E41</f>
        <v>4.9924662453486204E-4</v>
      </c>
      <c r="F43" s="44">
        <f t="shared" si="10"/>
        <v>7.0456980002459437E-4</v>
      </c>
      <c r="G43" s="44">
        <f t="shared" si="10"/>
        <v>1.0759312714109272E-3</v>
      </c>
      <c r="H43" s="44">
        <f t="shared" si="10"/>
        <v>5.6996926459932274E-4</v>
      </c>
      <c r="I43" s="44">
        <f t="shared" si="10"/>
        <v>1.3293454034717473E-3</v>
      </c>
      <c r="J43" s="44">
        <f t="shared" si="10"/>
        <v>5.82591789125545E-4</v>
      </c>
      <c r="K43" s="44">
        <f t="shared" si="10"/>
        <v>1.7367526115268377E-5</v>
      </c>
    </row>
  </sheetData>
  <mergeCells count="13">
    <mergeCell ref="B39:C39"/>
    <mergeCell ref="B40:C40"/>
    <mergeCell ref="B41:C41"/>
    <mergeCell ref="B42:C42"/>
    <mergeCell ref="B43:C43"/>
    <mergeCell ref="A37:K37"/>
    <mergeCell ref="B7:D7"/>
    <mergeCell ref="A9:K9"/>
    <mergeCell ref="A8:K8"/>
    <mergeCell ref="A2:K2"/>
    <mergeCell ref="A16:K16"/>
    <mergeCell ref="A26:K26"/>
    <mergeCell ref="A31:K31"/>
  </mergeCells>
  <pageMargins left="0.7" right="0.7" top="0.78740157499999996" bottom="0.78740157499999996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Tabelle4"/>
  <dimension ref="A2:K35"/>
  <sheetViews>
    <sheetView zoomScale="115" zoomScaleNormal="115" workbookViewId="0">
      <selection activeCell="D38" sqref="D38"/>
    </sheetView>
  </sheetViews>
  <sheetFormatPr baseColWidth="10" defaultRowHeight="15"/>
  <sheetData>
    <row r="2" spans="1:11">
      <c r="A2" s="77" t="s">
        <v>70</v>
      </c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1">
      <c r="A3" s="21"/>
      <c r="B3" s="15">
        <v>0.77</v>
      </c>
      <c r="C3" s="15">
        <v>0</v>
      </c>
      <c r="D3" s="23">
        <v>0</v>
      </c>
      <c r="E3" s="26"/>
      <c r="F3" s="30" t="s">
        <v>51</v>
      </c>
      <c r="G3" s="21"/>
      <c r="H3" s="32" t="s">
        <v>48</v>
      </c>
    </row>
    <row r="4" spans="1:11">
      <c r="A4" s="21"/>
      <c r="B4" s="15">
        <v>0</v>
      </c>
      <c r="C4" s="15">
        <v>0.77</v>
      </c>
      <c r="D4" s="23">
        <v>0</v>
      </c>
      <c r="E4" s="29" t="s">
        <v>68</v>
      </c>
      <c r="F4" s="30" t="s">
        <v>50</v>
      </c>
      <c r="G4" s="21" t="s">
        <v>27</v>
      </c>
      <c r="H4" s="32" t="s">
        <v>46</v>
      </c>
    </row>
    <row r="5" spans="1:11">
      <c r="A5" s="21"/>
      <c r="B5" s="15">
        <v>0</v>
      </c>
      <c r="C5" s="15">
        <v>0</v>
      </c>
      <c r="D5" s="23">
        <v>0.8</v>
      </c>
      <c r="E5" s="26"/>
      <c r="F5" s="30" t="s">
        <v>55</v>
      </c>
      <c r="G5" s="21"/>
      <c r="H5" s="32" t="s">
        <v>45</v>
      </c>
    </row>
    <row r="6" spans="1:11">
      <c r="D6" s="2"/>
      <c r="E6" s="2"/>
      <c r="F6" s="2"/>
      <c r="G6" s="2"/>
      <c r="H6" s="2"/>
    </row>
    <row r="7" spans="1:11">
      <c r="A7" s="77" t="s">
        <v>71</v>
      </c>
      <c r="B7" s="78"/>
      <c r="C7" s="78"/>
      <c r="D7" s="78"/>
      <c r="E7" s="78"/>
      <c r="F7" s="78"/>
      <c r="G7" s="78"/>
      <c r="H7" s="78"/>
      <c r="I7" s="78"/>
      <c r="J7" s="78"/>
      <c r="K7" s="78"/>
    </row>
    <row r="8" spans="1:11">
      <c r="B8" s="22"/>
      <c r="C8" s="22"/>
      <c r="D8" s="12">
        <v>1</v>
      </c>
      <c r="E8" s="12">
        <v>2</v>
      </c>
      <c r="F8" s="12">
        <v>3</v>
      </c>
      <c r="G8" s="12">
        <v>4</v>
      </c>
      <c r="H8" s="12">
        <v>5</v>
      </c>
      <c r="I8" s="12">
        <v>6</v>
      </c>
      <c r="J8" s="12">
        <v>7</v>
      </c>
      <c r="K8" s="12">
        <v>8</v>
      </c>
    </row>
    <row r="9" spans="1:11">
      <c r="B9" s="2" t="s">
        <v>51</v>
      </c>
      <c r="C9" s="2"/>
      <c r="D9" s="33">
        <f>INDEX(MMULT(MINVERSE($B$3:$D$5),D$15:D$17),ROW(A1))</f>
        <v>0.47920844155844156</v>
      </c>
      <c r="E9" s="33">
        <f t="shared" ref="E9:K11" si="0">INDEX(MMULT(MINVERSE($B$3:$D$5),E$15:E$17),ROW(B1))</f>
        <v>-0.77466753246753273</v>
      </c>
      <c r="F9" s="33">
        <f t="shared" si="0"/>
        <v>1.521121428571429</v>
      </c>
      <c r="G9" s="33">
        <f t="shared" si="0"/>
        <v>-0.92363896103896137</v>
      </c>
      <c r="H9" s="33">
        <f t="shared" si="0"/>
        <v>1.9213116883116885</v>
      </c>
      <c r="I9" s="33">
        <f t="shared" si="0"/>
        <v>-0.55595000000000039</v>
      </c>
      <c r="J9" s="33">
        <f t="shared" si="0"/>
        <v>1.0628805194805195</v>
      </c>
      <c r="K9" s="33">
        <f t="shared" si="0"/>
        <v>0.45375064935064952</v>
      </c>
    </row>
    <row r="10" spans="1:11">
      <c r="B10" t="s">
        <v>50</v>
      </c>
      <c r="C10" s="2" t="s">
        <v>27</v>
      </c>
      <c r="D10" s="33">
        <f t="shared" ref="D10:D11" si="1">INDEX(MMULT(MINVERSE($B$3:$D$5),D$15:D$17),ROW(A2))</f>
        <v>-1.0120181818181817</v>
      </c>
      <c r="E10" s="33">
        <f t="shared" si="0"/>
        <v>-1.04461038961039</v>
      </c>
      <c r="F10" s="33">
        <f t="shared" si="0"/>
        <v>-1.052836363636364</v>
      </c>
      <c r="G10" s="33">
        <f t="shared" si="0"/>
        <v>-0.19735259740259795</v>
      </c>
      <c r="H10" s="33">
        <f t="shared" si="0"/>
        <v>3.1169480519479917E-2</v>
      </c>
      <c r="I10" s="33">
        <f t="shared" si="0"/>
        <v>1.0917272727272722</v>
      </c>
      <c r="J10" s="33">
        <f t="shared" si="0"/>
        <v>1.0721324675324677</v>
      </c>
      <c r="K10" s="33">
        <f t="shared" si="0"/>
        <v>1.3547480519480521</v>
      </c>
    </row>
    <row r="11" spans="1:11">
      <c r="B11" t="s">
        <v>55</v>
      </c>
      <c r="C11" s="2"/>
      <c r="D11" s="33">
        <f t="shared" si="1"/>
        <v>0.60667562500000027</v>
      </c>
      <c r="E11" s="33">
        <f t="shared" si="0"/>
        <v>1.3460225000000001</v>
      </c>
      <c r="F11" s="33">
        <f t="shared" si="0"/>
        <v>1.3791600000000004</v>
      </c>
      <c r="G11" s="33">
        <f t="shared" si="0"/>
        <v>1.3262631249999999</v>
      </c>
      <c r="H11" s="33">
        <f t="shared" si="0"/>
        <v>1.3960006250000003</v>
      </c>
      <c r="I11" s="33">
        <f t="shared" si="0"/>
        <v>1.4358131250000001</v>
      </c>
      <c r="J11" s="33">
        <f t="shared" si="0"/>
        <v>1.3583906250000002</v>
      </c>
      <c r="K11" s="33">
        <f t="shared" si="0"/>
        <v>0.67035999999999984</v>
      </c>
    </row>
    <row r="12" spans="1:11">
      <c r="C12" s="2"/>
      <c r="D12" s="2"/>
      <c r="E12" s="2"/>
      <c r="F12" s="2"/>
      <c r="G12" s="2"/>
      <c r="H12" s="2"/>
      <c r="I12" s="2"/>
      <c r="J12" s="2"/>
      <c r="K12" s="2"/>
    </row>
    <row r="13" spans="1:11" ht="18.75">
      <c r="B13" s="13" t="s">
        <v>77</v>
      </c>
      <c r="C13" s="27" t="s">
        <v>27</v>
      </c>
      <c r="D13" s="84" t="s">
        <v>78</v>
      </c>
      <c r="E13" s="85"/>
      <c r="F13" s="85"/>
      <c r="G13" s="85"/>
      <c r="H13" s="85"/>
      <c r="I13" s="85"/>
      <c r="J13" s="85"/>
      <c r="K13" s="85"/>
    </row>
    <row r="14" spans="1:11">
      <c r="C14" s="2"/>
      <c r="D14" s="28"/>
      <c r="E14" s="28"/>
      <c r="F14" s="28"/>
      <c r="G14" s="28"/>
      <c r="H14" s="28"/>
      <c r="I14" s="28"/>
      <c r="J14" s="28"/>
      <c r="K14" s="28"/>
    </row>
    <row r="15" spans="1:11">
      <c r="B15" t="s">
        <v>48</v>
      </c>
      <c r="C15" s="2"/>
      <c r="D15" s="33">
        <f>((Messaufbau_Messdaten!J$30)^2-(Messaufbau_Messdaten!J27)^2+(Messaufbau_Messdaten!$I$35)^2)/2</f>
        <v>0.3689905</v>
      </c>
      <c r="E15" s="33">
        <f>((Messaufbau_Messdaten!K$30)^2-(Messaufbau_Messdaten!K27)^2+(Messaufbau_Messdaten!$I$35)^2)/2</f>
        <v>-0.59649400000000019</v>
      </c>
      <c r="F15" s="33">
        <f>((Messaufbau_Messdaten!L$30)^2-(Messaufbau_Messdaten!L27)^2+(Messaufbau_Messdaten!$I$35)^2)/2</f>
        <v>1.1712635000000002</v>
      </c>
      <c r="G15" s="33">
        <f>((Messaufbau_Messdaten!M$30)^2-(Messaufbau_Messdaten!M27)^2+(Messaufbau_Messdaten!$I$35)^2)/2</f>
        <v>-0.71120200000000022</v>
      </c>
      <c r="H15" s="33">
        <f>((Messaufbau_Messdaten!N$30)^2-(Messaufbau_Messdaten!N27)^2+(Messaufbau_Messdaten!$I$35)^2)/2</f>
        <v>1.4794100000000001</v>
      </c>
      <c r="I15" s="33">
        <f>((Messaufbau_Messdaten!O$30)^2-(Messaufbau_Messdaten!O27)^2+(Messaufbau_Messdaten!$I$35)^2)/2</f>
        <v>-0.42808150000000034</v>
      </c>
      <c r="J15" s="33">
        <f>((Messaufbau_Messdaten!P$30)^2-(Messaufbau_Messdaten!P27)^2+(Messaufbau_Messdaten!$I$35)^2)/2</f>
        <v>0.81841799999999998</v>
      </c>
      <c r="K15" s="33">
        <f>((Messaufbau_Messdaten!Q$30)^2-(Messaufbau_Messdaten!Q27)^2+(Messaufbau_Messdaten!$I$35)^2)/2</f>
        <v>0.34938800000000014</v>
      </c>
    </row>
    <row r="16" spans="1:11">
      <c r="B16" t="s">
        <v>46</v>
      </c>
      <c r="C16" s="2" t="s">
        <v>27</v>
      </c>
      <c r="D16" s="33">
        <f>((Messaufbau_Messdaten!J$30)^2-(Messaufbau_Messdaten!J28)^2+(Messaufbau_Messdaten!$I$41)^2)/2</f>
        <v>-0.779254</v>
      </c>
      <c r="E16" s="33">
        <f>((Messaufbau_Messdaten!K$30)^2-(Messaufbau_Messdaten!K28)^2+(Messaufbau_Messdaten!$I$41)^2)/2</f>
        <v>-0.80435000000000023</v>
      </c>
      <c r="F16" s="33">
        <f>((Messaufbau_Messdaten!L$30)^2-(Messaufbau_Messdaten!L28)^2+(Messaufbau_Messdaten!$I$41)^2)/2</f>
        <v>-0.81068400000000029</v>
      </c>
      <c r="G16" s="33">
        <f>((Messaufbau_Messdaten!M$30)^2-(Messaufbau_Messdaten!M28)^2+(Messaufbau_Messdaten!$I$41)^2)/2</f>
        <v>-0.15196150000000042</v>
      </c>
      <c r="H16" s="33">
        <f>((Messaufbau_Messdaten!N$30)^2-(Messaufbau_Messdaten!N28)^2+(Messaufbau_Messdaten!$I$41)^2)/2</f>
        <v>2.4000499999999536E-2</v>
      </c>
      <c r="I16" s="33">
        <f>((Messaufbau_Messdaten!O$30)^2-(Messaufbau_Messdaten!O28)^2+(Messaufbau_Messdaten!$I$41)^2)/2</f>
        <v>0.84062999999999966</v>
      </c>
      <c r="J16" s="33">
        <f>((Messaufbau_Messdaten!P$30)^2-(Messaufbau_Messdaten!P28)^2+(Messaufbau_Messdaten!$I$41)^2)/2</f>
        <v>0.82554200000000011</v>
      </c>
      <c r="K16" s="33">
        <f>((Messaufbau_Messdaten!Q$30)^2-(Messaufbau_Messdaten!Q28)^2+(Messaufbau_Messdaten!$I$41)^2)/2</f>
        <v>1.0431560000000002</v>
      </c>
    </row>
    <row r="17" spans="1:11">
      <c r="B17" t="s">
        <v>45</v>
      </c>
      <c r="C17" s="2"/>
      <c r="D17" s="33">
        <f>((Messaufbau_Messdaten!J$30)^2-(Messaufbau_Messdaten!J29)^2+(Messaufbau_Messdaten!$I$43)^2)/2</f>
        <v>0.48534050000000017</v>
      </c>
      <c r="E17" s="33">
        <f>((Messaufbau_Messdaten!K$30)^2-(Messaufbau_Messdaten!K29)^2+(Messaufbau_Messdaten!$I$43)^2)/2</f>
        <v>1.0768180000000001</v>
      </c>
      <c r="F17" s="33">
        <f>((Messaufbau_Messdaten!L$30)^2-(Messaufbau_Messdaten!L29)^2+(Messaufbau_Messdaten!$I$43)^2)/2</f>
        <v>1.1033280000000003</v>
      </c>
      <c r="G17" s="33">
        <f>((Messaufbau_Messdaten!M$30)^2-(Messaufbau_Messdaten!M29)^2+(Messaufbau_Messdaten!$I$43)^2)/2</f>
        <v>1.0610104999999999</v>
      </c>
      <c r="H17" s="33">
        <f>((Messaufbau_Messdaten!N$30)^2-(Messaufbau_Messdaten!N29)^2+(Messaufbau_Messdaten!$I$43)^2)/2</f>
        <v>1.1168005000000003</v>
      </c>
      <c r="I17" s="33">
        <f>((Messaufbau_Messdaten!O$30)^2-(Messaufbau_Messdaten!O29)^2+(Messaufbau_Messdaten!$I$43)^2)/2</f>
        <v>1.1486505</v>
      </c>
      <c r="J17" s="33">
        <f>((Messaufbau_Messdaten!P$30)^2-(Messaufbau_Messdaten!P29)^2+(Messaufbau_Messdaten!$I$43)^2)/2</f>
        <v>1.0867125000000002</v>
      </c>
      <c r="K17" s="33">
        <f>((Messaufbau_Messdaten!Q$30)^2-(Messaufbau_Messdaten!Q29)^2+(Messaufbau_Messdaten!$I$43)^2)/2</f>
        <v>0.53628799999999988</v>
      </c>
    </row>
    <row r="18" spans="1:11"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77" t="s">
        <v>67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1:11">
      <c r="B20" t="s">
        <v>56</v>
      </c>
      <c r="C20" s="2" t="s">
        <v>27</v>
      </c>
      <c r="D20" s="2">
        <v>0</v>
      </c>
      <c r="E20" s="2"/>
      <c r="F20" s="2"/>
      <c r="G20" s="2"/>
      <c r="H20" s="2"/>
      <c r="I20" s="2"/>
      <c r="J20" s="2"/>
      <c r="K20" s="2"/>
    </row>
    <row r="21" spans="1:11">
      <c r="B21" t="s">
        <v>57</v>
      </c>
      <c r="C21" s="2" t="s">
        <v>27</v>
      </c>
      <c r="D21" s="2">
        <v>0</v>
      </c>
      <c r="E21" s="2"/>
      <c r="F21" s="2"/>
      <c r="G21" s="2"/>
      <c r="H21" s="2"/>
      <c r="I21" s="2"/>
      <c r="J21" s="2"/>
      <c r="K21" s="2"/>
    </row>
    <row r="22" spans="1:11">
      <c r="B22" t="s">
        <v>58</v>
      </c>
      <c r="C22" s="2" t="s">
        <v>27</v>
      </c>
      <c r="D22" s="2">
        <v>0</v>
      </c>
      <c r="E22" s="2"/>
      <c r="F22" s="2"/>
      <c r="G22" s="2"/>
      <c r="H22" s="2"/>
      <c r="I22" s="2"/>
      <c r="J22" s="2"/>
      <c r="K22" s="2"/>
    </row>
    <row r="23" spans="1:11"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77" t="s">
        <v>69</v>
      </c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1:11">
      <c r="A25" s="25"/>
      <c r="B25" s="22"/>
      <c r="C25" s="22"/>
      <c r="D25" s="12">
        <v>1</v>
      </c>
      <c r="E25" s="12">
        <v>2</v>
      </c>
      <c r="F25" s="12">
        <v>3</v>
      </c>
      <c r="G25" s="12">
        <v>4</v>
      </c>
      <c r="H25" s="12">
        <v>5</v>
      </c>
      <c r="I25" s="12">
        <v>6</v>
      </c>
      <c r="J25" s="12">
        <v>7</v>
      </c>
      <c r="K25" s="12">
        <v>8</v>
      </c>
    </row>
    <row r="26" spans="1:11">
      <c r="B26" s="28" t="s">
        <v>64</v>
      </c>
      <c r="C26" s="28" t="s">
        <v>27</v>
      </c>
      <c r="D26" s="34">
        <f t="shared" ref="D26" si="2">D9+$D$20</f>
        <v>0.47920844155844156</v>
      </c>
      <c r="E26" s="34">
        <f t="shared" ref="E26:K26" si="3">E9+$D$20</f>
        <v>-0.77466753246753273</v>
      </c>
      <c r="F26" s="34">
        <f t="shared" si="3"/>
        <v>1.521121428571429</v>
      </c>
      <c r="G26" s="34">
        <f t="shared" si="3"/>
        <v>-0.92363896103896137</v>
      </c>
      <c r="H26" s="34">
        <f t="shared" si="3"/>
        <v>1.9213116883116885</v>
      </c>
      <c r="I26" s="34">
        <f t="shared" si="3"/>
        <v>-0.55595000000000039</v>
      </c>
      <c r="J26" s="34">
        <f t="shared" si="3"/>
        <v>1.0628805194805195</v>
      </c>
      <c r="K26" s="34">
        <f t="shared" si="3"/>
        <v>0.45375064935064952</v>
      </c>
    </row>
    <row r="27" spans="1:11">
      <c r="B27" s="28" t="s">
        <v>65</v>
      </c>
      <c r="C27" s="28" t="s">
        <v>27</v>
      </c>
      <c r="D27" s="34">
        <f t="shared" ref="D27" si="4">D10+$D$20</f>
        <v>-1.0120181818181817</v>
      </c>
      <c r="E27" s="34">
        <f t="shared" ref="E27:K28" si="5">E10+$D$20</f>
        <v>-1.04461038961039</v>
      </c>
      <c r="F27" s="34">
        <f t="shared" si="5"/>
        <v>-1.052836363636364</v>
      </c>
      <c r="G27" s="34">
        <f t="shared" si="5"/>
        <v>-0.19735259740259795</v>
      </c>
      <c r="H27" s="34">
        <f t="shared" si="5"/>
        <v>3.1169480519479917E-2</v>
      </c>
      <c r="I27" s="34">
        <f t="shared" si="5"/>
        <v>1.0917272727272722</v>
      </c>
      <c r="J27" s="34">
        <f t="shared" si="5"/>
        <v>1.0721324675324677</v>
      </c>
      <c r="K27" s="34">
        <f t="shared" si="5"/>
        <v>1.3547480519480521</v>
      </c>
    </row>
    <row r="28" spans="1:11">
      <c r="B28" s="28" t="s">
        <v>66</v>
      </c>
      <c r="C28" s="28" t="s">
        <v>27</v>
      </c>
      <c r="D28" s="34">
        <f t="shared" ref="D28" si="6">D11+$D$20</f>
        <v>0.60667562500000027</v>
      </c>
      <c r="E28" s="34">
        <f t="shared" si="5"/>
        <v>1.3460225000000001</v>
      </c>
      <c r="F28" s="34">
        <f t="shared" si="5"/>
        <v>1.3791600000000004</v>
      </c>
      <c r="G28" s="34">
        <f t="shared" si="5"/>
        <v>1.3262631249999999</v>
      </c>
      <c r="H28" s="34">
        <f t="shared" si="5"/>
        <v>1.3960006250000003</v>
      </c>
      <c r="I28" s="34">
        <f t="shared" si="5"/>
        <v>1.4358131250000001</v>
      </c>
      <c r="J28" s="34">
        <f t="shared" si="5"/>
        <v>1.3583906250000002</v>
      </c>
      <c r="K28" s="34">
        <f t="shared" si="5"/>
        <v>0.67035999999999984</v>
      </c>
    </row>
    <row r="29" spans="1:11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>
      <c r="A30" s="77" t="s">
        <v>72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1:11">
      <c r="B31" s="22"/>
      <c r="C31" s="22"/>
      <c r="D31" s="12">
        <v>1</v>
      </c>
      <c r="E31" s="12">
        <v>2</v>
      </c>
      <c r="F31" s="12">
        <v>3</v>
      </c>
      <c r="G31" s="12">
        <v>4</v>
      </c>
      <c r="H31" s="12">
        <v>5</v>
      </c>
      <c r="I31" s="12">
        <v>6</v>
      </c>
      <c r="J31" s="12">
        <v>7</v>
      </c>
      <c r="K31" s="12">
        <v>8</v>
      </c>
    </row>
    <row r="32" spans="1:11">
      <c r="B32" s="79" t="s">
        <v>76</v>
      </c>
      <c r="C32" s="79"/>
      <c r="D32">
        <f>Messaufbau_Messdaten!J30</f>
        <v>1.2590000000000001</v>
      </c>
      <c r="E32">
        <f>Messaufbau_Messdaten!K30</f>
        <v>1.8940000000000001</v>
      </c>
      <c r="F32">
        <f>Messaufbau_Messdaten!L30</f>
        <v>2.3340000000000001</v>
      </c>
      <c r="G32">
        <f>Messaufbau_Messdaten!M30</f>
        <v>1.661</v>
      </c>
      <c r="H32">
        <f>Messaufbau_Messdaten!N30</f>
        <v>2.399</v>
      </c>
      <c r="I32">
        <f>Messaufbau_Messdaten!O30</f>
        <v>1.851</v>
      </c>
      <c r="J32">
        <f>Messaufbau_Messdaten!P30</f>
        <v>2.0550000000000002</v>
      </c>
      <c r="K32">
        <f>Messaufbau_Messdaten!Q30</f>
        <v>1.5740000000000001</v>
      </c>
    </row>
    <row r="33" spans="2:11">
      <c r="B33" s="80" t="s">
        <v>75</v>
      </c>
      <c r="C33" s="80"/>
      <c r="D33" s="33">
        <f>SQRT(D26^2+D27^2+D28^2)</f>
        <v>1.2735292869661812</v>
      </c>
      <c r="E33" s="33">
        <f t="shared" ref="E33:K33" si="7">SQRT(E26^2+E27^2+E28^2)</f>
        <v>1.8716562778586128</v>
      </c>
      <c r="F33" s="33">
        <f t="shared" si="7"/>
        <v>2.3074568500091672</v>
      </c>
      <c r="G33" s="33">
        <f t="shared" si="7"/>
        <v>1.6281986533545127</v>
      </c>
      <c r="H33" s="33">
        <f t="shared" si="7"/>
        <v>2.3751269198001519</v>
      </c>
      <c r="I33" s="33">
        <f t="shared" si="7"/>
        <v>1.8874607732185573</v>
      </c>
      <c r="J33" s="33">
        <f t="shared" si="7"/>
        <v>2.0308638843399445</v>
      </c>
      <c r="K33" s="33">
        <f t="shared" si="7"/>
        <v>1.5781680726852823</v>
      </c>
    </row>
    <row r="34" spans="2:11">
      <c r="B34" s="80" t="s">
        <v>74</v>
      </c>
      <c r="C34" s="80"/>
      <c r="D34" s="33">
        <f>D33-D32</f>
        <v>1.4529286966181054E-2</v>
      </c>
      <c r="E34" s="33">
        <f t="shared" ref="E34:K34" si="8">E33-E32</f>
        <v>-2.2343722141387357E-2</v>
      </c>
      <c r="F34" s="33">
        <f t="shared" si="8"/>
        <v>-2.6543149990832848E-2</v>
      </c>
      <c r="G34" s="33">
        <f t="shared" si="8"/>
        <v>-3.2801346645487284E-2</v>
      </c>
      <c r="H34" s="33">
        <f t="shared" si="8"/>
        <v>-2.3873080199848129E-2</v>
      </c>
      <c r="I34" s="33">
        <f t="shared" si="8"/>
        <v>3.6460773218557341E-2</v>
      </c>
      <c r="J34" s="33">
        <f t="shared" si="8"/>
        <v>-2.413611566005569E-2</v>
      </c>
      <c r="K34" s="33">
        <f t="shared" si="8"/>
        <v>4.168072685282187E-3</v>
      </c>
    </row>
    <row r="35" spans="2:11">
      <c r="B35" s="81" t="s">
        <v>73</v>
      </c>
      <c r="C35" s="81"/>
      <c r="D35" s="35">
        <f>1-D32/D33</f>
        <v>1.1408679105286201E-2</v>
      </c>
      <c r="E35" s="35">
        <f t="shared" ref="E35:K35" si="9">1-E32/E33</f>
        <v>-1.1937940959411142E-2</v>
      </c>
      <c r="F35" s="35">
        <f t="shared" si="9"/>
        <v>-1.1503205353862844E-2</v>
      </c>
      <c r="G35" s="35">
        <f t="shared" si="9"/>
        <v>-2.0145789076724707E-2</v>
      </c>
      <c r="H35" s="35">
        <f t="shared" si="9"/>
        <v>-1.0051286102157775E-2</v>
      </c>
      <c r="I35" s="35">
        <f t="shared" si="9"/>
        <v>1.9317367404877661E-2</v>
      </c>
      <c r="J35" s="35">
        <f t="shared" si="9"/>
        <v>-1.1884654528631966E-2</v>
      </c>
      <c r="K35" s="35">
        <f t="shared" si="9"/>
        <v>2.6410828842774459E-3</v>
      </c>
    </row>
  </sheetData>
  <mergeCells count="10">
    <mergeCell ref="A2:K2"/>
    <mergeCell ref="A7:K7"/>
    <mergeCell ref="A19:K19"/>
    <mergeCell ref="A24:K24"/>
    <mergeCell ref="A30:K30"/>
    <mergeCell ref="B32:C32"/>
    <mergeCell ref="B33:C33"/>
    <mergeCell ref="B34:C34"/>
    <mergeCell ref="B35:C35"/>
    <mergeCell ref="D13:K13"/>
  </mergeCell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Tabelle5"/>
  <dimension ref="B2:J21"/>
  <sheetViews>
    <sheetView workbookViewId="0">
      <selection activeCell="I15" sqref="I15"/>
    </sheetView>
  </sheetViews>
  <sheetFormatPr baseColWidth="10" defaultRowHeight="15"/>
  <cols>
    <col min="3" max="10" width="6.7109375" customWidth="1"/>
  </cols>
  <sheetData>
    <row r="2" spans="2:10">
      <c r="B2" s="11"/>
      <c r="C2" s="24">
        <v>1</v>
      </c>
      <c r="D2" s="24">
        <v>2</v>
      </c>
      <c r="E2" s="24">
        <v>3</v>
      </c>
      <c r="F2" s="24">
        <v>4</v>
      </c>
      <c r="G2" s="24">
        <v>5</v>
      </c>
      <c r="H2" s="24">
        <v>6</v>
      </c>
      <c r="I2" s="24">
        <v>7</v>
      </c>
      <c r="J2" s="24">
        <v>8</v>
      </c>
    </row>
    <row r="3" spans="2:10">
      <c r="B3" s="23" t="s">
        <v>64</v>
      </c>
      <c r="C3">
        <f>RechnungA1!$D34</f>
        <v>0.47920844155844156</v>
      </c>
      <c r="D3">
        <f>RechnungA2!$D34</f>
        <v>-0.77466753246753273</v>
      </c>
      <c r="E3">
        <f>RechnungA3!$D34</f>
        <v>1.521121428571429</v>
      </c>
      <c r="F3">
        <f>RechnungA4!$D34</f>
        <v>-0.92363896103896137</v>
      </c>
      <c r="G3">
        <f>RechnungA5!$D34</f>
        <v>1.9213116883116885</v>
      </c>
      <c r="H3">
        <f>RechnungA6!$D34</f>
        <v>-0.55595000000000039</v>
      </c>
      <c r="I3">
        <f>RechnungA7!$D34</f>
        <v>1.0628805194805195</v>
      </c>
      <c r="J3">
        <f>RechnungA8!$D34</f>
        <v>0.45375064935064952</v>
      </c>
    </row>
    <row r="4" spans="2:10">
      <c r="B4" s="23" t="s">
        <v>65</v>
      </c>
      <c r="C4">
        <f>RechnungA1!$D35</f>
        <v>-1.0120181818181817</v>
      </c>
      <c r="D4">
        <f>RechnungA2!$D35</f>
        <v>-1.04461038961039</v>
      </c>
      <c r="E4">
        <f>RechnungA3!$D35</f>
        <v>-1.052836363636364</v>
      </c>
      <c r="F4">
        <f>RechnungA4!$D35</f>
        <v>-0.19735259740259795</v>
      </c>
      <c r="G4">
        <f>RechnungA5!$D35</f>
        <v>3.1169480519479917E-2</v>
      </c>
      <c r="H4">
        <f>RechnungA6!$D35</f>
        <v>1.0917272727272722</v>
      </c>
      <c r="I4">
        <f>RechnungA7!$D35</f>
        <v>1.0721324675324677</v>
      </c>
      <c r="J4">
        <f>RechnungA8!$D35</f>
        <v>1.3547480519480521</v>
      </c>
    </row>
    <row r="5" spans="2:10">
      <c r="B5" s="23" t="s">
        <v>66</v>
      </c>
      <c r="C5">
        <f>RechnungA1!$D36</f>
        <v>0.60667562500000027</v>
      </c>
      <c r="D5">
        <f>RechnungA2!$D36</f>
        <v>1.3460225000000001</v>
      </c>
      <c r="E5">
        <f>RechnungA3!$D36</f>
        <v>1.3791600000000004</v>
      </c>
      <c r="F5">
        <f>RechnungA4!$D36</f>
        <v>1.3262631249999999</v>
      </c>
      <c r="G5">
        <f>RechnungA5!$D36</f>
        <v>1.3960006250000003</v>
      </c>
      <c r="H5">
        <f>RechnungA6!$D36</f>
        <v>1.4358131250000001</v>
      </c>
      <c r="I5">
        <f>RechnungA7!$D36</f>
        <v>1.3583906250000002</v>
      </c>
      <c r="J5">
        <f>RechnungA8!$D36</f>
        <v>0.67035999999999984</v>
      </c>
    </row>
    <row r="21" spans="2:4" ht="18.75">
      <c r="B21" s="13"/>
      <c r="C21" s="13"/>
      <c r="D21" s="14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Tabelle6"/>
  <dimension ref="A3:J36"/>
  <sheetViews>
    <sheetView workbookViewId="0">
      <selection activeCell="F32" sqref="F32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14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16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15</v>
      </c>
    </row>
    <row r="9" spans="1:10">
      <c r="B9">
        <v>0</v>
      </c>
      <c r="C9">
        <v>0</v>
      </c>
      <c r="D9">
        <v>-0.8</v>
      </c>
      <c r="F9" t="s">
        <v>51</v>
      </c>
      <c r="H9">
        <f>G23</f>
        <v>0.3689905</v>
      </c>
    </row>
    <row r="10" spans="1:10">
      <c r="B10">
        <v>0.77</v>
      </c>
      <c r="C10">
        <v>0</v>
      </c>
      <c r="D10">
        <v>-0.8</v>
      </c>
      <c r="F10" t="s">
        <v>50</v>
      </c>
      <c r="G10" t="s">
        <v>27</v>
      </c>
      <c r="H10">
        <f t="shared" ref="H10:H11" si="0">G24</f>
        <v>-0.779254</v>
      </c>
    </row>
    <row r="11" spans="1:10">
      <c r="B11">
        <v>0</v>
      </c>
      <c r="C11">
        <v>0.77</v>
      </c>
      <c r="D11">
        <v>-0.8</v>
      </c>
      <c r="F11" t="s">
        <v>49</v>
      </c>
      <c r="H11">
        <f t="shared" si="0"/>
        <v>0.48534050000000017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-1.4912266233766234</v>
      </c>
      <c r="J15">
        <f>MDETERM(B9:D11)</f>
        <v>-0.47432000000000002</v>
      </c>
    </row>
    <row r="16" spans="1:10">
      <c r="B16" t="s">
        <v>50</v>
      </c>
      <c r="C16" t="s">
        <v>27</v>
      </c>
      <c r="D16">
        <f t="shared" ref="D16:D17" si="1">INDEX(MMULT(MINVERSE($B$9:$D$11),$H$9:$H$11),ROW(A2))</f>
        <v>0.1511038961038963</v>
      </c>
    </row>
    <row r="17" spans="2:10">
      <c r="B17" t="s">
        <v>55</v>
      </c>
      <c r="D17">
        <f t="shared" si="1"/>
        <v>-0.461238125</v>
      </c>
    </row>
    <row r="18" spans="2:10">
      <c r="J18">
        <f>INDEX(MMULT($B$9:$D$11,$D$15:$D$17),ROW(A1))</f>
        <v>0.3689905</v>
      </c>
    </row>
    <row r="19" spans="2:10">
      <c r="J19">
        <f t="shared" ref="J19:J20" si="2">INDEX(MMULT($B$9:$D$11,$D$15:$D$17),ROW(A2))</f>
        <v>-0.77925400000000011</v>
      </c>
    </row>
    <row r="20" spans="2:10">
      <c r="J20">
        <f t="shared" si="2"/>
        <v>0.48534050000000017</v>
      </c>
    </row>
    <row r="21" spans="2:10" ht="18.75">
      <c r="B21" s="13" t="s">
        <v>26</v>
      </c>
      <c r="C21" s="13" t="s">
        <v>27</v>
      </c>
      <c r="D21" s="14" t="s">
        <v>28</v>
      </c>
    </row>
    <row r="23" spans="2:10">
      <c r="B23" t="s">
        <v>48</v>
      </c>
      <c r="C23" t="s">
        <v>27</v>
      </c>
      <c r="D23" t="s">
        <v>47</v>
      </c>
      <c r="F23" t="s">
        <v>27</v>
      </c>
      <c r="G23">
        <f>1/2*(-Messaufbau_Messdaten!$J$30^2-Messaufbau_Messdaten!J27^2+Messaufbau_Messdaten!$I$35^2)</f>
        <v>0.3689905</v>
      </c>
    </row>
    <row r="24" spans="2:10">
      <c r="B24" t="s">
        <v>46</v>
      </c>
      <c r="C24" t="s">
        <v>27</v>
      </c>
      <c r="D24" t="s">
        <v>52</v>
      </c>
      <c r="G24">
        <f>1/2*(-Messaufbau_Messdaten!$J$30^2-Messaufbau_Messdaten!J28^2+Messaufbau_Messdaten!$I$41^2)</f>
        <v>-0.779254</v>
      </c>
    </row>
    <row r="25" spans="2:10">
      <c r="B25" t="s">
        <v>45</v>
      </c>
      <c r="C25" t="s">
        <v>27</v>
      </c>
      <c r="D25" t="s">
        <v>53</v>
      </c>
      <c r="G25">
        <f>1/2*(-Messaufbau_Messdaten!$J$30^2-Messaufbau_Messdaten!J29^2+Messaufbau_Messdaten!$I$43^2)</f>
        <v>0.48534050000000017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0.8</v>
      </c>
    </row>
    <row r="34" spans="2:4">
      <c r="B34" t="s">
        <v>59</v>
      </c>
      <c r="C34" t="s">
        <v>27</v>
      </c>
      <c r="D34">
        <f>D15+D29</f>
        <v>-1.4912266233766234</v>
      </c>
    </row>
    <row r="35" spans="2:4">
      <c r="B35" t="s">
        <v>60</v>
      </c>
      <c r="C35" t="s">
        <v>27</v>
      </c>
      <c r="D35">
        <f t="shared" ref="D35:D36" si="3">D16+D30</f>
        <v>0.1511038961038963</v>
      </c>
    </row>
    <row r="36" spans="2:4">
      <c r="B36" t="s">
        <v>61</v>
      </c>
      <c r="C36" t="s">
        <v>27</v>
      </c>
      <c r="D36">
        <f t="shared" si="3"/>
        <v>0.33876187500000005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Tabelle7"/>
  <dimension ref="A2:P40"/>
  <sheetViews>
    <sheetView workbookViewId="0">
      <selection activeCell="F41" sqref="F41"/>
    </sheetView>
  </sheetViews>
  <sheetFormatPr baseColWidth="10" defaultRowHeight="15"/>
  <sheetData>
    <row r="2" spans="1:16">
      <c r="K2" s="21"/>
    </row>
    <row r="3" spans="1:16">
      <c r="B3" t="s">
        <v>10</v>
      </c>
      <c r="K3" s="21"/>
    </row>
    <row r="4" spans="1:16">
      <c r="B4" t="s">
        <v>17</v>
      </c>
      <c r="C4" t="s">
        <v>20</v>
      </c>
      <c r="D4" t="s">
        <v>21</v>
      </c>
      <c r="F4" t="s">
        <v>13</v>
      </c>
      <c r="H4" t="s">
        <v>48</v>
      </c>
      <c r="K4" s="21"/>
    </row>
    <row r="5" spans="1:16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  <c r="K5" s="21"/>
    </row>
    <row r="6" spans="1:16">
      <c r="B6" t="s">
        <v>19</v>
      </c>
      <c r="C6" t="s">
        <v>23</v>
      </c>
      <c r="D6" t="s">
        <v>24</v>
      </c>
      <c r="F6" t="s">
        <v>12</v>
      </c>
      <c r="H6" t="s">
        <v>45</v>
      </c>
      <c r="K6" s="21"/>
    </row>
    <row r="7" spans="1:16">
      <c r="K7" s="21"/>
    </row>
    <row r="8" spans="1:16">
      <c r="K8" s="21"/>
    </row>
    <row r="9" spans="1:16">
      <c r="B9">
        <v>0.77</v>
      </c>
      <c r="C9">
        <v>0</v>
      </c>
      <c r="D9">
        <v>0</v>
      </c>
      <c r="F9" t="s">
        <v>51</v>
      </c>
      <c r="H9">
        <f>I23</f>
        <v>0.3689905</v>
      </c>
      <c r="K9" s="21"/>
      <c r="L9">
        <v>0.18310950000000004</v>
      </c>
      <c r="M9">
        <v>0</v>
      </c>
      <c r="N9">
        <v>0</v>
      </c>
    </row>
    <row r="10" spans="1:16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-0.779254</v>
      </c>
      <c r="K10" s="21"/>
      <c r="L10">
        <v>-0.8517944999999999</v>
      </c>
      <c r="M10">
        <v>0.77</v>
      </c>
      <c r="N10">
        <v>0</v>
      </c>
    </row>
    <row r="11" spans="1:16">
      <c r="B11">
        <v>0</v>
      </c>
      <c r="C11">
        <v>0</v>
      </c>
      <c r="D11">
        <v>0.8</v>
      </c>
      <c r="F11" t="s">
        <v>55</v>
      </c>
      <c r="H11">
        <f>I25</f>
        <v>0.48534050000000017</v>
      </c>
      <c r="K11" s="21"/>
      <c r="L11">
        <v>0.41280000000000017</v>
      </c>
      <c r="M11">
        <v>0</v>
      </c>
      <c r="N11">
        <v>0.8</v>
      </c>
    </row>
    <row r="12" spans="1:16">
      <c r="K12" s="21"/>
    </row>
    <row r="13" spans="1:16">
      <c r="K13" s="21"/>
      <c r="P13">
        <f>MDETERM(L9:N11)</f>
        <v>0.11279545200000003</v>
      </c>
    </row>
    <row r="14" spans="1:16">
      <c r="A14" t="s">
        <v>54</v>
      </c>
      <c r="K14" s="21"/>
      <c r="L14">
        <v>0.77</v>
      </c>
      <c r="M14">
        <v>0.18310950000000004</v>
      </c>
      <c r="N14">
        <v>0</v>
      </c>
    </row>
    <row r="15" spans="1:16">
      <c r="B15" t="s">
        <v>51</v>
      </c>
      <c r="D15">
        <f>INDEX(MMULT(MINVERSE($B$9:$D$11),$H$9:$H$11),ROW(A1))</f>
        <v>0.47920844155844156</v>
      </c>
      <c r="J15">
        <f>MDETERM(B9:D11)</f>
        <v>0.47432000000000002</v>
      </c>
      <c r="K15" s="21"/>
      <c r="L15">
        <v>0</v>
      </c>
      <c r="M15">
        <v>-0.8517944999999999</v>
      </c>
      <c r="N15">
        <v>0</v>
      </c>
    </row>
    <row r="16" spans="1:16">
      <c r="B16" t="s">
        <v>50</v>
      </c>
      <c r="C16" t="s">
        <v>27</v>
      </c>
      <c r="D16">
        <f t="shared" ref="D16:D17" si="0">INDEX(MMULT(MINVERSE($B$9:$D$11),$H$9:$H$11),ROW(A2))</f>
        <v>-1.0120181818181817</v>
      </c>
      <c r="K16" s="21"/>
      <c r="L16">
        <v>0</v>
      </c>
      <c r="M16">
        <v>0.41280000000000017</v>
      </c>
      <c r="N16">
        <v>0.8</v>
      </c>
    </row>
    <row r="17" spans="2:16">
      <c r="B17" t="s">
        <v>55</v>
      </c>
      <c r="D17">
        <f t="shared" si="0"/>
        <v>0.60667562500000027</v>
      </c>
      <c r="K17" s="21"/>
    </row>
    <row r="18" spans="2:16">
      <c r="J18">
        <f>INDEX(MMULT($B$9:$D$11,$D$15:$D$17),ROW(A1))</f>
        <v>0.3689905</v>
      </c>
      <c r="K18" s="21"/>
      <c r="P18">
        <f>MDETERM(L14:N16)</f>
        <v>-0.52470541199999998</v>
      </c>
    </row>
    <row r="19" spans="2:16">
      <c r="J19">
        <f t="shared" ref="J19:J20" si="1">INDEX(MMULT($B$9:$D$11,$D$15:$D$17),ROW(A2))</f>
        <v>-0.77925399999999989</v>
      </c>
      <c r="K19" s="21"/>
      <c r="L19">
        <v>0.77</v>
      </c>
      <c r="M19">
        <v>0</v>
      </c>
      <c r="N19">
        <v>0.18310950000000004</v>
      </c>
    </row>
    <row r="20" spans="2:16">
      <c r="J20">
        <f t="shared" si="1"/>
        <v>0.48534050000000023</v>
      </c>
      <c r="K20" s="21"/>
      <c r="L20">
        <v>0</v>
      </c>
      <c r="M20">
        <v>0.77</v>
      </c>
      <c r="N20">
        <v>-0.8517944999999999</v>
      </c>
    </row>
    <row r="21" spans="2:16" ht="18.75">
      <c r="B21" s="13" t="s">
        <v>26</v>
      </c>
      <c r="C21" s="13" t="s">
        <v>27</v>
      </c>
      <c r="D21" s="14" t="s">
        <v>62</v>
      </c>
      <c r="K21" s="21"/>
      <c r="L21">
        <v>0</v>
      </c>
      <c r="M21">
        <v>0</v>
      </c>
      <c r="N21">
        <v>0.41280000000000017</v>
      </c>
    </row>
    <row r="22" spans="2:16">
      <c r="K22" s="21"/>
    </row>
    <row r="23" spans="2:16">
      <c r="B23" t="s">
        <v>48</v>
      </c>
      <c r="C23" t="s">
        <v>27</v>
      </c>
      <c r="D23">
        <v>0.5</v>
      </c>
      <c r="E23">
        <f>(Messaufbau_Messdaten!$J$30^2)</f>
        <v>1.5850810000000004</v>
      </c>
      <c r="F23">
        <f>(Messaufbau_Messdaten!J27^2 )</f>
        <v>1.4400000000000004</v>
      </c>
      <c r="G23">
        <f>(Messaufbau_Messdaten!$I$35^2)</f>
        <v>0.59289999999999998</v>
      </c>
      <c r="H23" t="s">
        <v>27</v>
      </c>
      <c r="I23">
        <f>(E23-F23+G23)/2</f>
        <v>0.3689905</v>
      </c>
      <c r="K23" s="21"/>
      <c r="P23">
        <f>MDETERM(L19:N21)</f>
        <v>0.2447491200000001</v>
      </c>
    </row>
    <row r="24" spans="2:16">
      <c r="B24" t="s">
        <v>46</v>
      </c>
      <c r="C24" t="s">
        <v>27</v>
      </c>
      <c r="D24">
        <v>0.5</v>
      </c>
      <c r="E24">
        <f>(Messaufbau_Messdaten!$J$30^2)</f>
        <v>1.5850810000000004</v>
      </c>
      <c r="F24">
        <f>(Messaufbau_Messdaten!J28^2 )</f>
        <v>3.7364890000000002</v>
      </c>
      <c r="G24">
        <f>(Messaufbau_Messdaten!$I$41^2)</f>
        <v>0.59289999999999998</v>
      </c>
      <c r="H24" t="s">
        <v>27</v>
      </c>
      <c r="I24">
        <f t="shared" ref="I24:I25" si="2">(E24-F24+G24)/2</f>
        <v>-0.779254</v>
      </c>
      <c r="K24" s="21"/>
    </row>
    <row r="25" spans="2:16">
      <c r="B25" t="s">
        <v>45</v>
      </c>
      <c r="C25" t="s">
        <v>27</v>
      </c>
      <c r="D25">
        <v>0.5</v>
      </c>
      <c r="E25">
        <f>(Messaufbau_Messdaten!$J$30^2)</f>
        <v>1.5850810000000004</v>
      </c>
      <c r="F25">
        <f>(Messaufbau_Messdaten!J29^2 )</f>
        <v>1.2544000000000002</v>
      </c>
      <c r="G25">
        <f>(Messaufbau_Messdaten!$I$43^2)</f>
        <v>0.64000000000000012</v>
      </c>
      <c r="H25" t="s">
        <v>27</v>
      </c>
      <c r="I25">
        <f t="shared" si="2"/>
        <v>0.48534050000000017</v>
      </c>
      <c r="K25" s="21"/>
    </row>
    <row r="26" spans="2:16">
      <c r="K26" s="21"/>
    </row>
    <row r="27" spans="2:16">
      <c r="K27" s="21"/>
    </row>
    <row r="28" spans="2:16">
      <c r="K28" s="21"/>
      <c r="L28" t="s">
        <v>59</v>
      </c>
      <c r="M28">
        <f>P13/$J$15</f>
        <v>0.23780454545454552</v>
      </c>
    </row>
    <row r="29" spans="2:16">
      <c r="B29" t="s">
        <v>56</v>
      </c>
      <c r="C29" t="s">
        <v>27</v>
      </c>
      <c r="D29">
        <v>0</v>
      </c>
      <c r="K29" s="21"/>
      <c r="L29" t="s">
        <v>60</v>
      </c>
      <c r="M29">
        <f>P18/$J$15</f>
        <v>-1.1062266233766234</v>
      </c>
    </row>
    <row r="30" spans="2:16">
      <c r="B30" t="s">
        <v>57</v>
      </c>
      <c r="C30" t="s">
        <v>27</v>
      </c>
      <c r="D30">
        <v>0</v>
      </c>
      <c r="K30" s="21"/>
      <c r="L30" t="s">
        <v>61</v>
      </c>
      <c r="M30">
        <f>P23/$J$15</f>
        <v>0.51600000000000024</v>
      </c>
    </row>
    <row r="31" spans="2:16">
      <c r="B31" t="s">
        <v>58</v>
      </c>
      <c r="C31" t="s">
        <v>27</v>
      </c>
      <c r="D31">
        <v>0</v>
      </c>
      <c r="K31" s="21"/>
    </row>
    <row r="32" spans="2:16">
      <c r="K32" s="21"/>
    </row>
    <row r="33" spans="2:11">
      <c r="K33" s="21"/>
    </row>
    <row r="34" spans="2:11">
      <c r="B34" s="17" t="s">
        <v>59</v>
      </c>
      <c r="C34" s="17" t="s">
        <v>27</v>
      </c>
      <c r="D34" s="17">
        <f>D15+D29</f>
        <v>0.47920844155844156</v>
      </c>
      <c r="K34" s="21"/>
    </row>
    <row r="35" spans="2:11">
      <c r="B35" s="17" t="s">
        <v>60</v>
      </c>
      <c r="C35" s="17" t="s">
        <v>27</v>
      </c>
      <c r="D35" s="17">
        <f>D16+D30</f>
        <v>-1.0120181818181817</v>
      </c>
      <c r="K35" s="21"/>
    </row>
    <row r="36" spans="2:11">
      <c r="B36" s="17" t="s">
        <v>61</v>
      </c>
      <c r="C36" s="17" t="s">
        <v>27</v>
      </c>
      <c r="D36" s="17">
        <f>D17+D31</f>
        <v>0.60667562500000027</v>
      </c>
      <c r="K36" s="21"/>
    </row>
    <row r="40" spans="2:11">
      <c r="B40">
        <f>SQRT(D34^2+D35^2+D36^2)</f>
        <v>1.2735292869661812</v>
      </c>
    </row>
  </sheetData>
  <conditionalFormatting sqref="J18:J20">
    <cfRule type="cellIs" dxfId="2" priority="3" operator="equal">
      <formula>$H$9</formula>
    </cfRule>
  </conditionalFormatting>
  <conditionalFormatting sqref="J19">
    <cfRule type="cellIs" dxfId="1" priority="2" operator="equal">
      <formula>$H$10</formula>
    </cfRule>
  </conditionalFormatting>
  <conditionalFormatting sqref="J20">
    <cfRule type="cellIs" dxfId="0" priority="1" operator="equal">
      <formula>$H$11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Tabelle8"/>
  <dimension ref="A3:J40"/>
  <sheetViews>
    <sheetView workbookViewId="0">
      <selection sqref="A1:XFD1048576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48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45</v>
      </c>
    </row>
    <row r="9" spans="1:10">
      <c r="B9">
        <v>0.77</v>
      </c>
      <c r="C9">
        <v>0</v>
      </c>
      <c r="D9">
        <v>0</v>
      </c>
      <c r="F9" t="s">
        <v>51</v>
      </c>
      <c r="H9">
        <f>I23</f>
        <v>-0.59649400000000019</v>
      </c>
    </row>
    <row r="10" spans="1:10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-0.80435000000000023</v>
      </c>
    </row>
    <row r="11" spans="1:10">
      <c r="B11">
        <v>0</v>
      </c>
      <c r="C11">
        <v>0</v>
      </c>
      <c r="D11">
        <v>0.8</v>
      </c>
      <c r="F11" t="s">
        <v>55</v>
      </c>
      <c r="H11">
        <f>I25</f>
        <v>1.0768180000000001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-0.77466753246753273</v>
      </c>
      <c r="J15">
        <f>MDETERM(B9:D11)</f>
        <v>0.47432000000000002</v>
      </c>
    </row>
    <row r="16" spans="1:10">
      <c r="B16" t="s">
        <v>50</v>
      </c>
      <c r="C16" t="s">
        <v>27</v>
      </c>
      <c r="D16">
        <f t="shared" ref="D16:D17" si="0">INDEX(MMULT(MINVERSE($B$9:$D$11),$H$9:$H$11),ROW(A2))</f>
        <v>-1.04461038961039</v>
      </c>
    </row>
    <row r="17" spans="2:10">
      <c r="B17" t="s">
        <v>55</v>
      </c>
      <c r="D17">
        <f t="shared" si="0"/>
        <v>1.3460225000000001</v>
      </c>
    </row>
    <row r="18" spans="2:10">
      <c r="J18">
        <f>INDEX(MMULT($B$9:$D$11,$D$15:$D$17),ROW(A1))</f>
        <v>-0.59649400000000019</v>
      </c>
    </row>
    <row r="19" spans="2:10">
      <c r="J19">
        <f t="shared" ref="J19:J20" si="1">INDEX(MMULT($B$9:$D$11,$D$15:$D$17),ROW(A2))</f>
        <v>-0.80435000000000034</v>
      </c>
    </row>
    <row r="20" spans="2:10">
      <c r="J20">
        <f t="shared" si="1"/>
        <v>1.0768180000000001</v>
      </c>
    </row>
    <row r="21" spans="2:10" ht="18.75">
      <c r="B21" s="13" t="s">
        <v>26</v>
      </c>
      <c r="C21" s="13" t="s">
        <v>27</v>
      </c>
      <c r="D21" s="14" t="s">
        <v>62</v>
      </c>
    </row>
    <row r="23" spans="2:10">
      <c r="B23" t="s">
        <v>48</v>
      </c>
      <c r="C23" t="s">
        <v>27</v>
      </c>
      <c r="D23">
        <v>0.5</v>
      </c>
      <c r="E23">
        <f>(Messaufbau_Messdaten!$K$30^2)</f>
        <v>3.5872360000000003</v>
      </c>
      <c r="F23">
        <f>(Messaufbau_Messdaten!K27^2 )</f>
        <v>5.3731240000000007</v>
      </c>
      <c r="G23">
        <f>(Messaufbau_Messdaten!$I$35^2)</f>
        <v>0.59289999999999998</v>
      </c>
      <c r="H23" t="s">
        <v>27</v>
      </c>
      <c r="I23">
        <f>D23*(E23-F23+G23)</f>
        <v>-0.59649400000000019</v>
      </c>
    </row>
    <row r="24" spans="2:10">
      <c r="B24" t="s">
        <v>46</v>
      </c>
      <c r="C24" t="s">
        <v>27</v>
      </c>
      <c r="D24">
        <v>0.5</v>
      </c>
      <c r="E24">
        <f>(Messaufbau_Messdaten!$K$30^2)</f>
        <v>3.5872360000000003</v>
      </c>
      <c r="F24">
        <f>(Messaufbau_Messdaten!K28^2 )</f>
        <v>5.7888360000000008</v>
      </c>
      <c r="G24">
        <f>(Messaufbau_Messdaten!$I$41^2)</f>
        <v>0.59289999999999998</v>
      </c>
      <c r="H24" t="s">
        <v>27</v>
      </c>
      <c r="I24">
        <f t="shared" ref="I24:I25" si="2">D24*(E24-F24+G24)</f>
        <v>-0.80435000000000023</v>
      </c>
    </row>
    <row r="25" spans="2:10">
      <c r="B25" t="s">
        <v>45</v>
      </c>
      <c r="C25" t="s">
        <v>27</v>
      </c>
      <c r="D25">
        <v>0.5</v>
      </c>
      <c r="E25">
        <f>(Messaufbau_Messdaten!$K$30^2)</f>
        <v>3.5872360000000003</v>
      </c>
      <c r="F25">
        <f>(Messaufbau_Messdaten!K29^2 )</f>
        <v>2.0736000000000003</v>
      </c>
      <c r="G25">
        <f>(Messaufbau_Messdaten!$I$43^2)</f>
        <v>0.64000000000000012</v>
      </c>
      <c r="H25" t="s">
        <v>27</v>
      </c>
      <c r="I25">
        <f t="shared" si="2"/>
        <v>1.0768180000000001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</v>
      </c>
    </row>
    <row r="34" spans="2:4">
      <c r="B34" s="17" t="s">
        <v>59</v>
      </c>
      <c r="C34" s="17" t="s">
        <v>27</v>
      </c>
      <c r="D34" s="17">
        <f>D15+D29</f>
        <v>-0.77466753246753273</v>
      </c>
    </row>
    <row r="35" spans="2:4">
      <c r="B35" s="17" t="s">
        <v>60</v>
      </c>
      <c r="C35" s="17" t="s">
        <v>27</v>
      </c>
      <c r="D35" s="17">
        <f>D16+D30</f>
        <v>-1.04461038961039</v>
      </c>
    </row>
    <row r="36" spans="2:4">
      <c r="B36" s="17" t="s">
        <v>61</v>
      </c>
      <c r="C36" s="17" t="s">
        <v>27</v>
      </c>
      <c r="D36" s="17">
        <f>D17+D31</f>
        <v>1.3460225000000001</v>
      </c>
    </row>
    <row r="40" spans="2:4">
      <c r="B40">
        <f>SQRT(D34^2+D35^2+D36^2)</f>
        <v>1.8716562778586128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Tabelle9"/>
  <dimension ref="A3:J40"/>
  <sheetViews>
    <sheetView topLeftCell="A10" workbookViewId="0">
      <selection activeCell="F39" sqref="F39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48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45</v>
      </c>
    </row>
    <row r="9" spans="1:10">
      <c r="B9">
        <v>0.77</v>
      </c>
      <c r="C9">
        <v>0</v>
      </c>
      <c r="D9">
        <v>0</v>
      </c>
      <c r="F9" t="s">
        <v>51</v>
      </c>
      <c r="H9">
        <f>I23</f>
        <v>1.1712635000000002</v>
      </c>
    </row>
    <row r="10" spans="1:10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-0.81068400000000029</v>
      </c>
    </row>
    <row r="11" spans="1:10">
      <c r="B11">
        <v>0</v>
      </c>
      <c r="C11">
        <v>0</v>
      </c>
      <c r="D11">
        <v>0.8</v>
      </c>
      <c r="F11" t="s">
        <v>55</v>
      </c>
      <c r="H11">
        <f>I25</f>
        <v>1.1033280000000003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1.521121428571429</v>
      </c>
      <c r="J15">
        <f>MDETERM(B9:D11)</f>
        <v>0.47432000000000002</v>
      </c>
    </row>
    <row r="16" spans="1:10">
      <c r="B16" t="s">
        <v>50</v>
      </c>
      <c r="C16" t="s">
        <v>27</v>
      </c>
      <c r="D16">
        <f t="shared" ref="D16:D17" si="0">INDEX(MMULT(MINVERSE($B$9:$D$11),$H$9:$H$11),ROW(A2))</f>
        <v>-1.052836363636364</v>
      </c>
    </row>
    <row r="17" spans="2:10">
      <c r="B17" t="s">
        <v>55</v>
      </c>
      <c r="D17">
        <f t="shared" si="0"/>
        <v>1.3791600000000004</v>
      </c>
    </row>
    <row r="18" spans="2:10">
      <c r="J18">
        <f>INDEX(MMULT($B$9:$D$11,$D$15:$D$17),ROW(A1))</f>
        <v>1.1712635000000002</v>
      </c>
    </row>
    <row r="19" spans="2:10">
      <c r="J19">
        <f t="shared" ref="J19:J20" si="1">INDEX(MMULT($B$9:$D$11,$D$15:$D$17),ROW(A2))</f>
        <v>-0.81068400000000029</v>
      </c>
    </row>
    <row r="20" spans="2:10">
      <c r="J20">
        <f t="shared" si="1"/>
        <v>1.1033280000000003</v>
      </c>
    </row>
    <row r="21" spans="2:10" ht="18.75">
      <c r="B21" s="13" t="s">
        <v>26</v>
      </c>
      <c r="C21" s="13" t="s">
        <v>27</v>
      </c>
      <c r="D21" s="14" t="s">
        <v>62</v>
      </c>
    </row>
    <row r="23" spans="2:10">
      <c r="B23" t="s">
        <v>48</v>
      </c>
      <c r="C23" t="s">
        <v>27</v>
      </c>
      <c r="D23">
        <v>0.5</v>
      </c>
      <c r="E23">
        <f>(Messaufbau_Messdaten!$L$30^2)</f>
        <v>5.4475560000000005</v>
      </c>
      <c r="F23">
        <f>(Messaufbau_Messdaten!L27^2 )</f>
        <v>3.6979290000000002</v>
      </c>
      <c r="G23">
        <f>(Messaufbau_Messdaten!$I$35^2)</f>
        <v>0.59289999999999998</v>
      </c>
      <c r="H23" t="s">
        <v>27</v>
      </c>
      <c r="I23">
        <f>D23*(E23-F23+G23)</f>
        <v>1.1712635000000002</v>
      </c>
    </row>
    <row r="24" spans="2:10">
      <c r="B24" t="s">
        <v>46</v>
      </c>
      <c r="C24" t="s">
        <v>27</v>
      </c>
      <c r="D24">
        <v>0.5</v>
      </c>
      <c r="E24">
        <f>(Messaufbau_Messdaten!$L$30^2)</f>
        <v>5.4475560000000005</v>
      </c>
      <c r="F24">
        <f>(Messaufbau_Messdaten!L28^2 )</f>
        <v>7.6618240000000011</v>
      </c>
      <c r="G24">
        <f>(Messaufbau_Messdaten!$I$41^2)</f>
        <v>0.59289999999999998</v>
      </c>
      <c r="H24" t="s">
        <v>27</v>
      </c>
      <c r="I24">
        <f t="shared" ref="I24:I25" si="2">D24*(E24-F24+G24)</f>
        <v>-0.81068400000000029</v>
      </c>
    </row>
    <row r="25" spans="2:10">
      <c r="B25" t="s">
        <v>45</v>
      </c>
      <c r="C25" t="s">
        <v>27</v>
      </c>
      <c r="D25">
        <v>0.5</v>
      </c>
      <c r="E25">
        <f>(Messaufbau_Messdaten!$L$30^2)</f>
        <v>5.4475560000000005</v>
      </c>
      <c r="F25">
        <f>(Messaufbau_Messdaten!L29^2 )</f>
        <v>3.8809</v>
      </c>
      <c r="G25">
        <f>(Messaufbau_Messdaten!$I$43^2)</f>
        <v>0.64000000000000012</v>
      </c>
      <c r="H25" t="s">
        <v>27</v>
      </c>
      <c r="I25">
        <f t="shared" si="2"/>
        <v>1.1033280000000003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</v>
      </c>
    </row>
    <row r="34" spans="2:4">
      <c r="B34" s="17" t="s">
        <v>59</v>
      </c>
      <c r="C34" s="17" t="s">
        <v>27</v>
      </c>
      <c r="D34" s="17">
        <f>D15+D29</f>
        <v>1.521121428571429</v>
      </c>
    </row>
    <row r="35" spans="2:4">
      <c r="B35" s="17" t="s">
        <v>60</v>
      </c>
      <c r="C35" s="17" t="s">
        <v>27</v>
      </c>
      <c r="D35" s="17">
        <f>D16+D30</f>
        <v>-1.052836363636364</v>
      </c>
    </row>
    <row r="36" spans="2:4">
      <c r="B36" s="17" t="s">
        <v>61</v>
      </c>
      <c r="C36" s="17" t="s">
        <v>27</v>
      </c>
      <c r="D36" s="17">
        <f>D17+D31</f>
        <v>1.3791600000000004</v>
      </c>
    </row>
    <row r="40" spans="2:4">
      <c r="B40">
        <f>SQRT(D34^2+D35^2+D36^2)</f>
        <v>2.3074568500091672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15</vt:i4>
      </vt:variant>
      <vt:variant>
        <vt:lpstr>Benannte Bereiche</vt:lpstr>
      </vt:variant>
      <vt:variant>
        <vt:i4>10</vt:i4>
      </vt:variant>
    </vt:vector>
  </HeadingPairs>
  <TitlesOfParts>
    <vt:vector size="25" baseType="lpstr">
      <vt:lpstr>Messaufbau_Messdaten</vt:lpstr>
      <vt:lpstr>num.-Neues-Modell</vt:lpstr>
      <vt:lpstr>numerisch</vt:lpstr>
      <vt:lpstr>analytisch</vt:lpstr>
      <vt:lpstr>Ergebnisse</vt:lpstr>
      <vt:lpstr>Modell+Rechnung</vt:lpstr>
      <vt:lpstr>RechnungA1</vt:lpstr>
      <vt:lpstr>RechnungA2</vt:lpstr>
      <vt:lpstr>RechnungA3</vt:lpstr>
      <vt:lpstr>RechnungA4</vt:lpstr>
      <vt:lpstr>RechnungA5</vt:lpstr>
      <vt:lpstr>RechnungA6</vt:lpstr>
      <vt:lpstr>RechnungA7</vt:lpstr>
      <vt:lpstr>RechnungA8</vt:lpstr>
      <vt:lpstr>testing_ground</vt:lpstr>
      <vt:lpstr>A_1</vt:lpstr>
      <vt:lpstr>A_2</vt:lpstr>
      <vt:lpstr>d_10</vt:lpstr>
      <vt:lpstr>d_20</vt:lpstr>
      <vt:lpstr>d_30</vt:lpstr>
      <vt:lpstr>OFFSET</vt:lpstr>
      <vt:lpstr>THETA_0</vt:lpstr>
      <vt:lpstr>THETA_1</vt:lpstr>
      <vt:lpstr>THETA_2</vt:lpstr>
      <vt:lpstr>THETA_3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cg</cp:lastModifiedBy>
  <cp:lastPrinted>2013-05-21T12:01:47Z</cp:lastPrinted>
  <dcterms:created xsi:type="dcterms:W3CDTF">2013-05-15T11:03:42Z</dcterms:created>
  <dcterms:modified xsi:type="dcterms:W3CDTF">2013-05-23T11:03:50Z</dcterms:modified>
</cp:coreProperties>
</file>